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"/>
    </mc:Choice>
  </mc:AlternateContent>
  <xr:revisionPtr revIDLastSave="0" documentId="13_ncr:1_{8F245E73-BFD5-478D-9861-30B59D587DBF}" xr6:coauthVersionLast="47" xr6:coauthVersionMax="47" xr10:uidLastSave="{00000000-0000-0000-0000-000000000000}"/>
  <bookViews>
    <workbookView xWindow="-120" yWindow="-120" windowWidth="29040" windowHeight="15720" tabRatio="895" firstSheet="3" activeTab="5" xr2:uid="{00000000-000D-0000-FFFF-FFFF00000000}"/>
  </bookViews>
  <sheets>
    <sheet name="⚪概述" sheetId="1" r:id="rId1"/>
    <sheet name="⚪设计" sheetId="2" r:id="rId2"/>
    <sheet name="⚪关卡设计" sheetId="20" r:id="rId3"/>
    <sheet name="引导" sheetId="18" r:id="rId4"/>
    <sheet name="战斗节奏" sheetId="3" r:id="rId5"/>
    <sheet name="防御塔" sheetId="5" r:id="rId6"/>
    <sheet name="新手关卡" sheetId="17" r:id="rId7"/>
    <sheet name="挑战模式" sheetId="16" r:id="rId8"/>
    <sheet name="无限模式" sheetId="13" r:id="rId9"/>
    <sheet name="线下模式" sheetId="19" r:id="rId10"/>
    <sheet name="活动关卡" sheetId="21" r:id="rId11"/>
    <sheet name="GamePlayTowerDefenseCfg" sheetId="12" r:id="rId12"/>
    <sheet name="SkillCfg" sheetId="6" r:id="rId13"/>
    <sheet name="ActionCfg_DamageUnit" sheetId="10" r:id="rId14"/>
    <sheet name="TowerCfg" sheetId="11" r:id="rId15"/>
    <sheet name="MonsterWaveCallRuleCfg" sheetId="14" r:id="rId16"/>
    <sheet name="UnitCfg" sheetId="15" r:id="rId17"/>
    <sheet name="UnitPropertyCfg" sheetId="7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5" l="1"/>
  <c r="J17" i="5" l="1"/>
  <c r="H17" i="5"/>
  <c r="H16" i="5" l="1"/>
  <c r="T50" i="7"/>
  <c r="T49" i="7"/>
  <c r="T48" i="7"/>
  <c r="F48" i="7"/>
  <c r="O48" i="7" s="1"/>
  <c r="T47" i="7"/>
  <c r="F47" i="7"/>
  <c r="O47" i="7" s="1"/>
  <c r="T46" i="7"/>
  <c r="F46" i="7"/>
  <c r="O46" i="7" s="1"/>
  <c r="T45" i="7"/>
  <c r="F45" i="7"/>
  <c r="O45" i="7" s="1"/>
  <c r="T44" i="7"/>
  <c r="T43" i="7"/>
  <c r="T42" i="7"/>
  <c r="F42" i="7"/>
  <c r="O42" i="7" s="1"/>
  <c r="T41" i="7"/>
  <c r="T40" i="7"/>
  <c r="T39" i="7"/>
  <c r="F38" i="7"/>
  <c r="F37" i="7"/>
  <c r="F36" i="7"/>
  <c r="Y35" i="7"/>
  <c r="T35" i="7"/>
  <c r="F35" i="7"/>
  <c r="Y34" i="7"/>
  <c r="T34" i="7"/>
  <c r="F34" i="7"/>
  <c r="Y33" i="7"/>
  <c r="T33" i="7"/>
  <c r="F33" i="7"/>
  <c r="Y32" i="7"/>
  <c r="T32" i="7"/>
  <c r="F32" i="7"/>
  <c r="Y31" i="7"/>
  <c r="T31" i="7"/>
  <c r="F31" i="7"/>
  <c r="Y30" i="7"/>
  <c r="T30" i="7"/>
  <c r="F30" i="7"/>
  <c r="O29" i="7"/>
  <c r="F29" i="7"/>
  <c r="O28" i="7"/>
  <c r="F28" i="7"/>
  <c r="O27" i="7"/>
  <c r="F27" i="7"/>
  <c r="Y26" i="7"/>
  <c r="T26" i="7"/>
  <c r="F26" i="7"/>
  <c r="Y25" i="7"/>
  <c r="T25" i="7"/>
  <c r="F25" i="7"/>
  <c r="Y24" i="7"/>
  <c r="T24" i="7"/>
  <c r="F24" i="7"/>
  <c r="T23" i="7"/>
  <c r="F23" i="7"/>
  <c r="T22" i="7"/>
  <c r="F22" i="7"/>
  <c r="T21" i="7"/>
  <c r="F21" i="7"/>
  <c r="T20" i="7"/>
  <c r="F20" i="7"/>
  <c r="T19" i="7"/>
  <c r="F19" i="7"/>
  <c r="T18" i="7"/>
  <c r="F18" i="7"/>
  <c r="T17" i="7"/>
  <c r="F17" i="7"/>
  <c r="T16" i="7"/>
  <c r="F16" i="7"/>
  <c r="T15" i="7"/>
  <c r="F15" i="7"/>
  <c r="T14" i="7"/>
  <c r="F14" i="7"/>
  <c r="T13" i="7"/>
  <c r="F13" i="7"/>
  <c r="T12" i="7"/>
  <c r="F12" i="7"/>
  <c r="T11" i="7"/>
  <c r="F11" i="7"/>
  <c r="T10" i="7"/>
  <c r="F10" i="7"/>
  <c r="T9" i="7"/>
  <c r="F9" i="7"/>
  <c r="T8" i="7"/>
  <c r="F8" i="7"/>
  <c r="T7" i="7"/>
  <c r="F7" i="7"/>
  <c r="T6" i="7"/>
  <c r="F6" i="7"/>
  <c r="M50" i="11" l="1"/>
  <c r="P50" i="11" s="1"/>
  <c r="M49" i="11"/>
  <c r="P49" i="11" s="1"/>
  <c r="M48" i="11"/>
  <c r="P48" i="11" s="1"/>
  <c r="M47" i="11"/>
  <c r="P47" i="11" s="1"/>
  <c r="M46" i="11"/>
  <c r="P46" i="11" s="1"/>
  <c r="M45" i="11"/>
  <c r="P45" i="11" s="1"/>
  <c r="M44" i="11"/>
  <c r="P44" i="11" s="1"/>
  <c r="M43" i="11"/>
  <c r="P43" i="11" s="1"/>
  <c r="M42" i="11"/>
  <c r="P42" i="11" s="1"/>
  <c r="M41" i="11"/>
  <c r="P41" i="11" s="1"/>
  <c r="M40" i="11"/>
  <c r="P40" i="11" s="1"/>
  <c r="M39" i="11"/>
  <c r="P39" i="11" s="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Z298" i="7" l="1"/>
  <c r="AA298" i="7"/>
  <c r="AB298" i="7"/>
  <c r="Z299" i="7"/>
  <c r="AA299" i="7"/>
  <c r="AB299" i="7"/>
  <c r="Z300" i="7"/>
  <c r="AA300" i="7"/>
  <c r="AB300" i="7"/>
  <c r="Z301" i="7"/>
  <c r="AA301" i="7"/>
  <c r="AB301" i="7"/>
  <c r="Z302" i="7"/>
  <c r="AA302" i="7"/>
  <c r="AB302" i="7"/>
  <c r="Z303" i="7"/>
  <c r="AA303" i="7"/>
  <c r="AB303" i="7"/>
  <c r="Z304" i="7"/>
  <c r="AA304" i="7"/>
  <c r="AB304" i="7"/>
  <c r="Z305" i="7"/>
  <c r="AA305" i="7"/>
  <c r="AB305" i="7"/>
  <c r="Z306" i="7"/>
  <c r="AA306" i="7"/>
  <c r="AB306" i="7"/>
  <c r="Z307" i="7"/>
  <c r="AA307" i="7"/>
  <c r="AB307" i="7"/>
  <c r="Z308" i="7"/>
  <c r="AA308" i="7"/>
  <c r="AB308" i="7"/>
  <c r="Z309" i="7"/>
  <c r="AA309" i="7"/>
  <c r="AB309" i="7"/>
  <c r="Z310" i="7"/>
  <c r="AA310" i="7"/>
  <c r="AB310" i="7"/>
  <c r="Z311" i="7"/>
  <c r="AA311" i="7"/>
  <c r="AB311" i="7"/>
  <c r="Z312" i="7"/>
  <c r="AA312" i="7"/>
  <c r="AB312" i="7"/>
  <c r="Z313" i="7"/>
  <c r="AA313" i="7"/>
  <c r="AB313" i="7"/>
  <c r="Z314" i="7"/>
  <c r="AA314" i="7"/>
  <c r="AB314" i="7"/>
  <c r="Z315" i="7"/>
  <c r="AA315" i="7"/>
  <c r="AB315" i="7"/>
  <c r="Z316" i="7"/>
  <c r="AA316" i="7"/>
  <c r="AB316" i="7"/>
  <c r="Z317" i="7"/>
  <c r="AA317" i="7"/>
  <c r="AB317" i="7"/>
  <c r="Z318" i="7"/>
  <c r="AA318" i="7"/>
  <c r="AB318" i="7"/>
  <c r="Z319" i="7"/>
  <c r="AA319" i="7"/>
  <c r="AB319" i="7"/>
  <c r="Z320" i="7"/>
  <c r="AA320" i="7"/>
  <c r="AB320" i="7"/>
  <c r="Z321" i="7"/>
  <c r="AA321" i="7"/>
  <c r="AB321" i="7"/>
  <c r="Z322" i="7"/>
  <c r="AA322" i="7"/>
  <c r="AB322" i="7"/>
  <c r="Z323" i="7"/>
  <c r="AA323" i="7"/>
  <c r="AB323" i="7"/>
  <c r="Z324" i="7"/>
  <c r="AA324" i="7"/>
  <c r="AB324" i="7"/>
  <c r="Z325" i="7"/>
  <c r="AA325" i="7"/>
  <c r="AB325" i="7"/>
  <c r="Z326" i="7"/>
  <c r="AA326" i="7"/>
  <c r="AB326" i="7"/>
  <c r="Z327" i="7"/>
  <c r="AA327" i="7"/>
  <c r="AB327" i="7"/>
  <c r="Z328" i="7"/>
  <c r="AA328" i="7"/>
  <c r="AB328" i="7"/>
  <c r="Z329" i="7"/>
  <c r="AA329" i="7"/>
  <c r="AB329" i="7"/>
  <c r="Z330" i="7"/>
  <c r="AA330" i="7"/>
  <c r="AB330" i="7"/>
  <c r="Z331" i="7"/>
  <c r="AA331" i="7"/>
  <c r="AB331" i="7"/>
  <c r="Z332" i="7"/>
  <c r="AA332" i="7"/>
  <c r="AB332" i="7"/>
  <c r="Z333" i="7"/>
  <c r="AA333" i="7"/>
  <c r="AB333" i="7"/>
  <c r="Z334" i="7"/>
  <c r="AA334" i="7"/>
  <c r="AB334" i="7"/>
  <c r="Z335" i="7"/>
  <c r="AA335" i="7"/>
  <c r="AB335" i="7"/>
  <c r="Z336" i="7"/>
  <c r="AA336" i="7"/>
  <c r="AB336" i="7"/>
  <c r="Z337" i="7"/>
  <c r="AA337" i="7"/>
  <c r="AB337" i="7"/>
  <c r="Z338" i="7"/>
  <c r="AA338" i="7"/>
  <c r="AB338" i="7"/>
  <c r="Z339" i="7"/>
  <c r="AA339" i="7"/>
  <c r="AB339" i="7"/>
  <c r="Z340" i="7"/>
  <c r="AA340" i="7"/>
  <c r="AB340" i="7"/>
  <c r="Z341" i="7"/>
  <c r="AA341" i="7"/>
  <c r="AB341" i="7"/>
  <c r="Z342" i="7"/>
  <c r="AA342" i="7"/>
  <c r="AB342" i="7"/>
  <c r="Z343" i="7"/>
  <c r="AA343" i="7"/>
  <c r="AB343" i="7"/>
  <c r="Z344" i="7"/>
  <c r="AA344" i="7"/>
  <c r="AB344" i="7"/>
  <c r="Z345" i="7"/>
  <c r="AA345" i="7"/>
  <c r="AB345" i="7"/>
  <c r="Z346" i="7"/>
  <c r="AA346" i="7"/>
  <c r="AB346" i="7"/>
  <c r="Z347" i="7"/>
  <c r="AA347" i="7"/>
  <c r="AB347" i="7"/>
  <c r="Z348" i="7"/>
  <c r="AA348" i="7"/>
  <c r="AB348" i="7"/>
  <c r="Z349" i="7"/>
  <c r="AA349" i="7"/>
  <c r="AB349" i="7"/>
  <c r="Z350" i="7"/>
  <c r="AA350" i="7"/>
  <c r="AB350" i="7"/>
  <c r="Z351" i="7"/>
  <c r="AA351" i="7"/>
  <c r="AB351" i="7"/>
  <c r="Z352" i="7"/>
  <c r="AA352" i="7"/>
  <c r="AB352" i="7"/>
  <c r="Z353" i="7"/>
  <c r="AA353" i="7"/>
  <c r="AB353" i="7"/>
  <c r="Z354" i="7"/>
  <c r="AA354" i="7"/>
  <c r="AB354" i="7"/>
  <c r="Z355" i="7"/>
  <c r="AA355" i="7"/>
  <c r="AB355" i="7"/>
  <c r="Z356" i="7"/>
  <c r="AA356" i="7"/>
  <c r="AB356" i="7"/>
  <c r="Z357" i="7"/>
  <c r="AA357" i="7"/>
  <c r="AB357" i="7"/>
  <c r="Z358" i="7"/>
  <c r="AA358" i="7"/>
  <c r="AB358" i="7"/>
  <c r="Z359" i="7"/>
  <c r="AA359" i="7"/>
  <c r="AB359" i="7"/>
  <c r="Z360" i="7"/>
  <c r="AA360" i="7"/>
  <c r="AB360" i="7"/>
  <c r="Z361" i="7"/>
  <c r="AA361" i="7"/>
  <c r="AB361" i="7"/>
  <c r="Z362" i="7"/>
  <c r="AA362" i="7"/>
  <c r="AB362" i="7"/>
  <c r="Z363" i="7"/>
  <c r="AA363" i="7"/>
  <c r="AB363" i="7"/>
  <c r="Z364" i="7"/>
  <c r="AA364" i="7"/>
  <c r="AB364" i="7"/>
  <c r="Z365" i="7"/>
  <c r="AA365" i="7"/>
  <c r="AB365" i="7"/>
  <c r="Z366" i="7"/>
  <c r="AA366" i="7"/>
  <c r="AB366" i="7"/>
  <c r="Z367" i="7"/>
  <c r="AA367" i="7"/>
  <c r="AB367" i="7"/>
  <c r="Z368" i="7"/>
  <c r="AA368" i="7"/>
  <c r="AB368" i="7"/>
  <c r="Z369" i="7"/>
  <c r="AA369" i="7"/>
  <c r="AB369" i="7"/>
  <c r="Z370" i="7"/>
  <c r="AA370" i="7"/>
  <c r="AB370" i="7"/>
  <c r="Z371" i="7"/>
  <c r="AA371" i="7"/>
  <c r="AB371" i="7"/>
  <c r="Z372" i="7"/>
  <c r="AA372" i="7"/>
  <c r="AB372" i="7"/>
  <c r="Z373" i="7"/>
  <c r="AA373" i="7"/>
  <c r="AB373" i="7"/>
  <c r="Z374" i="7"/>
  <c r="AA374" i="7"/>
  <c r="AB374" i="7"/>
  <c r="Z375" i="7"/>
  <c r="AA375" i="7"/>
  <c r="AB375" i="7"/>
  <c r="Z376" i="7"/>
  <c r="AA376" i="7"/>
  <c r="AB376" i="7"/>
  <c r="Z377" i="7"/>
  <c r="AA377" i="7"/>
  <c r="AB377" i="7"/>
  <c r="Z378" i="7"/>
  <c r="AA378" i="7"/>
  <c r="AB378" i="7"/>
  <c r="Z379" i="7"/>
  <c r="AA379" i="7"/>
  <c r="AB379" i="7"/>
  <c r="Z380" i="7"/>
  <c r="AA380" i="7"/>
  <c r="AB380" i="7"/>
  <c r="Z381" i="7"/>
  <c r="AA381" i="7"/>
  <c r="AB381" i="7"/>
  <c r="Z382" i="7"/>
  <c r="AA382" i="7"/>
  <c r="AB382" i="7"/>
  <c r="Z383" i="7"/>
  <c r="AA383" i="7"/>
  <c r="AB383" i="7"/>
  <c r="Z384" i="7"/>
  <c r="AA384" i="7"/>
  <c r="AB384" i="7"/>
  <c r="Z385" i="7"/>
  <c r="AA385" i="7"/>
  <c r="AB385" i="7"/>
  <c r="Z386" i="7"/>
  <c r="AA386" i="7"/>
  <c r="AB386" i="7"/>
  <c r="Z387" i="7"/>
  <c r="AA387" i="7"/>
  <c r="AB387" i="7"/>
  <c r="Z388" i="7"/>
  <c r="AA388" i="7"/>
  <c r="AB388" i="7"/>
  <c r="Z389" i="7"/>
  <c r="AA389" i="7"/>
  <c r="AB389" i="7"/>
  <c r="Z390" i="7"/>
  <c r="AA390" i="7"/>
  <c r="AB390" i="7"/>
  <c r="Z391" i="7"/>
  <c r="AA391" i="7"/>
  <c r="AB391" i="7"/>
  <c r="Z392" i="7"/>
  <c r="AA392" i="7"/>
  <c r="AB392" i="7"/>
  <c r="Z393" i="7"/>
  <c r="AA393" i="7"/>
  <c r="AB393" i="7"/>
  <c r="Z394" i="7"/>
  <c r="AA394" i="7"/>
  <c r="AB394" i="7"/>
  <c r="Z395" i="7"/>
  <c r="AA395" i="7"/>
  <c r="AB395" i="7"/>
  <c r="Z396" i="7"/>
  <c r="AA396" i="7"/>
  <c r="AB396" i="7"/>
  <c r="Z397" i="7"/>
  <c r="AA397" i="7"/>
  <c r="AB397" i="7"/>
  <c r="Z398" i="7"/>
  <c r="AA398" i="7"/>
  <c r="AB398" i="7"/>
  <c r="Z399" i="7"/>
  <c r="AA399" i="7"/>
  <c r="AB399" i="7"/>
  <c r="Z400" i="7"/>
  <c r="AA400" i="7"/>
  <c r="AB400" i="7"/>
  <c r="Z401" i="7"/>
  <c r="AA401" i="7"/>
  <c r="AB401" i="7"/>
  <c r="Z402" i="7"/>
  <c r="AA402" i="7"/>
  <c r="AB402" i="7"/>
  <c r="Z403" i="7"/>
  <c r="AA403" i="7"/>
  <c r="AB403" i="7"/>
  <c r="Z404" i="7"/>
  <c r="AA404" i="7"/>
  <c r="AB404" i="7"/>
  <c r="Z405" i="7"/>
  <c r="AA405" i="7"/>
  <c r="AB405" i="7"/>
  <c r="Z406" i="7"/>
  <c r="AA406" i="7"/>
  <c r="AB406" i="7"/>
  <c r="Z407" i="7"/>
  <c r="AA407" i="7"/>
  <c r="AB407" i="7"/>
  <c r="Z408" i="7"/>
  <c r="AA408" i="7"/>
  <c r="AB408" i="7"/>
  <c r="Z409" i="7"/>
  <c r="AA409" i="7"/>
  <c r="AB409" i="7"/>
  <c r="Z410" i="7"/>
  <c r="AA410" i="7"/>
  <c r="AB410" i="7"/>
  <c r="Z411" i="7"/>
  <c r="AA411" i="7"/>
  <c r="AB411" i="7"/>
  <c r="Z412" i="7"/>
  <c r="AA412" i="7"/>
  <c r="AB412" i="7"/>
  <c r="Z413" i="7"/>
  <c r="AA413" i="7"/>
  <c r="AB413" i="7"/>
  <c r="Z414" i="7"/>
  <c r="AA414" i="7"/>
  <c r="AB414" i="7"/>
  <c r="Z415" i="7"/>
  <c r="AA415" i="7"/>
  <c r="AB415" i="7"/>
  <c r="Z416" i="7"/>
  <c r="AA416" i="7"/>
  <c r="AB416" i="7"/>
  <c r="Z417" i="7"/>
  <c r="AA417" i="7"/>
  <c r="AB417" i="7"/>
  <c r="Z418" i="7"/>
  <c r="AA418" i="7"/>
  <c r="AB418" i="7"/>
  <c r="Z419" i="7"/>
  <c r="AA419" i="7"/>
  <c r="AB419" i="7"/>
  <c r="Z420" i="7"/>
  <c r="AA420" i="7"/>
  <c r="AB420" i="7"/>
  <c r="Z421" i="7"/>
  <c r="AA421" i="7"/>
  <c r="AB421" i="7"/>
  <c r="Z422" i="7"/>
  <c r="AA422" i="7"/>
  <c r="AB422" i="7"/>
  <c r="Z423" i="7"/>
  <c r="AA423" i="7"/>
  <c r="AB423" i="7"/>
  <c r="Z424" i="7"/>
  <c r="AA424" i="7"/>
  <c r="AB424" i="7"/>
  <c r="Z425" i="7"/>
  <c r="AA425" i="7"/>
  <c r="AB425" i="7"/>
  <c r="Z426" i="7"/>
  <c r="AA426" i="7"/>
  <c r="AB426" i="7"/>
  <c r="Z427" i="7"/>
  <c r="AA427" i="7"/>
  <c r="AB427" i="7"/>
  <c r="Z428" i="7"/>
  <c r="AA428" i="7"/>
  <c r="AB428" i="7"/>
  <c r="Z429" i="7"/>
  <c r="AA429" i="7"/>
  <c r="AB429" i="7"/>
  <c r="Z430" i="7"/>
  <c r="AA430" i="7"/>
  <c r="AB430" i="7"/>
  <c r="Z431" i="7"/>
  <c r="AA431" i="7"/>
  <c r="AB431" i="7"/>
  <c r="Z432" i="7"/>
  <c r="AA432" i="7"/>
  <c r="AB432" i="7"/>
  <c r="Z433" i="7"/>
  <c r="AA433" i="7"/>
  <c r="AB433" i="7"/>
  <c r="Z434" i="7"/>
  <c r="AA434" i="7"/>
  <c r="AB434" i="7"/>
  <c r="Z435" i="7"/>
  <c r="AA435" i="7"/>
  <c r="AB435" i="7"/>
  <c r="Z436" i="7"/>
  <c r="AA436" i="7"/>
  <c r="AB436" i="7"/>
  <c r="Z437" i="7"/>
  <c r="AA437" i="7"/>
  <c r="AB437" i="7"/>
  <c r="Z438" i="7"/>
  <c r="AA438" i="7"/>
  <c r="AB438" i="7"/>
  <c r="Z439" i="7"/>
  <c r="AA439" i="7"/>
  <c r="AB439" i="7"/>
  <c r="Z440" i="7"/>
  <c r="AA440" i="7"/>
  <c r="AB440" i="7"/>
  <c r="Z441" i="7"/>
  <c r="AA441" i="7"/>
  <c r="AB441" i="7"/>
  <c r="Z442" i="7"/>
  <c r="AA442" i="7"/>
  <c r="AB442" i="7"/>
  <c r="Z443" i="7"/>
  <c r="AA443" i="7"/>
  <c r="AB443" i="7"/>
  <c r="Z444" i="7"/>
  <c r="AA444" i="7"/>
  <c r="AB444" i="7"/>
  <c r="Z445" i="7"/>
  <c r="AA445" i="7"/>
  <c r="AB445" i="7"/>
  <c r="Z446" i="7"/>
  <c r="AA446" i="7"/>
  <c r="AB446" i="7"/>
  <c r="Z447" i="7"/>
  <c r="AA447" i="7"/>
  <c r="AB447" i="7"/>
  <c r="Z448" i="7"/>
  <c r="AA448" i="7"/>
  <c r="AB448" i="7"/>
  <c r="Z449" i="7"/>
  <c r="AA449" i="7"/>
  <c r="AB449" i="7"/>
  <c r="Z450" i="7"/>
  <c r="AA450" i="7"/>
  <c r="AB450" i="7"/>
  <c r="Z451" i="7"/>
  <c r="AA451" i="7"/>
  <c r="AB451" i="7"/>
  <c r="Z452" i="7"/>
  <c r="AA452" i="7"/>
  <c r="AB452" i="7"/>
  <c r="Z453" i="7"/>
  <c r="AA453" i="7"/>
  <c r="AB453" i="7"/>
  <c r="Z454" i="7"/>
  <c r="AA454" i="7"/>
  <c r="AB454" i="7"/>
  <c r="Z455" i="7"/>
  <c r="AA455" i="7"/>
  <c r="AB455" i="7"/>
  <c r="Z456" i="7"/>
  <c r="AA456" i="7"/>
  <c r="AB456" i="7"/>
  <c r="Z457" i="7"/>
  <c r="AA457" i="7"/>
  <c r="AB457" i="7"/>
  <c r="Z458" i="7"/>
  <c r="AA458" i="7"/>
  <c r="AB458" i="7"/>
  <c r="Z459" i="7"/>
  <c r="AA459" i="7"/>
  <c r="AB459" i="7"/>
  <c r="Z460" i="7"/>
  <c r="AA460" i="7"/>
  <c r="AB460" i="7"/>
  <c r="Z461" i="7"/>
  <c r="AA461" i="7"/>
  <c r="AB461" i="7"/>
  <c r="Z462" i="7"/>
  <c r="AA462" i="7"/>
  <c r="AB462" i="7"/>
  <c r="Z463" i="7"/>
  <c r="AA463" i="7"/>
  <c r="AB463" i="7"/>
  <c r="Z464" i="7"/>
  <c r="AA464" i="7"/>
  <c r="AB464" i="7"/>
  <c r="Z465" i="7"/>
  <c r="AA465" i="7"/>
  <c r="AB465" i="7"/>
  <c r="Z466" i="7"/>
  <c r="AA466" i="7"/>
  <c r="AB466" i="7"/>
  <c r="Z467" i="7"/>
  <c r="AA467" i="7"/>
  <c r="AB467" i="7"/>
  <c r="Z468" i="7"/>
  <c r="AA468" i="7"/>
  <c r="AB468" i="7"/>
  <c r="Z469" i="7"/>
  <c r="AA469" i="7"/>
  <c r="AB469" i="7"/>
  <c r="Z470" i="7"/>
  <c r="AA470" i="7"/>
  <c r="AB470" i="7"/>
  <c r="Z471" i="7"/>
  <c r="AA471" i="7"/>
  <c r="AB471" i="7"/>
  <c r="Z472" i="7"/>
  <c r="AA472" i="7"/>
  <c r="AB472" i="7"/>
  <c r="Z473" i="7"/>
  <c r="AA473" i="7"/>
  <c r="AB473" i="7"/>
  <c r="Z474" i="7"/>
  <c r="AA474" i="7"/>
  <c r="AB474" i="7"/>
  <c r="Z475" i="7"/>
  <c r="AA475" i="7"/>
  <c r="AB475" i="7"/>
  <c r="Z476" i="7"/>
  <c r="AA476" i="7"/>
  <c r="AB476" i="7"/>
  <c r="Z477" i="7"/>
  <c r="AA477" i="7"/>
  <c r="AB477" i="7"/>
  <c r="Z478" i="7"/>
  <c r="AA478" i="7"/>
  <c r="AB478" i="7"/>
  <c r="Z479" i="7"/>
  <c r="AA479" i="7"/>
  <c r="AB479" i="7"/>
  <c r="Z480" i="7"/>
  <c r="AA480" i="7"/>
  <c r="AB480" i="7"/>
  <c r="Z481" i="7"/>
  <c r="AA481" i="7"/>
  <c r="AB481" i="7"/>
  <c r="Z482" i="7"/>
  <c r="AA482" i="7"/>
  <c r="AB482" i="7"/>
  <c r="Z483" i="7"/>
  <c r="AA483" i="7"/>
  <c r="AB483" i="7"/>
  <c r="Z484" i="7"/>
  <c r="AA484" i="7"/>
  <c r="AB484" i="7"/>
  <c r="Z485" i="7"/>
  <c r="AA485" i="7"/>
  <c r="AB485" i="7"/>
  <c r="Z486" i="7"/>
  <c r="AA486" i="7"/>
  <c r="AB486" i="7"/>
  <c r="Z487" i="7"/>
  <c r="AA487" i="7"/>
  <c r="AB487" i="7"/>
  <c r="Z488" i="7"/>
  <c r="AA488" i="7"/>
  <c r="AB488" i="7"/>
  <c r="Z489" i="7"/>
  <c r="AA489" i="7"/>
  <c r="AB489" i="7"/>
  <c r="Z490" i="7"/>
  <c r="AA490" i="7"/>
  <c r="AB490" i="7"/>
  <c r="Z491" i="7"/>
  <c r="AA491" i="7"/>
  <c r="AB491" i="7"/>
  <c r="Z492" i="7"/>
  <c r="AA492" i="7"/>
  <c r="AB492" i="7"/>
  <c r="Z493" i="7"/>
  <c r="AA493" i="7"/>
  <c r="AB493" i="7"/>
  <c r="Z494" i="7"/>
  <c r="AA494" i="7"/>
  <c r="AB494" i="7"/>
  <c r="Z495" i="7"/>
  <c r="AA495" i="7"/>
  <c r="AB495" i="7"/>
  <c r="Z496" i="7"/>
  <c r="AA496" i="7"/>
  <c r="AB496" i="7"/>
  <c r="Z497" i="7"/>
  <c r="AA497" i="7"/>
  <c r="AB497" i="7"/>
  <c r="Z498" i="7"/>
  <c r="AA498" i="7"/>
  <c r="AB498" i="7"/>
  <c r="Z499" i="7"/>
  <c r="AA499" i="7"/>
  <c r="AB499" i="7"/>
  <c r="Z500" i="7"/>
  <c r="AA500" i="7"/>
  <c r="AB500" i="7"/>
  <c r="Z501" i="7"/>
  <c r="AA501" i="7"/>
  <c r="AB501" i="7"/>
  <c r="Z502" i="7"/>
  <c r="AA502" i="7"/>
  <c r="AB502" i="7"/>
  <c r="Z503" i="7"/>
  <c r="AA503" i="7"/>
  <c r="AB503" i="7"/>
  <c r="Z504" i="7"/>
  <c r="AA504" i="7"/>
  <c r="AB504" i="7"/>
  <c r="Z505" i="7"/>
  <c r="AA505" i="7"/>
  <c r="AB505" i="7"/>
  <c r="Z506" i="7"/>
  <c r="AA506" i="7"/>
  <c r="AB506" i="7"/>
  <c r="Z507" i="7"/>
  <c r="AA507" i="7"/>
  <c r="AB507" i="7"/>
  <c r="Z508" i="7"/>
  <c r="AA508" i="7"/>
  <c r="AB508" i="7"/>
  <c r="Z509" i="7"/>
  <c r="AA509" i="7"/>
  <c r="AB509" i="7"/>
  <c r="Z510" i="7"/>
  <c r="AA510" i="7"/>
  <c r="AB510" i="7"/>
  <c r="Z511" i="7"/>
  <c r="AA511" i="7"/>
  <c r="AB511" i="7"/>
  <c r="Z512" i="7"/>
  <c r="AA512" i="7"/>
  <c r="AB512" i="7"/>
  <c r="Z513" i="7"/>
  <c r="AA513" i="7"/>
  <c r="AB513" i="7"/>
  <c r="Z514" i="7"/>
  <c r="AA514" i="7"/>
  <c r="AB514" i="7"/>
  <c r="Z515" i="7"/>
  <c r="AA515" i="7"/>
  <c r="AB515" i="7"/>
  <c r="Z516" i="7"/>
  <c r="AA516" i="7"/>
  <c r="AB516" i="7"/>
  <c r="Z517" i="7"/>
  <c r="AA517" i="7"/>
  <c r="AB517" i="7"/>
  <c r="Z518" i="7"/>
  <c r="AA518" i="7"/>
  <c r="AB518" i="7"/>
  <c r="Z519" i="7"/>
  <c r="AA519" i="7"/>
  <c r="AB519" i="7"/>
  <c r="Z520" i="7"/>
  <c r="AA520" i="7"/>
  <c r="AB520" i="7"/>
  <c r="Z521" i="7"/>
  <c r="AA521" i="7"/>
  <c r="AB521" i="7"/>
  <c r="Z522" i="7"/>
  <c r="AA522" i="7"/>
  <c r="AB522" i="7"/>
  <c r="Z523" i="7"/>
  <c r="AA523" i="7"/>
  <c r="AB523" i="7"/>
  <c r="Z524" i="7"/>
  <c r="AA524" i="7"/>
  <c r="AB524" i="7"/>
  <c r="Z525" i="7"/>
  <c r="AA525" i="7"/>
  <c r="AB525" i="7"/>
  <c r="Z526" i="7"/>
  <c r="AA526" i="7"/>
  <c r="AB526" i="7"/>
  <c r="Z527" i="7"/>
  <c r="AA527" i="7"/>
  <c r="AB527" i="7"/>
  <c r="Z528" i="7"/>
  <c r="AA528" i="7"/>
  <c r="AB528" i="7"/>
  <c r="Z529" i="7"/>
  <c r="AA529" i="7"/>
  <c r="AB529" i="7"/>
  <c r="Z530" i="7"/>
  <c r="AA530" i="7"/>
  <c r="AB530" i="7"/>
  <c r="Z531" i="7"/>
  <c r="AA531" i="7"/>
  <c r="AB531" i="7"/>
  <c r="Z532" i="7"/>
  <c r="AA532" i="7"/>
  <c r="AB532" i="7"/>
  <c r="Z533" i="7"/>
  <c r="AA533" i="7"/>
  <c r="AB533" i="7"/>
  <c r="Z534" i="7"/>
  <c r="AA534" i="7"/>
  <c r="AB534" i="7"/>
  <c r="Z535" i="7"/>
  <c r="AA535" i="7"/>
  <c r="AB535" i="7"/>
  <c r="Z536" i="7"/>
  <c r="AA536" i="7"/>
  <c r="AB536" i="7"/>
  <c r="Z537" i="7"/>
  <c r="AA537" i="7"/>
  <c r="AB537" i="7"/>
  <c r="Z538" i="7"/>
  <c r="AA538" i="7"/>
  <c r="AB538" i="7"/>
  <c r="Z539" i="7"/>
  <c r="AA539" i="7"/>
  <c r="AB539" i="7"/>
  <c r="Z540" i="7"/>
  <c r="AA540" i="7"/>
  <c r="AB540" i="7"/>
  <c r="Z541" i="7"/>
  <c r="AA541" i="7"/>
  <c r="AB541" i="7"/>
  <c r="Z542" i="7"/>
  <c r="AA542" i="7"/>
  <c r="AB542" i="7"/>
  <c r="Z543" i="7"/>
  <c r="AA543" i="7"/>
  <c r="AB543" i="7"/>
  <c r="Z544" i="7"/>
  <c r="AA544" i="7"/>
  <c r="AB544" i="7"/>
  <c r="Z545" i="7"/>
  <c r="AA545" i="7"/>
  <c r="AB545" i="7"/>
  <c r="Z546" i="7"/>
  <c r="AA546" i="7"/>
  <c r="AB546" i="7"/>
  <c r="Z547" i="7"/>
  <c r="AA547" i="7"/>
  <c r="AB547" i="7"/>
  <c r="Z548" i="7"/>
  <c r="AA548" i="7"/>
  <c r="AB548" i="7"/>
  <c r="Z549" i="7"/>
  <c r="AA549" i="7"/>
  <c r="AB549" i="7"/>
  <c r="Z550" i="7"/>
  <c r="AA550" i="7"/>
  <c r="AB550" i="7"/>
  <c r="Z551" i="7"/>
  <c r="AA551" i="7"/>
  <c r="AB551" i="7"/>
  <c r="Z552" i="7"/>
  <c r="AA552" i="7"/>
  <c r="AB552" i="7"/>
  <c r="Z553" i="7"/>
  <c r="AA553" i="7"/>
  <c r="AB553" i="7"/>
  <c r="Z554" i="7"/>
  <c r="AA554" i="7"/>
  <c r="AB554" i="7"/>
  <c r="Z555" i="7"/>
  <c r="AA555" i="7"/>
  <c r="AB555" i="7"/>
  <c r="Z556" i="7"/>
  <c r="AA556" i="7"/>
  <c r="AB556" i="7"/>
  <c r="Z557" i="7"/>
  <c r="AA557" i="7"/>
  <c r="AB557" i="7"/>
  <c r="Z558" i="7"/>
  <c r="AA558" i="7"/>
  <c r="AB558" i="7"/>
  <c r="Z559" i="7"/>
  <c r="AA559" i="7"/>
  <c r="AB559" i="7"/>
  <c r="Z560" i="7"/>
  <c r="AA560" i="7"/>
  <c r="AB560" i="7"/>
  <c r="Z561" i="7"/>
  <c r="AA561" i="7"/>
  <c r="AB561" i="7"/>
  <c r="Z562" i="7"/>
  <c r="AA562" i="7"/>
  <c r="AB562" i="7"/>
  <c r="Z563" i="7"/>
  <c r="AA563" i="7"/>
  <c r="AB563" i="7"/>
  <c r="Z564" i="7"/>
  <c r="AA564" i="7"/>
  <c r="AB564" i="7"/>
  <c r="Z565" i="7"/>
  <c r="AA565" i="7"/>
  <c r="AB565" i="7"/>
  <c r="Z566" i="7"/>
  <c r="AA566" i="7"/>
  <c r="AB566" i="7"/>
  <c r="Z567" i="7"/>
  <c r="AA567" i="7"/>
  <c r="AB567" i="7"/>
  <c r="Z568" i="7"/>
  <c r="AA568" i="7"/>
  <c r="AB568" i="7"/>
  <c r="Z569" i="7"/>
  <c r="AA569" i="7"/>
  <c r="AB569" i="7"/>
  <c r="Z570" i="7"/>
  <c r="AA570" i="7"/>
  <c r="AB570" i="7"/>
  <c r="Z276" i="7"/>
  <c r="AA276" i="7"/>
  <c r="AB276" i="7"/>
  <c r="Z277" i="7"/>
  <c r="AA277" i="7"/>
  <c r="AB277" i="7"/>
  <c r="Z278" i="7"/>
  <c r="AA278" i="7"/>
  <c r="AB278" i="7"/>
  <c r="Z279" i="7"/>
  <c r="AA279" i="7"/>
  <c r="AB279" i="7"/>
  <c r="Z280" i="7"/>
  <c r="AA280" i="7"/>
  <c r="AB280" i="7"/>
  <c r="Z281" i="7"/>
  <c r="AA281" i="7"/>
  <c r="AB281" i="7"/>
  <c r="Z282" i="7"/>
  <c r="AA282" i="7"/>
  <c r="AB282" i="7"/>
  <c r="Z283" i="7"/>
  <c r="AA283" i="7"/>
  <c r="AB283" i="7"/>
  <c r="Z284" i="7"/>
  <c r="AA284" i="7"/>
  <c r="AB284" i="7"/>
  <c r="Z285" i="7"/>
  <c r="AA285" i="7"/>
  <c r="AB285" i="7"/>
  <c r="Z286" i="7"/>
  <c r="AA286" i="7"/>
  <c r="AB286" i="7"/>
  <c r="Z287" i="7"/>
  <c r="AA287" i="7"/>
  <c r="AB287" i="7"/>
  <c r="Z288" i="7"/>
  <c r="AA288" i="7"/>
  <c r="AB288" i="7"/>
  <c r="Z289" i="7"/>
  <c r="AA289" i="7"/>
  <c r="AB289" i="7"/>
  <c r="Z290" i="7"/>
  <c r="AA290" i="7"/>
  <c r="AB290" i="7"/>
  <c r="Z291" i="7"/>
  <c r="AA291" i="7"/>
  <c r="AB291" i="7"/>
  <c r="Z292" i="7"/>
  <c r="AA292" i="7"/>
  <c r="AB292" i="7"/>
  <c r="Z293" i="7"/>
  <c r="AA293" i="7"/>
  <c r="AB293" i="7"/>
  <c r="Z294" i="7"/>
  <c r="AA294" i="7"/>
  <c r="AB294" i="7"/>
  <c r="Z295" i="7"/>
  <c r="AA295" i="7"/>
  <c r="AB295" i="7"/>
  <c r="Z296" i="7"/>
  <c r="AA296" i="7"/>
  <c r="AB296" i="7"/>
  <c r="Z297" i="7"/>
  <c r="AA297" i="7"/>
  <c r="AB297" i="7"/>
  <c r="AB275" i="7"/>
  <c r="AA275" i="7"/>
  <c r="Z275" i="7"/>
  <c r="D223" i="15" l="1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0" i="15"/>
  <c r="D9" i="15"/>
  <c r="D8" i="15"/>
  <c r="D7" i="15"/>
  <c r="D6" i="15"/>
  <c r="S226" i="15"/>
  <c r="S227" i="15"/>
  <c r="S228" i="15"/>
  <c r="S229" i="15"/>
  <c r="S230" i="15"/>
  <c r="S231" i="15"/>
  <c r="S232" i="15"/>
  <c r="S233" i="15"/>
  <c r="S234" i="15"/>
  <c r="S235" i="15"/>
  <c r="S236" i="15"/>
  <c r="S237" i="15"/>
  <c r="S238" i="15"/>
  <c r="S239" i="15"/>
  <c r="S240" i="15"/>
  <c r="S241" i="15"/>
  <c r="S242" i="15"/>
  <c r="S243" i="15"/>
  <c r="S244" i="15"/>
  <c r="S245" i="15"/>
  <c r="S246" i="15"/>
  <c r="S247" i="15"/>
  <c r="S248" i="15"/>
  <c r="S249" i="15"/>
  <c r="S250" i="15"/>
  <c r="S251" i="15"/>
  <c r="S252" i="15"/>
  <c r="S253" i="15"/>
  <c r="S254" i="15"/>
  <c r="S255" i="15"/>
  <c r="S256" i="15"/>
  <c r="S257" i="15"/>
  <c r="S258" i="15"/>
  <c r="S259" i="15"/>
  <c r="S260" i="15"/>
  <c r="S261" i="15"/>
  <c r="S262" i="15"/>
  <c r="S263" i="15"/>
  <c r="S264" i="15"/>
  <c r="S265" i="15"/>
  <c r="S266" i="15"/>
  <c r="S267" i="15"/>
  <c r="S268" i="15"/>
  <c r="S269" i="15"/>
  <c r="S270" i="15"/>
  <c r="S271" i="15"/>
  <c r="S272" i="15"/>
  <c r="S273" i="15"/>
  <c r="S274" i="15"/>
  <c r="S275" i="15"/>
  <c r="S276" i="15"/>
  <c r="S277" i="15"/>
  <c r="S278" i="15"/>
  <c r="S279" i="15"/>
  <c r="S280" i="15"/>
  <c r="S281" i="15"/>
  <c r="S282" i="15"/>
  <c r="S283" i="15"/>
  <c r="S284" i="15"/>
  <c r="S285" i="15"/>
  <c r="S286" i="15"/>
  <c r="S287" i="15"/>
  <c r="S288" i="15"/>
  <c r="S289" i="15"/>
  <c r="S290" i="15"/>
  <c r="S291" i="15"/>
  <c r="S292" i="15"/>
  <c r="S293" i="15"/>
  <c r="S294" i="15"/>
  <c r="S295" i="15"/>
  <c r="S296" i="15"/>
  <c r="S297" i="15"/>
  <c r="S299" i="15"/>
  <c r="S300" i="15"/>
  <c r="S301" i="15"/>
  <c r="S302" i="15"/>
  <c r="S303" i="15"/>
  <c r="S304" i="15"/>
  <c r="S305" i="15"/>
  <c r="S306" i="15"/>
  <c r="S307" i="15"/>
  <c r="S308" i="15"/>
  <c r="S309" i="15"/>
  <c r="S310" i="15"/>
  <c r="S311" i="15"/>
  <c r="S312" i="15"/>
  <c r="S313" i="15"/>
  <c r="S314" i="15"/>
  <c r="S315" i="15"/>
  <c r="S316" i="15"/>
  <c r="S317" i="15"/>
  <c r="S318" i="15"/>
  <c r="S319" i="15"/>
  <c r="S320" i="15"/>
  <c r="S321" i="15"/>
  <c r="S322" i="15"/>
  <c r="S323" i="15"/>
  <c r="S324" i="15"/>
  <c r="S325" i="15"/>
  <c r="S326" i="15"/>
  <c r="S327" i="15"/>
  <c r="S328" i="15"/>
  <c r="S329" i="15"/>
  <c r="S330" i="15"/>
  <c r="S331" i="15"/>
  <c r="S332" i="15"/>
  <c r="S333" i="15"/>
  <c r="S334" i="15"/>
  <c r="S335" i="15"/>
  <c r="S336" i="15"/>
  <c r="S337" i="15"/>
  <c r="S338" i="15"/>
  <c r="S339" i="15"/>
  <c r="S340" i="15"/>
  <c r="S341" i="15"/>
  <c r="S342" i="15"/>
  <c r="S343" i="15"/>
  <c r="S344" i="15"/>
  <c r="S345" i="15"/>
  <c r="S346" i="15"/>
  <c r="S347" i="15"/>
  <c r="S348" i="15"/>
  <c r="S349" i="15"/>
  <c r="S350" i="15"/>
  <c r="S351" i="15"/>
  <c r="S352" i="15"/>
  <c r="S353" i="15"/>
  <c r="S354" i="15"/>
  <c r="S355" i="15"/>
  <c r="S356" i="15"/>
  <c r="S357" i="15"/>
  <c r="S358" i="15"/>
  <c r="S359" i="15"/>
  <c r="S360" i="15"/>
  <c r="S361" i="15"/>
  <c r="S362" i="15"/>
  <c r="S363" i="15"/>
  <c r="S364" i="15"/>
  <c r="S365" i="15"/>
  <c r="S366" i="15"/>
  <c r="S367" i="15"/>
  <c r="S368" i="15"/>
  <c r="S369" i="15"/>
  <c r="S370" i="15"/>
  <c r="S371" i="15"/>
  <c r="S373" i="15"/>
  <c r="S374" i="15"/>
  <c r="S375" i="15"/>
  <c r="S376" i="15"/>
  <c r="S377" i="15"/>
  <c r="S378" i="15"/>
  <c r="S379" i="15"/>
  <c r="S380" i="15"/>
  <c r="S381" i="15"/>
  <c r="S382" i="15"/>
  <c r="S383" i="15"/>
  <c r="S384" i="15"/>
  <c r="S385" i="15"/>
  <c r="S386" i="15"/>
  <c r="S387" i="15"/>
  <c r="S388" i="15"/>
  <c r="S389" i="15"/>
  <c r="S390" i="15"/>
  <c r="S391" i="15"/>
  <c r="S392" i="15"/>
  <c r="S393" i="15"/>
  <c r="S394" i="15"/>
  <c r="S395" i="15"/>
  <c r="S396" i="15"/>
  <c r="S397" i="15"/>
  <c r="S398" i="15"/>
  <c r="S399" i="15"/>
  <c r="S400" i="15"/>
  <c r="S401" i="15"/>
  <c r="S402" i="15"/>
  <c r="S403" i="15"/>
  <c r="S404" i="15"/>
  <c r="S405" i="15"/>
  <c r="S406" i="15"/>
  <c r="S407" i="15"/>
  <c r="S408" i="15"/>
  <c r="S409" i="15"/>
  <c r="S410" i="15"/>
  <c r="S411" i="15"/>
  <c r="S412" i="15"/>
  <c r="S413" i="15"/>
  <c r="S414" i="15"/>
  <c r="S415" i="15"/>
  <c r="S416" i="15"/>
  <c r="S417" i="15"/>
  <c r="S418" i="15"/>
  <c r="S419" i="15"/>
  <c r="S420" i="15"/>
  <c r="S421" i="15"/>
  <c r="S422" i="15"/>
  <c r="S423" i="15"/>
  <c r="S424" i="15"/>
  <c r="S425" i="15"/>
  <c r="S426" i="15"/>
  <c r="S427" i="15"/>
  <c r="S428" i="15"/>
  <c r="S429" i="15"/>
  <c r="S430" i="15"/>
  <c r="S431" i="15"/>
  <c r="S432" i="15"/>
  <c r="S433" i="15"/>
  <c r="S434" i="15"/>
  <c r="S435" i="15"/>
  <c r="S436" i="15"/>
  <c r="S437" i="15"/>
  <c r="S438" i="15"/>
  <c r="S439" i="15"/>
  <c r="S440" i="15"/>
  <c r="S441" i="15"/>
  <c r="S442" i="15"/>
  <c r="S443" i="15"/>
  <c r="S444" i="15"/>
  <c r="S445" i="15"/>
  <c r="S447" i="15"/>
  <c r="S448" i="15"/>
  <c r="S449" i="15"/>
  <c r="S450" i="15"/>
  <c r="S451" i="15"/>
  <c r="S452" i="15"/>
  <c r="S453" i="15"/>
  <c r="S454" i="15"/>
  <c r="S455" i="15"/>
  <c r="S456" i="15"/>
  <c r="S457" i="15"/>
  <c r="S458" i="15"/>
  <c r="S459" i="15"/>
  <c r="S460" i="15"/>
  <c r="S461" i="15"/>
  <c r="S462" i="15"/>
  <c r="S463" i="15"/>
  <c r="S464" i="15"/>
  <c r="S465" i="15"/>
  <c r="S466" i="15"/>
  <c r="S467" i="15"/>
  <c r="S468" i="15"/>
  <c r="S469" i="15"/>
  <c r="S470" i="15"/>
  <c r="S471" i="15"/>
  <c r="S472" i="15"/>
  <c r="S473" i="15"/>
  <c r="S474" i="15"/>
  <c r="S475" i="15"/>
  <c r="S476" i="15"/>
  <c r="S477" i="15"/>
  <c r="S478" i="15"/>
  <c r="S479" i="15"/>
  <c r="S480" i="15"/>
  <c r="S481" i="15"/>
  <c r="S482" i="15"/>
  <c r="S483" i="15"/>
  <c r="S484" i="15"/>
  <c r="S485" i="15"/>
  <c r="S486" i="15"/>
  <c r="S487" i="15"/>
  <c r="S488" i="15"/>
  <c r="S489" i="15"/>
  <c r="S490" i="15"/>
  <c r="S491" i="15"/>
  <c r="S492" i="15"/>
  <c r="S493" i="15"/>
  <c r="S494" i="15"/>
  <c r="S495" i="15"/>
  <c r="S496" i="15"/>
  <c r="S497" i="15"/>
  <c r="S498" i="15"/>
  <c r="S499" i="15"/>
  <c r="S500" i="15"/>
  <c r="S501" i="15"/>
  <c r="S502" i="15"/>
  <c r="S503" i="15"/>
  <c r="S504" i="15"/>
  <c r="S505" i="15"/>
  <c r="S506" i="15"/>
  <c r="S507" i="15"/>
  <c r="S508" i="15"/>
  <c r="S509" i="15"/>
  <c r="S510" i="15"/>
  <c r="S511" i="15"/>
  <c r="S512" i="15"/>
  <c r="S513" i="15"/>
  <c r="S514" i="15"/>
  <c r="S515" i="15"/>
  <c r="S516" i="15"/>
  <c r="S517" i="15"/>
  <c r="S518" i="15"/>
  <c r="S519" i="15"/>
  <c r="S225" i="15"/>
  <c r="R226" i="15"/>
  <c r="R227" i="15"/>
  <c r="R228" i="15"/>
  <c r="R229" i="15"/>
  <c r="R230" i="15"/>
  <c r="R231" i="15"/>
  <c r="R232" i="15"/>
  <c r="R233" i="15"/>
  <c r="R234" i="15"/>
  <c r="R235" i="15"/>
  <c r="R236" i="15"/>
  <c r="R237" i="15"/>
  <c r="R238" i="15"/>
  <c r="R239" i="15"/>
  <c r="R240" i="15"/>
  <c r="R241" i="15"/>
  <c r="R242" i="15"/>
  <c r="R243" i="15"/>
  <c r="R244" i="15"/>
  <c r="R245" i="15"/>
  <c r="R246" i="15"/>
  <c r="R247" i="15"/>
  <c r="R248" i="15"/>
  <c r="R249" i="15"/>
  <c r="R250" i="15"/>
  <c r="R251" i="15"/>
  <c r="R252" i="15"/>
  <c r="R253" i="15"/>
  <c r="R254" i="15"/>
  <c r="R255" i="15"/>
  <c r="R256" i="15"/>
  <c r="R257" i="15"/>
  <c r="R258" i="15"/>
  <c r="R259" i="15"/>
  <c r="R260" i="15"/>
  <c r="R261" i="15"/>
  <c r="R262" i="15"/>
  <c r="R263" i="15"/>
  <c r="R264" i="15"/>
  <c r="R265" i="15"/>
  <c r="R266" i="15"/>
  <c r="R267" i="15"/>
  <c r="R268" i="15"/>
  <c r="R269" i="15"/>
  <c r="R270" i="15"/>
  <c r="R271" i="15"/>
  <c r="R272" i="15"/>
  <c r="R273" i="15"/>
  <c r="R274" i="15"/>
  <c r="R275" i="15"/>
  <c r="R276" i="15"/>
  <c r="R277" i="15"/>
  <c r="R278" i="15"/>
  <c r="R279" i="15"/>
  <c r="R280" i="15"/>
  <c r="R281" i="15"/>
  <c r="R282" i="15"/>
  <c r="R283" i="15"/>
  <c r="R284" i="15"/>
  <c r="R285" i="15"/>
  <c r="R286" i="15"/>
  <c r="R287" i="15"/>
  <c r="R288" i="15"/>
  <c r="R289" i="15"/>
  <c r="R290" i="15"/>
  <c r="R291" i="15"/>
  <c r="R292" i="15"/>
  <c r="R293" i="15"/>
  <c r="R294" i="15"/>
  <c r="R295" i="15"/>
  <c r="R296" i="15"/>
  <c r="R297" i="15"/>
  <c r="R299" i="15"/>
  <c r="R300" i="15"/>
  <c r="R301" i="15"/>
  <c r="R302" i="15"/>
  <c r="R303" i="15"/>
  <c r="R304" i="15"/>
  <c r="R305" i="15"/>
  <c r="R306" i="15"/>
  <c r="R307" i="15"/>
  <c r="R308" i="15"/>
  <c r="R309" i="15"/>
  <c r="R310" i="15"/>
  <c r="R311" i="15"/>
  <c r="R312" i="15"/>
  <c r="R313" i="15"/>
  <c r="R314" i="15"/>
  <c r="R315" i="15"/>
  <c r="R316" i="15"/>
  <c r="R317" i="15"/>
  <c r="R318" i="15"/>
  <c r="R319" i="15"/>
  <c r="R320" i="15"/>
  <c r="R321" i="15"/>
  <c r="R322" i="15"/>
  <c r="R323" i="15"/>
  <c r="R324" i="15"/>
  <c r="R325" i="15"/>
  <c r="R326" i="15"/>
  <c r="R327" i="15"/>
  <c r="R328" i="15"/>
  <c r="R329" i="15"/>
  <c r="R330" i="15"/>
  <c r="R331" i="15"/>
  <c r="R332" i="15"/>
  <c r="R333" i="15"/>
  <c r="R334" i="15"/>
  <c r="R335" i="15"/>
  <c r="R336" i="15"/>
  <c r="R337" i="15"/>
  <c r="R338" i="15"/>
  <c r="R339" i="15"/>
  <c r="R340" i="15"/>
  <c r="R341" i="15"/>
  <c r="R342" i="15"/>
  <c r="R343" i="15"/>
  <c r="R344" i="15"/>
  <c r="R345" i="15"/>
  <c r="R346" i="15"/>
  <c r="R347" i="15"/>
  <c r="R348" i="15"/>
  <c r="R349" i="15"/>
  <c r="R350" i="15"/>
  <c r="R351" i="15"/>
  <c r="R352" i="15"/>
  <c r="R353" i="15"/>
  <c r="R354" i="15"/>
  <c r="R355" i="15"/>
  <c r="R356" i="15"/>
  <c r="R357" i="15"/>
  <c r="R358" i="15"/>
  <c r="R359" i="15"/>
  <c r="R360" i="15"/>
  <c r="R361" i="15"/>
  <c r="R362" i="15"/>
  <c r="R363" i="15"/>
  <c r="R364" i="15"/>
  <c r="R365" i="15"/>
  <c r="R366" i="15"/>
  <c r="R367" i="15"/>
  <c r="R368" i="15"/>
  <c r="R369" i="15"/>
  <c r="R370" i="15"/>
  <c r="R371" i="15"/>
  <c r="R373" i="15"/>
  <c r="R374" i="15"/>
  <c r="R375" i="15"/>
  <c r="R376" i="15"/>
  <c r="R377" i="15"/>
  <c r="R378" i="15"/>
  <c r="R379" i="15"/>
  <c r="R380" i="15"/>
  <c r="R381" i="15"/>
  <c r="R382" i="15"/>
  <c r="R383" i="15"/>
  <c r="R384" i="15"/>
  <c r="R385" i="15"/>
  <c r="R386" i="15"/>
  <c r="R387" i="15"/>
  <c r="R388" i="15"/>
  <c r="R389" i="15"/>
  <c r="R390" i="15"/>
  <c r="R391" i="15"/>
  <c r="R392" i="15"/>
  <c r="R393" i="15"/>
  <c r="R394" i="15"/>
  <c r="R395" i="15"/>
  <c r="R396" i="15"/>
  <c r="R397" i="15"/>
  <c r="R398" i="15"/>
  <c r="R399" i="15"/>
  <c r="R400" i="15"/>
  <c r="R401" i="15"/>
  <c r="R402" i="15"/>
  <c r="R403" i="15"/>
  <c r="R404" i="15"/>
  <c r="R405" i="15"/>
  <c r="R406" i="15"/>
  <c r="R407" i="15"/>
  <c r="R408" i="15"/>
  <c r="R409" i="15"/>
  <c r="R410" i="15"/>
  <c r="R411" i="15"/>
  <c r="R412" i="15"/>
  <c r="R413" i="15"/>
  <c r="R414" i="15"/>
  <c r="R415" i="15"/>
  <c r="R416" i="15"/>
  <c r="R417" i="15"/>
  <c r="R418" i="15"/>
  <c r="R419" i="15"/>
  <c r="R420" i="15"/>
  <c r="R421" i="15"/>
  <c r="R422" i="15"/>
  <c r="R423" i="15"/>
  <c r="R424" i="15"/>
  <c r="R425" i="15"/>
  <c r="R426" i="15"/>
  <c r="R427" i="15"/>
  <c r="R428" i="15"/>
  <c r="R429" i="15"/>
  <c r="R430" i="15"/>
  <c r="R431" i="15"/>
  <c r="R432" i="15"/>
  <c r="R433" i="15"/>
  <c r="R434" i="15"/>
  <c r="R435" i="15"/>
  <c r="R436" i="15"/>
  <c r="R437" i="15"/>
  <c r="R438" i="15"/>
  <c r="R439" i="15"/>
  <c r="R440" i="15"/>
  <c r="R441" i="15"/>
  <c r="R442" i="15"/>
  <c r="R443" i="15"/>
  <c r="R444" i="15"/>
  <c r="R445" i="15"/>
  <c r="R447" i="15"/>
  <c r="R448" i="15"/>
  <c r="R449" i="15"/>
  <c r="R450" i="15"/>
  <c r="R451" i="15"/>
  <c r="R452" i="15"/>
  <c r="R453" i="15"/>
  <c r="R454" i="15"/>
  <c r="R455" i="15"/>
  <c r="R456" i="15"/>
  <c r="R457" i="15"/>
  <c r="R458" i="15"/>
  <c r="R459" i="15"/>
  <c r="R460" i="15"/>
  <c r="R461" i="15"/>
  <c r="R462" i="15"/>
  <c r="R463" i="15"/>
  <c r="R464" i="15"/>
  <c r="R465" i="15"/>
  <c r="R466" i="15"/>
  <c r="R467" i="15"/>
  <c r="R468" i="15"/>
  <c r="R469" i="15"/>
  <c r="R470" i="15"/>
  <c r="R471" i="15"/>
  <c r="R472" i="15"/>
  <c r="R473" i="15"/>
  <c r="R474" i="15"/>
  <c r="R475" i="15"/>
  <c r="R476" i="15"/>
  <c r="R477" i="15"/>
  <c r="R478" i="15"/>
  <c r="R479" i="15"/>
  <c r="R480" i="15"/>
  <c r="R481" i="15"/>
  <c r="R482" i="15"/>
  <c r="R483" i="15"/>
  <c r="R484" i="15"/>
  <c r="R485" i="15"/>
  <c r="R486" i="15"/>
  <c r="R487" i="15"/>
  <c r="R488" i="15"/>
  <c r="R489" i="15"/>
  <c r="R490" i="15"/>
  <c r="R491" i="15"/>
  <c r="R492" i="15"/>
  <c r="R493" i="15"/>
  <c r="R494" i="15"/>
  <c r="R495" i="15"/>
  <c r="R496" i="15"/>
  <c r="R497" i="15"/>
  <c r="R498" i="15"/>
  <c r="R499" i="15"/>
  <c r="R500" i="15"/>
  <c r="R501" i="15"/>
  <c r="R502" i="15"/>
  <c r="R503" i="15"/>
  <c r="R504" i="15"/>
  <c r="R505" i="15"/>
  <c r="R506" i="15"/>
  <c r="R507" i="15"/>
  <c r="R508" i="15"/>
  <c r="R509" i="15"/>
  <c r="R510" i="15"/>
  <c r="R511" i="15"/>
  <c r="R512" i="15"/>
  <c r="R513" i="15"/>
  <c r="R514" i="15"/>
  <c r="R515" i="15"/>
  <c r="R516" i="15"/>
  <c r="R517" i="15"/>
  <c r="R518" i="15"/>
  <c r="R519" i="15"/>
  <c r="R225" i="15"/>
  <c r="Q226" i="15"/>
  <c r="Q227" i="15"/>
  <c r="Q228" i="15"/>
  <c r="Q229" i="15"/>
  <c r="Q230" i="15"/>
  <c r="Q231" i="15"/>
  <c r="Q232" i="15"/>
  <c r="Q233" i="15"/>
  <c r="Q234" i="15"/>
  <c r="Q235" i="15"/>
  <c r="Q236" i="15"/>
  <c r="Q237" i="15"/>
  <c r="Q238" i="15"/>
  <c r="Q239" i="15"/>
  <c r="Q240" i="15"/>
  <c r="Q241" i="15"/>
  <c r="Q242" i="15"/>
  <c r="Q243" i="15"/>
  <c r="Q244" i="15"/>
  <c r="Q245" i="15"/>
  <c r="Q246" i="15"/>
  <c r="Q247" i="15"/>
  <c r="Q248" i="15"/>
  <c r="Q249" i="15"/>
  <c r="Q250" i="15"/>
  <c r="Q251" i="15"/>
  <c r="Q252" i="15"/>
  <c r="Q253" i="15"/>
  <c r="Q254" i="15"/>
  <c r="Q255" i="15"/>
  <c r="Q256" i="15"/>
  <c r="Q257" i="15"/>
  <c r="Q258" i="15"/>
  <c r="Q259" i="15"/>
  <c r="Q260" i="15"/>
  <c r="Q261" i="15"/>
  <c r="Q262" i="15"/>
  <c r="Q263" i="15"/>
  <c r="Q264" i="15"/>
  <c r="Q265" i="15"/>
  <c r="Q266" i="15"/>
  <c r="Q267" i="15"/>
  <c r="Q268" i="15"/>
  <c r="Q269" i="15"/>
  <c r="Q270" i="15"/>
  <c r="Q271" i="15"/>
  <c r="Q272" i="15"/>
  <c r="Q273" i="15"/>
  <c r="Q274" i="15"/>
  <c r="Q275" i="15"/>
  <c r="Q276" i="15"/>
  <c r="Q277" i="15"/>
  <c r="Q278" i="15"/>
  <c r="Q279" i="15"/>
  <c r="Q280" i="15"/>
  <c r="Q281" i="15"/>
  <c r="Q282" i="15"/>
  <c r="Q283" i="15"/>
  <c r="Q284" i="15"/>
  <c r="Q285" i="15"/>
  <c r="Q286" i="15"/>
  <c r="Q287" i="15"/>
  <c r="Q288" i="15"/>
  <c r="Q289" i="15"/>
  <c r="Q290" i="15"/>
  <c r="Q291" i="15"/>
  <c r="Q292" i="15"/>
  <c r="Q293" i="15"/>
  <c r="Q294" i="15"/>
  <c r="Q295" i="15"/>
  <c r="Q296" i="15"/>
  <c r="Q297" i="15"/>
  <c r="Q299" i="15"/>
  <c r="Q300" i="15"/>
  <c r="Q301" i="15"/>
  <c r="Q302" i="15"/>
  <c r="Q303" i="15"/>
  <c r="Q304" i="15"/>
  <c r="Q305" i="15"/>
  <c r="Q306" i="15"/>
  <c r="Q307" i="15"/>
  <c r="Q308" i="15"/>
  <c r="Q309" i="15"/>
  <c r="Q310" i="15"/>
  <c r="Q311" i="15"/>
  <c r="Q312" i="15"/>
  <c r="Q313" i="15"/>
  <c r="Q314" i="15"/>
  <c r="Q315" i="15"/>
  <c r="Q316" i="15"/>
  <c r="Q317" i="15"/>
  <c r="Q318" i="15"/>
  <c r="Q319" i="15"/>
  <c r="Q320" i="15"/>
  <c r="Q321" i="15"/>
  <c r="Q322" i="15"/>
  <c r="Q323" i="15"/>
  <c r="Q324" i="15"/>
  <c r="Q325" i="15"/>
  <c r="Q326" i="15"/>
  <c r="Q327" i="15"/>
  <c r="Q328" i="15"/>
  <c r="Q329" i="15"/>
  <c r="Q330" i="15"/>
  <c r="Q331" i="15"/>
  <c r="Q332" i="15"/>
  <c r="Q333" i="15"/>
  <c r="Q334" i="15"/>
  <c r="Q335" i="15"/>
  <c r="Q336" i="15"/>
  <c r="Q337" i="15"/>
  <c r="Q338" i="15"/>
  <c r="Q339" i="15"/>
  <c r="Q340" i="15"/>
  <c r="Q341" i="15"/>
  <c r="Q342" i="15"/>
  <c r="Q343" i="15"/>
  <c r="Q344" i="15"/>
  <c r="Q345" i="15"/>
  <c r="Q346" i="15"/>
  <c r="Q347" i="15"/>
  <c r="Q348" i="15"/>
  <c r="Q349" i="15"/>
  <c r="Q350" i="15"/>
  <c r="Q351" i="15"/>
  <c r="Q352" i="15"/>
  <c r="Q353" i="15"/>
  <c r="Q354" i="15"/>
  <c r="Q355" i="15"/>
  <c r="Q356" i="15"/>
  <c r="Q357" i="15"/>
  <c r="Q358" i="15"/>
  <c r="Q359" i="15"/>
  <c r="Q360" i="15"/>
  <c r="Q361" i="15"/>
  <c r="Q362" i="15"/>
  <c r="Q363" i="15"/>
  <c r="Q364" i="15"/>
  <c r="Q365" i="15"/>
  <c r="Q366" i="15"/>
  <c r="Q367" i="15"/>
  <c r="Q368" i="15"/>
  <c r="Q369" i="15"/>
  <c r="Q370" i="15"/>
  <c r="Q371" i="15"/>
  <c r="Q373" i="15"/>
  <c r="Q374" i="15"/>
  <c r="Q375" i="15"/>
  <c r="Q376" i="15"/>
  <c r="Q377" i="15"/>
  <c r="Q378" i="15"/>
  <c r="Q379" i="15"/>
  <c r="Q380" i="15"/>
  <c r="Q381" i="15"/>
  <c r="Q382" i="15"/>
  <c r="Q383" i="15"/>
  <c r="Q384" i="15"/>
  <c r="Q385" i="15"/>
  <c r="Q386" i="15"/>
  <c r="Q387" i="15"/>
  <c r="Q388" i="15"/>
  <c r="Q389" i="15"/>
  <c r="Q390" i="15"/>
  <c r="Q391" i="15"/>
  <c r="Q392" i="15"/>
  <c r="Q393" i="15"/>
  <c r="Q394" i="15"/>
  <c r="Q395" i="15"/>
  <c r="Q396" i="15"/>
  <c r="Q397" i="15"/>
  <c r="Q398" i="15"/>
  <c r="Q399" i="15"/>
  <c r="Q400" i="15"/>
  <c r="Q401" i="15"/>
  <c r="Q402" i="15"/>
  <c r="Q403" i="15"/>
  <c r="Q404" i="15"/>
  <c r="Q405" i="15"/>
  <c r="Q406" i="15"/>
  <c r="Q407" i="15"/>
  <c r="Q408" i="15"/>
  <c r="Q409" i="15"/>
  <c r="Q410" i="15"/>
  <c r="Q411" i="15"/>
  <c r="Q412" i="15"/>
  <c r="Q413" i="15"/>
  <c r="Q414" i="15"/>
  <c r="Q415" i="15"/>
  <c r="Q416" i="15"/>
  <c r="Q417" i="15"/>
  <c r="Q418" i="15"/>
  <c r="Q419" i="15"/>
  <c r="Q420" i="15"/>
  <c r="Q421" i="15"/>
  <c r="Q422" i="15"/>
  <c r="Q423" i="15"/>
  <c r="Q424" i="15"/>
  <c r="Q425" i="15"/>
  <c r="Q426" i="15"/>
  <c r="Q427" i="15"/>
  <c r="Q428" i="15"/>
  <c r="Q429" i="15"/>
  <c r="Q430" i="15"/>
  <c r="Q431" i="15"/>
  <c r="Q432" i="15"/>
  <c r="Q433" i="15"/>
  <c r="Q434" i="15"/>
  <c r="Q435" i="15"/>
  <c r="Q436" i="15"/>
  <c r="Q437" i="15"/>
  <c r="Q438" i="15"/>
  <c r="Q439" i="15"/>
  <c r="Q440" i="15"/>
  <c r="Q441" i="15"/>
  <c r="Q442" i="15"/>
  <c r="Q443" i="15"/>
  <c r="Q444" i="15"/>
  <c r="Q445" i="15"/>
  <c r="Q447" i="15"/>
  <c r="Q448" i="15"/>
  <c r="Q449" i="15"/>
  <c r="Q450" i="15"/>
  <c r="Q451" i="15"/>
  <c r="Q452" i="15"/>
  <c r="Q453" i="15"/>
  <c r="Q454" i="15"/>
  <c r="Q455" i="15"/>
  <c r="Q456" i="15"/>
  <c r="Q457" i="15"/>
  <c r="Q458" i="15"/>
  <c r="Q459" i="15"/>
  <c r="Q460" i="15"/>
  <c r="Q461" i="15"/>
  <c r="Q462" i="15"/>
  <c r="Q463" i="15"/>
  <c r="Q464" i="15"/>
  <c r="Q465" i="15"/>
  <c r="Q466" i="15"/>
  <c r="Q467" i="15"/>
  <c r="Q468" i="15"/>
  <c r="Q469" i="15"/>
  <c r="Q470" i="15"/>
  <c r="Q471" i="15"/>
  <c r="Q472" i="15"/>
  <c r="Q473" i="15"/>
  <c r="Q474" i="15"/>
  <c r="Q475" i="15"/>
  <c r="Q476" i="15"/>
  <c r="Q477" i="15"/>
  <c r="Q478" i="15"/>
  <c r="Q479" i="15"/>
  <c r="Q480" i="15"/>
  <c r="Q481" i="15"/>
  <c r="Q482" i="15"/>
  <c r="Q483" i="15"/>
  <c r="Q484" i="15"/>
  <c r="Q485" i="15"/>
  <c r="Q486" i="15"/>
  <c r="Q487" i="15"/>
  <c r="Q488" i="15"/>
  <c r="Q489" i="15"/>
  <c r="Q490" i="15"/>
  <c r="Q491" i="15"/>
  <c r="Q492" i="15"/>
  <c r="Q493" i="15"/>
  <c r="Q494" i="15"/>
  <c r="Q495" i="15"/>
  <c r="Q496" i="15"/>
  <c r="Q497" i="15"/>
  <c r="Q498" i="15"/>
  <c r="Q499" i="15"/>
  <c r="Q500" i="15"/>
  <c r="Q501" i="15"/>
  <c r="Q502" i="15"/>
  <c r="Q503" i="15"/>
  <c r="Q504" i="15"/>
  <c r="Q505" i="15"/>
  <c r="Q506" i="15"/>
  <c r="Q507" i="15"/>
  <c r="Q508" i="15"/>
  <c r="Q509" i="15"/>
  <c r="Q510" i="15"/>
  <c r="Q511" i="15"/>
  <c r="Q512" i="15"/>
  <c r="Q513" i="15"/>
  <c r="Q514" i="15"/>
  <c r="Q515" i="15"/>
  <c r="Q516" i="15"/>
  <c r="Q517" i="15"/>
  <c r="Q518" i="15"/>
  <c r="Q519" i="15"/>
  <c r="Q225" i="15"/>
  <c r="D835" i="14"/>
  <c r="D834" i="14"/>
  <c r="D833" i="14"/>
  <c r="D832" i="14"/>
  <c r="D831" i="14"/>
  <c r="D830" i="14"/>
  <c r="D829" i="14"/>
  <c r="D828" i="14"/>
  <c r="D827" i="14"/>
  <c r="D826" i="14"/>
  <c r="D825" i="14"/>
  <c r="D824" i="14"/>
  <c r="D823" i="14"/>
  <c r="D822" i="14"/>
  <c r="D821" i="14"/>
  <c r="D820" i="14"/>
  <c r="D819" i="14"/>
  <c r="D818" i="14"/>
  <c r="D817" i="14"/>
  <c r="D816" i="14"/>
  <c r="D815" i="14"/>
  <c r="D814" i="14"/>
  <c r="D813" i="14"/>
  <c r="D812" i="14"/>
  <c r="D811" i="14"/>
  <c r="D810" i="14"/>
  <c r="D809" i="14"/>
  <c r="D808" i="14"/>
  <c r="D807" i="14"/>
  <c r="D806" i="14"/>
  <c r="D805" i="14"/>
  <c r="D804" i="14"/>
  <c r="D803" i="14"/>
  <c r="D802" i="14"/>
  <c r="D801" i="14"/>
  <c r="D800" i="14"/>
  <c r="D799" i="14"/>
  <c r="D798" i="14"/>
  <c r="D797" i="14"/>
  <c r="D796" i="14"/>
  <c r="D795" i="14"/>
  <c r="D794" i="14"/>
  <c r="D793" i="14"/>
  <c r="D792" i="14"/>
  <c r="D791" i="14"/>
  <c r="D790" i="14"/>
  <c r="D789" i="14"/>
  <c r="D788" i="14"/>
  <c r="D787" i="14"/>
  <c r="D786" i="14"/>
  <c r="D785" i="14"/>
  <c r="D784" i="14"/>
  <c r="D783" i="14"/>
  <c r="D782" i="14"/>
  <c r="D781" i="14"/>
  <c r="D780" i="14"/>
  <c r="D779" i="14"/>
  <c r="D778" i="14"/>
  <c r="D777" i="14"/>
  <c r="D776" i="14"/>
  <c r="D775" i="14"/>
  <c r="D774" i="14"/>
  <c r="D773" i="14"/>
  <c r="D772" i="14"/>
  <c r="D771" i="14"/>
  <c r="D770" i="14"/>
  <c r="D769" i="14"/>
  <c r="D768" i="14"/>
  <c r="D767" i="14"/>
  <c r="D766" i="14"/>
  <c r="D765" i="14"/>
  <c r="D764" i="14"/>
  <c r="D763" i="14"/>
  <c r="D762" i="14"/>
  <c r="D761" i="14"/>
  <c r="D760" i="14"/>
  <c r="D759" i="14"/>
  <c r="D758" i="14"/>
  <c r="D757" i="14"/>
  <c r="D756" i="14"/>
  <c r="D755" i="14"/>
  <c r="D754" i="14"/>
  <c r="D753" i="14"/>
  <c r="D752" i="14"/>
  <c r="D751" i="14"/>
  <c r="D750" i="14"/>
  <c r="D749" i="14"/>
  <c r="D748" i="14"/>
  <c r="D747" i="14"/>
  <c r="D746" i="14"/>
  <c r="D745" i="14"/>
  <c r="D744" i="14"/>
  <c r="D743" i="14"/>
  <c r="D742" i="14"/>
  <c r="D741" i="14"/>
  <c r="D740" i="14"/>
  <c r="D739" i="14"/>
  <c r="D738" i="14"/>
  <c r="D737" i="14"/>
  <c r="D736" i="14"/>
  <c r="D735" i="14"/>
  <c r="D734" i="14"/>
  <c r="D733" i="14"/>
  <c r="D732" i="14"/>
  <c r="D731" i="14"/>
  <c r="D730" i="14"/>
  <c r="D729" i="14"/>
  <c r="D728" i="14"/>
  <c r="D727" i="14"/>
  <c r="B835" i="14"/>
  <c r="B834" i="14"/>
  <c r="B833" i="14"/>
  <c r="B832" i="14"/>
  <c r="B831" i="14"/>
  <c r="B830" i="14"/>
  <c r="B829" i="14"/>
  <c r="B828" i="14"/>
  <c r="B827" i="14"/>
  <c r="B826" i="14"/>
  <c r="B825" i="14"/>
  <c r="B824" i="14"/>
  <c r="B823" i="14"/>
  <c r="B822" i="14"/>
  <c r="B821" i="14"/>
  <c r="B820" i="14"/>
  <c r="B819" i="14"/>
  <c r="B818" i="14"/>
  <c r="B817" i="14"/>
  <c r="B816" i="14"/>
  <c r="B815" i="14"/>
  <c r="B814" i="14"/>
  <c r="B813" i="14"/>
  <c r="B812" i="14"/>
  <c r="B811" i="14"/>
  <c r="B810" i="14"/>
  <c r="B809" i="14"/>
  <c r="B808" i="14"/>
  <c r="B807" i="14"/>
  <c r="B806" i="14"/>
  <c r="B805" i="14"/>
  <c r="B804" i="14"/>
  <c r="B803" i="14"/>
  <c r="B802" i="14"/>
  <c r="B801" i="14"/>
  <c r="B800" i="14"/>
  <c r="B799" i="14"/>
  <c r="B798" i="14"/>
  <c r="B797" i="14"/>
  <c r="B796" i="14"/>
  <c r="B795" i="14"/>
  <c r="B794" i="14"/>
  <c r="B793" i="14"/>
  <c r="B792" i="14"/>
  <c r="B791" i="14"/>
  <c r="B790" i="14"/>
  <c r="B789" i="14"/>
  <c r="B788" i="14"/>
  <c r="B787" i="14"/>
  <c r="L786" i="14"/>
  <c r="B786" i="14"/>
  <c r="L785" i="14"/>
  <c r="B785" i="14"/>
  <c r="L784" i="14"/>
  <c r="B784" i="14"/>
  <c r="L783" i="14"/>
  <c r="B783" i="14"/>
  <c r="L782" i="14"/>
  <c r="B782" i="14"/>
  <c r="L781" i="14"/>
  <c r="B781" i="14"/>
  <c r="L780" i="14"/>
  <c r="B780" i="14"/>
  <c r="L779" i="14"/>
  <c r="B779" i="14"/>
  <c r="B778" i="14"/>
  <c r="B777" i="14"/>
  <c r="B776" i="14"/>
  <c r="B775" i="14"/>
  <c r="B774" i="14"/>
  <c r="B773" i="14"/>
  <c r="B772" i="14"/>
  <c r="B771" i="14"/>
  <c r="B770" i="14"/>
  <c r="B769" i="14"/>
  <c r="B768" i="14"/>
  <c r="B767" i="14"/>
  <c r="B766" i="14"/>
  <c r="B765" i="14"/>
  <c r="B764" i="14"/>
  <c r="B763" i="14"/>
  <c r="B762" i="14"/>
  <c r="B761" i="14"/>
  <c r="B760" i="14"/>
  <c r="B759" i="14"/>
  <c r="B758" i="14"/>
  <c r="B757" i="14"/>
  <c r="B756" i="14"/>
  <c r="B755" i="14"/>
  <c r="B754" i="14"/>
  <c r="B753" i="14"/>
  <c r="B752" i="14"/>
  <c r="B751" i="14"/>
  <c r="B750" i="14"/>
  <c r="B749" i="14"/>
  <c r="B748" i="14"/>
  <c r="B747" i="14"/>
  <c r="L746" i="14"/>
  <c r="B746" i="14"/>
  <c r="L745" i="14"/>
  <c r="B745" i="14"/>
  <c r="L744" i="14"/>
  <c r="B744" i="14"/>
  <c r="L743" i="14"/>
  <c r="B743" i="14"/>
  <c r="L742" i="14"/>
  <c r="B742" i="14"/>
  <c r="L741" i="14"/>
  <c r="B741" i="14"/>
  <c r="L740" i="14"/>
  <c r="B740" i="14"/>
  <c r="L739" i="14"/>
  <c r="B739" i="14"/>
  <c r="B738" i="14"/>
  <c r="B737" i="14"/>
  <c r="B736" i="14"/>
  <c r="B735" i="14"/>
  <c r="B734" i="14"/>
  <c r="B733" i="14"/>
  <c r="B732" i="14"/>
  <c r="B731" i="14"/>
  <c r="B730" i="14"/>
  <c r="B729" i="14"/>
  <c r="B728" i="14"/>
  <c r="B727" i="14"/>
  <c r="J786" i="14"/>
  <c r="I786" i="14"/>
  <c r="J785" i="14"/>
  <c r="I785" i="14"/>
  <c r="J784" i="14"/>
  <c r="I784" i="14"/>
  <c r="J783" i="14"/>
  <c r="I783" i="14"/>
  <c r="J782" i="14"/>
  <c r="I782" i="14"/>
  <c r="J781" i="14"/>
  <c r="I781" i="14"/>
  <c r="J780" i="14"/>
  <c r="I780" i="14"/>
  <c r="J779" i="14"/>
  <c r="I779" i="14"/>
  <c r="J746" i="14"/>
  <c r="I746" i="14"/>
  <c r="J745" i="14"/>
  <c r="I745" i="14"/>
  <c r="J744" i="14"/>
  <c r="I744" i="14"/>
  <c r="J743" i="14"/>
  <c r="I743" i="14"/>
  <c r="J742" i="14"/>
  <c r="I742" i="14"/>
  <c r="J741" i="14"/>
  <c r="I741" i="14"/>
  <c r="J740" i="14"/>
  <c r="I740" i="14"/>
  <c r="J739" i="14"/>
  <c r="I739" i="14"/>
  <c r="G838" i="14"/>
  <c r="G837" i="14"/>
  <c r="G836" i="14"/>
  <c r="Q835" i="14"/>
  <c r="G835" i="14"/>
  <c r="F835" i="14"/>
  <c r="G834" i="14"/>
  <c r="F834" i="14"/>
  <c r="G833" i="14"/>
  <c r="F833" i="14"/>
  <c r="Q832" i="14"/>
  <c r="G832" i="14"/>
  <c r="F832" i="14"/>
  <c r="Q831" i="14"/>
  <c r="G831" i="14"/>
  <c r="F831" i="14"/>
  <c r="G830" i="14"/>
  <c r="F830" i="14"/>
  <c r="G829" i="14"/>
  <c r="F829" i="14"/>
  <c r="Q828" i="14"/>
  <c r="G828" i="14"/>
  <c r="F828" i="14"/>
  <c r="Q827" i="14"/>
  <c r="G827" i="14"/>
  <c r="F827" i="14"/>
  <c r="G826" i="14"/>
  <c r="F826" i="14"/>
  <c r="G825" i="14"/>
  <c r="F825" i="14"/>
  <c r="Q824" i="14"/>
  <c r="G824" i="14"/>
  <c r="F824" i="14"/>
  <c r="Q823" i="14"/>
  <c r="G823" i="14"/>
  <c r="F823" i="14"/>
  <c r="G822" i="14"/>
  <c r="F822" i="14"/>
  <c r="G821" i="14"/>
  <c r="F821" i="14"/>
  <c r="Q820" i="14"/>
  <c r="G820" i="14"/>
  <c r="F820" i="14"/>
  <c r="Q819" i="14"/>
  <c r="G819" i="14"/>
  <c r="F819" i="14"/>
  <c r="G818" i="14"/>
  <c r="F818" i="14"/>
  <c r="G817" i="14"/>
  <c r="F817" i="14"/>
  <c r="Q816" i="14"/>
  <c r="G816" i="14"/>
  <c r="F816" i="14"/>
  <c r="Q815" i="14"/>
  <c r="G815" i="14"/>
  <c r="F815" i="14"/>
  <c r="G814" i="14"/>
  <c r="F814" i="14"/>
  <c r="G813" i="14"/>
  <c r="F813" i="14"/>
  <c r="Q812" i="14"/>
  <c r="G812" i="14"/>
  <c r="F812" i="14"/>
  <c r="Q811" i="14"/>
  <c r="G811" i="14"/>
  <c r="F811" i="14"/>
  <c r="G810" i="14"/>
  <c r="F810" i="14"/>
  <c r="G809" i="14"/>
  <c r="F809" i="14"/>
  <c r="Q808" i="14"/>
  <c r="G808" i="14"/>
  <c r="F808" i="14"/>
  <c r="Q807" i="14"/>
  <c r="G807" i="14"/>
  <c r="F807" i="14"/>
  <c r="G806" i="14"/>
  <c r="F806" i="14"/>
  <c r="G805" i="14"/>
  <c r="F805" i="14"/>
  <c r="Q804" i="14"/>
  <c r="G804" i="14"/>
  <c r="F804" i="14"/>
  <c r="Q803" i="14"/>
  <c r="G803" i="14"/>
  <c r="F803" i="14"/>
  <c r="G802" i="14"/>
  <c r="F802" i="14"/>
  <c r="G801" i="14"/>
  <c r="F801" i="14"/>
  <c r="Q800" i="14"/>
  <c r="G800" i="14"/>
  <c r="F800" i="14"/>
  <c r="Q799" i="14"/>
  <c r="G799" i="14"/>
  <c r="F799" i="14"/>
  <c r="G798" i="14"/>
  <c r="F798" i="14"/>
  <c r="G797" i="14"/>
  <c r="F797" i="14"/>
  <c r="Q796" i="14"/>
  <c r="G796" i="14"/>
  <c r="F796" i="14"/>
  <c r="Q795" i="14"/>
  <c r="G795" i="14"/>
  <c r="F795" i="14"/>
  <c r="G794" i="14"/>
  <c r="F794" i="14"/>
  <c r="G793" i="14"/>
  <c r="F793" i="14"/>
  <c r="Q792" i="14"/>
  <c r="G792" i="14"/>
  <c r="F792" i="14"/>
  <c r="Q791" i="14"/>
  <c r="G791" i="14"/>
  <c r="F791" i="14"/>
  <c r="G790" i="14"/>
  <c r="F790" i="14"/>
  <c r="G789" i="14"/>
  <c r="F789" i="14"/>
  <c r="Q788" i="14"/>
  <c r="G788" i="14"/>
  <c r="F788" i="14"/>
  <c r="Q787" i="14"/>
  <c r="G787" i="14"/>
  <c r="F787" i="14"/>
  <c r="G786" i="14"/>
  <c r="F786" i="14"/>
  <c r="G785" i="14"/>
  <c r="F785" i="14"/>
  <c r="Q784" i="14"/>
  <c r="O784" i="14" s="1"/>
  <c r="G784" i="14"/>
  <c r="F784" i="14"/>
  <c r="Q783" i="14"/>
  <c r="O783" i="14"/>
  <c r="G783" i="14"/>
  <c r="F783" i="14"/>
  <c r="G782" i="14"/>
  <c r="F782" i="14"/>
  <c r="G781" i="14"/>
  <c r="F781" i="14"/>
  <c r="Q780" i="14"/>
  <c r="O780" i="14" s="1"/>
  <c r="G780" i="14"/>
  <c r="F780" i="14"/>
  <c r="Q779" i="14"/>
  <c r="O779" i="14"/>
  <c r="G779" i="14"/>
  <c r="F779" i="14"/>
  <c r="G778" i="14"/>
  <c r="F778" i="14"/>
  <c r="G777" i="14"/>
  <c r="F777" i="14"/>
  <c r="Q776" i="14"/>
  <c r="G776" i="14"/>
  <c r="F776" i="14"/>
  <c r="Q775" i="14"/>
  <c r="G775" i="14"/>
  <c r="F775" i="14"/>
  <c r="G774" i="14"/>
  <c r="F774" i="14"/>
  <c r="G773" i="14"/>
  <c r="F773" i="14"/>
  <c r="Q772" i="14"/>
  <c r="G772" i="14"/>
  <c r="F772" i="14"/>
  <c r="Q771" i="14"/>
  <c r="G771" i="14"/>
  <c r="F771" i="14"/>
  <c r="G770" i="14"/>
  <c r="F770" i="14"/>
  <c r="G769" i="14"/>
  <c r="F769" i="14"/>
  <c r="Q768" i="14"/>
  <c r="G768" i="14"/>
  <c r="F768" i="14"/>
  <c r="Q767" i="14"/>
  <c r="G767" i="14"/>
  <c r="F767" i="14"/>
  <c r="G766" i="14"/>
  <c r="F766" i="14"/>
  <c r="G765" i="14"/>
  <c r="F765" i="14"/>
  <c r="Q764" i="14"/>
  <c r="G764" i="14"/>
  <c r="F764" i="14"/>
  <c r="Q763" i="14"/>
  <c r="G763" i="14"/>
  <c r="F763" i="14"/>
  <c r="G762" i="14"/>
  <c r="F762" i="14"/>
  <c r="G761" i="14"/>
  <c r="F761" i="14"/>
  <c r="Q760" i="14"/>
  <c r="G760" i="14"/>
  <c r="F760" i="14"/>
  <c r="Q759" i="14"/>
  <c r="G759" i="14"/>
  <c r="F759" i="14"/>
  <c r="G758" i="14"/>
  <c r="F758" i="14"/>
  <c r="G757" i="14"/>
  <c r="F757" i="14"/>
  <c r="Q756" i="14"/>
  <c r="G756" i="14"/>
  <c r="F756" i="14"/>
  <c r="Q755" i="14"/>
  <c r="G755" i="14"/>
  <c r="F755" i="14"/>
  <c r="G754" i="14"/>
  <c r="F754" i="14"/>
  <c r="G753" i="14"/>
  <c r="F753" i="14"/>
  <c r="Q752" i="14"/>
  <c r="G752" i="14"/>
  <c r="F752" i="14"/>
  <c r="Q751" i="14"/>
  <c r="G751" i="14"/>
  <c r="F751" i="14"/>
  <c r="G750" i="14"/>
  <c r="F750" i="14"/>
  <c r="G749" i="14"/>
  <c r="F749" i="14"/>
  <c r="Q748" i="14"/>
  <c r="G748" i="14"/>
  <c r="F748" i="14"/>
  <c r="Q747" i="14"/>
  <c r="G747" i="14"/>
  <c r="F747" i="14"/>
  <c r="G746" i="14"/>
  <c r="F746" i="14"/>
  <c r="G745" i="14"/>
  <c r="F745" i="14"/>
  <c r="Q744" i="14"/>
  <c r="O744" i="14" s="1"/>
  <c r="G744" i="14"/>
  <c r="F744" i="14"/>
  <c r="Q743" i="14"/>
  <c r="O743" i="14"/>
  <c r="G743" i="14"/>
  <c r="F743" i="14"/>
  <c r="G742" i="14"/>
  <c r="F742" i="14"/>
  <c r="G741" i="14"/>
  <c r="F741" i="14"/>
  <c r="Q740" i="14"/>
  <c r="O740" i="14" s="1"/>
  <c r="G740" i="14"/>
  <c r="F740" i="14"/>
  <c r="Q739" i="14"/>
  <c r="O739" i="14"/>
  <c r="G739" i="14"/>
  <c r="F739" i="14"/>
  <c r="G738" i="14"/>
  <c r="F738" i="14"/>
  <c r="G737" i="14"/>
  <c r="F737" i="14"/>
  <c r="Q736" i="14"/>
  <c r="G736" i="14"/>
  <c r="F736" i="14"/>
  <c r="Q735" i="14"/>
  <c r="G735" i="14"/>
  <c r="F735" i="14"/>
  <c r="G734" i="14"/>
  <c r="F734" i="14"/>
  <c r="G733" i="14"/>
  <c r="F733" i="14"/>
  <c r="Q732" i="14"/>
  <c r="G732" i="14"/>
  <c r="F732" i="14"/>
  <c r="Q731" i="14"/>
  <c r="G731" i="14"/>
  <c r="F731" i="14"/>
  <c r="G730" i="14"/>
  <c r="F730" i="14"/>
  <c r="G729" i="14"/>
  <c r="F729" i="14"/>
  <c r="Q728" i="14"/>
  <c r="G728" i="14"/>
  <c r="F728" i="14"/>
  <c r="Q727" i="14"/>
  <c r="G727" i="14"/>
  <c r="F727" i="14"/>
  <c r="L673" i="14"/>
  <c r="J673" i="14"/>
  <c r="I673" i="14"/>
  <c r="L672" i="14"/>
  <c r="J672" i="14"/>
  <c r="I672" i="14"/>
  <c r="L671" i="14"/>
  <c r="J671" i="14"/>
  <c r="I671" i="14"/>
  <c r="L670" i="14"/>
  <c r="J670" i="14"/>
  <c r="I670" i="14"/>
  <c r="L669" i="14"/>
  <c r="J669" i="14"/>
  <c r="I669" i="14"/>
  <c r="L668" i="14"/>
  <c r="J668" i="14"/>
  <c r="I668" i="14"/>
  <c r="L667" i="14"/>
  <c r="J667" i="14"/>
  <c r="I667" i="14"/>
  <c r="L666" i="14"/>
  <c r="J666" i="14"/>
  <c r="I666" i="14"/>
  <c r="L633" i="14"/>
  <c r="J633" i="14"/>
  <c r="I633" i="14"/>
  <c r="L632" i="14"/>
  <c r="J632" i="14"/>
  <c r="I632" i="14"/>
  <c r="L631" i="14"/>
  <c r="J631" i="14"/>
  <c r="I631" i="14"/>
  <c r="L630" i="14"/>
  <c r="J630" i="14"/>
  <c r="I630" i="14"/>
  <c r="L629" i="14"/>
  <c r="J629" i="14"/>
  <c r="I629" i="14"/>
  <c r="L628" i="14"/>
  <c r="J628" i="14"/>
  <c r="I628" i="14"/>
  <c r="L627" i="14"/>
  <c r="J627" i="14"/>
  <c r="I627" i="14"/>
  <c r="L626" i="14"/>
  <c r="J626" i="14"/>
  <c r="I626" i="14"/>
  <c r="L560" i="14"/>
  <c r="J560" i="14"/>
  <c r="I560" i="14"/>
  <c r="L559" i="14"/>
  <c r="J559" i="14"/>
  <c r="I559" i="14"/>
  <c r="L558" i="14"/>
  <c r="J558" i="14"/>
  <c r="I558" i="14"/>
  <c r="L557" i="14"/>
  <c r="J557" i="14"/>
  <c r="I557" i="14"/>
  <c r="L556" i="14"/>
  <c r="J556" i="14"/>
  <c r="I556" i="14"/>
  <c r="L555" i="14"/>
  <c r="J555" i="14"/>
  <c r="I555" i="14"/>
  <c r="L554" i="14"/>
  <c r="J554" i="14"/>
  <c r="I554" i="14"/>
  <c r="L553" i="14"/>
  <c r="J553" i="14"/>
  <c r="I553" i="14"/>
  <c r="L520" i="14"/>
  <c r="J520" i="14"/>
  <c r="I520" i="14"/>
  <c r="L519" i="14"/>
  <c r="J519" i="14"/>
  <c r="I519" i="14"/>
  <c r="L518" i="14"/>
  <c r="J518" i="14"/>
  <c r="I518" i="14"/>
  <c r="L517" i="14"/>
  <c r="J517" i="14"/>
  <c r="I517" i="14"/>
  <c r="L516" i="14"/>
  <c r="J516" i="14"/>
  <c r="I516" i="14"/>
  <c r="L515" i="14"/>
  <c r="J515" i="14"/>
  <c r="I515" i="14"/>
  <c r="L514" i="14"/>
  <c r="J514" i="14"/>
  <c r="I514" i="14"/>
  <c r="L513" i="14"/>
  <c r="J513" i="14"/>
  <c r="I513" i="14"/>
  <c r="B722" i="14"/>
  <c r="B721" i="14"/>
  <c r="B720" i="14"/>
  <c r="B719" i="14"/>
  <c r="B718" i="14"/>
  <c r="B717" i="14"/>
  <c r="B716" i="14"/>
  <c r="B715" i="14"/>
  <c r="B714" i="14"/>
  <c r="B713" i="14"/>
  <c r="B712" i="14"/>
  <c r="B711" i="14"/>
  <c r="B710" i="14"/>
  <c r="B709" i="14"/>
  <c r="B708" i="14"/>
  <c r="B707" i="14"/>
  <c r="B706" i="14"/>
  <c r="B705" i="14"/>
  <c r="B704" i="14"/>
  <c r="B703" i="14"/>
  <c r="B702" i="14"/>
  <c r="B701" i="14"/>
  <c r="B700" i="14"/>
  <c r="B699" i="14"/>
  <c r="B698" i="14"/>
  <c r="B697" i="14"/>
  <c r="B696" i="14"/>
  <c r="B695" i="14"/>
  <c r="B694" i="14"/>
  <c r="B693" i="14"/>
  <c r="B692" i="14"/>
  <c r="B691" i="14"/>
  <c r="B690" i="14"/>
  <c r="B689" i="14"/>
  <c r="B688" i="14"/>
  <c r="B687" i="14"/>
  <c r="B686" i="14"/>
  <c r="B685" i="14"/>
  <c r="B684" i="14"/>
  <c r="B683" i="14"/>
  <c r="B682" i="14"/>
  <c r="B681" i="14"/>
  <c r="B680" i="14"/>
  <c r="B679" i="14"/>
  <c r="B678" i="14"/>
  <c r="B677" i="14"/>
  <c r="B676" i="14"/>
  <c r="B675" i="14"/>
  <c r="B674" i="14"/>
  <c r="B673" i="14"/>
  <c r="B672" i="14"/>
  <c r="B671" i="14"/>
  <c r="B670" i="14"/>
  <c r="B669" i="14"/>
  <c r="B668" i="14"/>
  <c r="B667" i="14"/>
  <c r="B666" i="14"/>
  <c r="B665" i="14"/>
  <c r="B664" i="14"/>
  <c r="B663" i="14"/>
  <c r="B662" i="14"/>
  <c r="B661" i="14"/>
  <c r="B660" i="14"/>
  <c r="B659" i="14"/>
  <c r="B658" i="14"/>
  <c r="B657" i="14"/>
  <c r="B656" i="14"/>
  <c r="B655" i="14"/>
  <c r="B654" i="14"/>
  <c r="B653" i="14"/>
  <c r="B652" i="14"/>
  <c r="B651" i="14"/>
  <c r="B650" i="14"/>
  <c r="B649" i="14"/>
  <c r="B648" i="14"/>
  <c r="B647" i="14"/>
  <c r="B646" i="14"/>
  <c r="B645" i="14"/>
  <c r="B644" i="14"/>
  <c r="B643" i="14"/>
  <c r="B642" i="14"/>
  <c r="B641" i="14"/>
  <c r="B640" i="14"/>
  <c r="B639" i="14"/>
  <c r="B638" i="14"/>
  <c r="B637" i="14"/>
  <c r="B636" i="14"/>
  <c r="B635" i="14"/>
  <c r="B634" i="14"/>
  <c r="B633" i="14"/>
  <c r="B632" i="14"/>
  <c r="B631" i="14"/>
  <c r="B630" i="14"/>
  <c r="B629" i="14"/>
  <c r="B628" i="14"/>
  <c r="B627" i="14"/>
  <c r="B626" i="14"/>
  <c r="B625" i="14"/>
  <c r="B624" i="14"/>
  <c r="B623" i="14"/>
  <c r="B622" i="14"/>
  <c r="B621" i="14"/>
  <c r="B620" i="14"/>
  <c r="B619" i="14"/>
  <c r="B618" i="14"/>
  <c r="B617" i="14"/>
  <c r="B616" i="14"/>
  <c r="B615" i="14"/>
  <c r="B614" i="14"/>
  <c r="D722" i="14"/>
  <c r="D721" i="14"/>
  <c r="D720" i="14"/>
  <c r="D719" i="14"/>
  <c r="D718" i="14"/>
  <c r="D717" i="14"/>
  <c r="D716" i="14"/>
  <c r="D715" i="14"/>
  <c r="D714" i="14"/>
  <c r="D713" i="14"/>
  <c r="D712" i="14"/>
  <c r="D711" i="14"/>
  <c r="D710" i="14"/>
  <c r="D709" i="14"/>
  <c r="D708" i="14"/>
  <c r="D707" i="14"/>
  <c r="D706" i="14"/>
  <c r="D705" i="14"/>
  <c r="D704" i="14"/>
  <c r="D703" i="14"/>
  <c r="D702" i="14"/>
  <c r="D701" i="14"/>
  <c r="D700" i="14"/>
  <c r="D699" i="14"/>
  <c r="D698" i="14"/>
  <c r="D697" i="14"/>
  <c r="D696" i="14"/>
  <c r="D695" i="14"/>
  <c r="D694" i="14"/>
  <c r="D693" i="14"/>
  <c r="D692" i="14"/>
  <c r="D691" i="14"/>
  <c r="D690" i="14"/>
  <c r="D689" i="14"/>
  <c r="D688" i="14"/>
  <c r="D687" i="14"/>
  <c r="D686" i="14"/>
  <c r="D685" i="14"/>
  <c r="D684" i="14"/>
  <c r="D683" i="14"/>
  <c r="D682" i="14"/>
  <c r="D681" i="14"/>
  <c r="D680" i="14"/>
  <c r="D679" i="14"/>
  <c r="D678" i="14"/>
  <c r="D677" i="14"/>
  <c r="D676" i="14"/>
  <c r="D675" i="14"/>
  <c r="D674" i="14"/>
  <c r="D673" i="14"/>
  <c r="D672" i="14"/>
  <c r="D671" i="14"/>
  <c r="D670" i="14"/>
  <c r="D669" i="14"/>
  <c r="D668" i="14"/>
  <c r="D667" i="14"/>
  <c r="D666" i="14"/>
  <c r="D665" i="14"/>
  <c r="D664" i="14"/>
  <c r="D663" i="14"/>
  <c r="D662" i="14"/>
  <c r="D661" i="14"/>
  <c r="D660" i="14"/>
  <c r="D659" i="14"/>
  <c r="D658" i="14"/>
  <c r="D657" i="14"/>
  <c r="D656" i="14"/>
  <c r="D655" i="14"/>
  <c r="D654" i="14"/>
  <c r="D653" i="14"/>
  <c r="D652" i="14"/>
  <c r="D651" i="14"/>
  <c r="D650" i="14"/>
  <c r="D649" i="14"/>
  <c r="D648" i="14"/>
  <c r="D647" i="14"/>
  <c r="D646" i="14"/>
  <c r="D645" i="14"/>
  <c r="D644" i="14"/>
  <c r="D643" i="14"/>
  <c r="D642" i="14"/>
  <c r="D641" i="14"/>
  <c r="D640" i="14"/>
  <c r="D639" i="14"/>
  <c r="D638" i="14"/>
  <c r="D637" i="14"/>
  <c r="D636" i="14"/>
  <c r="D635" i="14"/>
  <c r="D634" i="14"/>
  <c r="D633" i="14"/>
  <c r="D632" i="14"/>
  <c r="D631" i="14"/>
  <c r="D630" i="14"/>
  <c r="D629" i="14"/>
  <c r="D628" i="14"/>
  <c r="D627" i="14"/>
  <c r="D626" i="14"/>
  <c r="D625" i="14"/>
  <c r="D624" i="14"/>
  <c r="D623" i="14"/>
  <c r="D622" i="14"/>
  <c r="D621" i="14"/>
  <c r="D620" i="14"/>
  <c r="D619" i="14"/>
  <c r="D618" i="14"/>
  <c r="D617" i="14"/>
  <c r="D616" i="14"/>
  <c r="D615" i="14"/>
  <c r="D614" i="14"/>
  <c r="G725" i="14"/>
  <c r="G724" i="14"/>
  <c r="G723" i="14"/>
  <c r="Q722" i="14"/>
  <c r="G722" i="14"/>
  <c r="F722" i="14"/>
  <c r="G721" i="14"/>
  <c r="F721" i="14"/>
  <c r="G720" i="14"/>
  <c r="F720" i="14"/>
  <c r="Q719" i="14"/>
  <c r="G719" i="14"/>
  <c r="F719" i="14"/>
  <c r="Q718" i="14"/>
  <c r="G718" i="14"/>
  <c r="F718" i="14"/>
  <c r="G717" i="14"/>
  <c r="F717" i="14"/>
  <c r="G716" i="14"/>
  <c r="F716" i="14"/>
  <c r="Q715" i="14"/>
  <c r="G715" i="14"/>
  <c r="F715" i="14"/>
  <c r="Q714" i="14"/>
  <c r="G714" i="14"/>
  <c r="F714" i="14"/>
  <c r="G713" i="14"/>
  <c r="F713" i="14"/>
  <c r="G712" i="14"/>
  <c r="F712" i="14"/>
  <c r="Q711" i="14"/>
  <c r="G711" i="14"/>
  <c r="F711" i="14"/>
  <c r="Q710" i="14"/>
  <c r="G710" i="14"/>
  <c r="F710" i="14"/>
  <c r="G709" i="14"/>
  <c r="F709" i="14"/>
  <c r="G708" i="14"/>
  <c r="F708" i="14"/>
  <c r="Q707" i="14"/>
  <c r="G707" i="14"/>
  <c r="F707" i="14"/>
  <c r="Q706" i="14"/>
  <c r="G706" i="14"/>
  <c r="F706" i="14"/>
  <c r="G705" i="14"/>
  <c r="F705" i="14"/>
  <c r="G704" i="14"/>
  <c r="F704" i="14"/>
  <c r="Q703" i="14"/>
  <c r="G703" i="14"/>
  <c r="F703" i="14"/>
  <c r="Q702" i="14"/>
  <c r="G702" i="14"/>
  <c r="F702" i="14"/>
  <c r="G701" i="14"/>
  <c r="F701" i="14"/>
  <c r="G700" i="14"/>
  <c r="F700" i="14"/>
  <c r="Q699" i="14"/>
  <c r="G699" i="14"/>
  <c r="F699" i="14"/>
  <c r="Q698" i="14"/>
  <c r="G698" i="14"/>
  <c r="F698" i="14"/>
  <c r="G697" i="14"/>
  <c r="F697" i="14"/>
  <c r="G696" i="14"/>
  <c r="F696" i="14"/>
  <c r="Q695" i="14"/>
  <c r="G695" i="14"/>
  <c r="F695" i="14"/>
  <c r="Q694" i="14"/>
  <c r="G694" i="14"/>
  <c r="F694" i="14"/>
  <c r="G693" i="14"/>
  <c r="F693" i="14"/>
  <c r="G692" i="14"/>
  <c r="F692" i="14"/>
  <c r="Q691" i="14"/>
  <c r="G691" i="14"/>
  <c r="F691" i="14"/>
  <c r="Q690" i="14"/>
  <c r="G690" i="14"/>
  <c r="F690" i="14"/>
  <c r="G689" i="14"/>
  <c r="F689" i="14"/>
  <c r="G688" i="14"/>
  <c r="F688" i="14"/>
  <c r="Q687" i="14"/>
  <c r="G687" i="14"/>
  <c r="F687" i="14"/>
  <c r="Q686" i="14"/>
  <c r="G686" i="14"/>
  <c r="F686" i="14"/>
  <c r="G685" i="14"/>
  <c r="F685" i="14"/>
  <c r="G684" i="14"/>
  <c r="F684" i="14"/>
  <c r="Q683" i="14"/>
  <c r="G683" i="14"/>
  <c r="F683" i="14"/>
  <c r="Q682" i="14"/>
  <c r="G682" i="14"/>
  <c r="F682" i="14"/>
  <c r="G681" i="14"/>
  <c r="F681" i="14"/>
  <c r="G680" i="14"/>
  <c r="F680" i="14"/>
  <c r="Q679" i="14"/>
  <c r="G679" i="14"/>
  <c r="F679" i="14"/>
  <c r="Q678" i="14"/>
  <c r="G678" i="14"/>
  <c r="F678" i="14"/>
  <c r="G677" i="14"/>
  <c r="F677" i="14"/>
  <c r="G676" i="14"/>
  <c r="F676" i="14"/>
  <c r="Q675" i="14"/>
  <c r="G675" i="14"/>
  <c r="F675" i="14"/>
  <c r="Q674" i="14"/>
  <c r="G674" i="14"/>
  <c r="F674" i="14"/>
  <c r="G673" i="14"/>
  <c r="F673" i="14"/>
  <c r="G672" i="14"/>
  <c r="F672" i="14"/>
  <c r="Q671" i="14"/>
  <c r="O671" i="14" s="1"/>
  <c r="G671" i="14"/>
  <c r="F671" i="14"/>
  <c r="Q670" i="14"/>
  <c r="O670" i="14"/>
  <c r="G670" i="14"/>
  <c r="F670" i="14"/>
  <c r="G669" i="14"/>
  <c r="F669" i="14"/>
  <c r="G668" i="14"/>
  <c r="F668" i="14"/>
  <c r="Q667" i="14"/>
  <c r="O667" i="14" s="1"/>
  <c r="G667" i="14"/>
  <c r="F667" i="14"/>
  <c r="Q666" i="14"/>
  <c r="O666" i="14"/>
  <c r="G666" i="14"/>
  <c r="F666" i="14"/>
  <c r="G665" i="14"/>
  <c r="F665" i="14"/>
  <c r="G664" i="14"/>
  <c r="F664" i="14"/>
  <c r="Q663" i="14"/>
  <c r="G663" i="14"/>
  <c r="F663" i="14"/>
  <c r="Q662" i="14"/>
  <c r="G662" i="14"/>
  <c r="F662" i="14"/>
  <c r="G661" i="14"/>
  <c r="F661" i="14"/>
  <c r="G660" i="14"/>
  <c r="F660" i="14"/>
  <c r="Q659" i="14"/>
  <c r="G659" i="14"/>
  <c r="F659" i="14"/>
  <c r="Q658" i="14"/>
  <c r="G658" i="14"/>
  <c r="F658" i="14"/>
  <c r="G657" i="14"/>
  <c r="F657" i="14"/>
  <c r="G656" i="14"/>
  <c r="F656" i="14"/>
  <c r="Q655" i="14"/>
  <c r="G655" i="14"/>
  <c r="F655" i="14"/>
  <c r="Q654" i="14"/>
  <c r="G654" i="14"/>
  <c r="F654" i="14"/>
  <c r="G653" i="14"/>
  <c r="F653" i="14"/>
  <c r="G652" i="14"/>
  <c r="F652" i="14"/>
  <c r="Q651" i="14"/>
  <c r="G651" i="14"/>
  <c r="F651" i="14"/>
  <c r="Q650" i="14"/>
  <c r="G650" i="14"/>
  <c r="F650" i="14"/>
  <c r="G649" i="14"/>
  <c r="F649" i="14"/>
  <c r="G648" i="14"/>
  <c r="F648" i="14"/>
  <c r="Q647" i="14"/>
  <c r="G647" i="14"/>
  <c r="F647" i="14"/>
  <c r="Q646" i="14"/>
  <c r="G646" i="14"/>
  <c r="F646" i="14"/>
  <c r="G645" i="14"/>
  <c r="F645" i="14"/>
  <c r="G644" i="14"/>
  <c r="F644" i="14"/>
  <c r="Q643" i="14"/>
  <c r="G643" i="14"/>
  <c r="F643" i="14"/>
  <c r="Q642" i="14"/>
  <c r="G642" i="14"/>
  <c r="F642" i="14"/>
  <c r="G641" i="14"/>
  <c r="F641" i="14"/>
  <c r="G640" i="14"/>
  <c r="F640" i="14"/>
  <c r="Q639" i="14"/>
  <c r="G639" i="14"/>
  <c r="F639" i="14"/>
  <c r="Q638" i="14"/>
  <c r="G638" i="14"/>
  <c r="F638" i="14"/>
  <c r="G637" i="14"/>
  <c r="F637" i="14"/>
  <c r="G636" i="14"/>
  <c r="F636" i="14"/>
  <c r="Q635" i="14"/>
  <c r="G635" i="14"/>
  <c r="F635" i="14"/>
  <c r="Q634" i="14"/>
  <c r="G634" i="14"/>
  <c r="F634" i="14"/>
  <c r="G633" i="14"/>
  <c r="F633" i="14"/>
  <c r="G632" i="14"/>
  <c r="F632" i="14"/>
  <c r="Q631" i="14"/>
  <c r="O631" i="14" s="1"/>
  <c r="G631" i="14"/>
  <c r="F631" i="14"/>
  <c r="Q630" i="14"/>
  <c r="O630" i="14"/>
  <c r="G630" i="14"/>
  <c r="F630" i="14"/>
  <c r="G629" i="14"/>
  <c r="F629" i="14"/>
  <c r="G628" i="14"/>
  <c r="F628" i="14"/>
  <c r="Q627" i="14"/>
  <c r="O627" i="14" s="1"/>
  <c r="G627" i="14"/>
  <c r="F627" i="14"/>
  <c r="Q626" i="14"/>
  <c r="O626" i="14"/>
  <c r="G626" i="14"/>
  <c r="F626" i="14"/>
  <c r="G625" i="14"/>
  <c r="F625" i="14"/>
  <c r="G624" i="14"/>
  <c r="F624" i="14"/>
  <c r="Q623" i="14"/>
  <c r="G623" i="14"/>
  <c r="F623" i="14"/>
  <c r="Q622" i="14"/>
  <c r="G622" i="14"/>
  <c r="F622" i="14"/>
  <c r="G621" i="14"/>
  <c r="F621" i="14"/>
  <c r="G620" i="14"/>
  <c r="F620" i="14"/>
  <c r="Q619" i="14"/>
  <c r="G619" i="14"/>
  <c r="F619" i="14"/>
  <c r="Q618" i="14"/>
  <c r="G618" i="14"/>
  <c r="F618" i="14"/>
  <c r="G617" i="14"/>
  <c r="F617" i="14"/>
  <c r="G616" i="14"/>
  <c r="F616" i="14"/>
  <c r="Q615" i="14"/>
  <c r="G615" i="14"/>
  <c r="F615" i="14"/>
  <c r="Q614" i="14"/>
  <c r="G614" i="14"/>
  <c r="F614" i="14"/>
  <c r="B609" i="14"/>
  <c r="B608" i="14"/>
  <c r="B607" i="14"/>
  <c r="B606" i="14"/>
  <c r="B605" i="14"/>
  <c r="B604" i="14"/>
  <c r="B603" i="14"/>
  <c r="B602" i="14"/>
  <c r="B601" i="14"/>
  <c r="B600" i="14"/>
  <c r="B599" i="14"/>
  <c r="B598" i="14"/>
  <c r="B597" i="14"/>
  <c r="B596" i="14"/>
  <c r="B595" i="14"/>
  <c r="B594" i="14"/>
  <c r="B593" i="14"/>
  <c r="B592" i="14"/>
  <c r="B591" i="14"/>
  <c r="B590" i="14"/>
  <c r="B589" i="14"/>
  <c r="B588" i="14"/>
  <c r="B587" i="14"/>
  <c r="B586" i="14"/>
  <c r="B585" i="14"/>
  <c r="B584" i="14"/>
  <c r="B583" i="14"/>
  <c r="B582" i="14"/>
  <c r="B581" i="14"/>
  <c r="B580" i="14"/>
  <c r="B579" i="14"/>
  <c r="B578" i="14"/>
  <c r="B577" i="14"/>
  <c r="B576" i="14"/>
  <c r="B575" i="14"/>
  <c r="B574" i="14"/>
  <c r="B573" i="14"/>
  <c r="B572" i="14"/>
  <c r="B571" i="14"/>
  <c r="B570" i="14"/>
  <c r="B569" i="14"/>
  <c r="B568" i="14"/>
  <c r="B567" i="14"/>
  <c r="B566" i="14"/>
  <c r="B565" i="14"/>
  <c r="B564" i="14"/>
  <c r="B563" i="14"/>
  <c r="B562" i="14"/>
  <c r="B561" i="14"/>
  <c r="B560" i="14"/>
  <c r="B559" i="14"/>
  <c r="B558" i="14"/>
  <c r="B557" i="14"/>
  <c r="B556" i="14"/>
  <c r="B555" i="14"/>
  <c r="B554" i="14"/>
  <c r="B553" i="14"/>
  <c r="B552" i="14"/>
  <c r="B551" i="14"/>
  <c r="B550" i="14"/>
  <c r="B549" i="14"/>
  <c r="B548" i="14"/>
  <c r="B547" i="14"/>
  <c r="B546" i="14"/>
  <c r="B545" i="14"/>
  <c r="B544" i="14"/>
  <c r="B543" i="14"/>
  <c r="B542" i="14"/>
  <c r="B541" i="14"/>
  <c r="B540" i="14"/>
  <c r="B539" i="14"/>
  <c r="B538" i="14"/>
  <c r="B537" i="14"/>
  <c r="B536" i="14"/>
  <c r="B535" i="14"/>
  <c r="B534" i="14"/>
  <c r="B533" i="14"/>
  <c r="B532" i="14"/>
  <c r="B531" i="14"/>
  <c r="B530" i="14"/>
  <c r="B529" i="14"/>
  <c r="B528" i="14"/>
  <c r="B527" i="14"/>
  <c r="B526" i="14"/>
  <c r="B525" i="14"/>
  <c r="B524" i="14"/>
  <c r="B523" i="14"/>
  <c r="B522" i="14"/>
  <c r="B521" i="14"/>
  <c r="B520" i="14"/>
  <c r="B519" i="14"/>
  <c r="B518" i="14"/>
  <c r="B517" i="14"/>
  <c r="B516" i="14"/>
  <c r="B515" i="14"/>
  <c r="B514" i="14"/>
  <c r="B513" i="14"/>
  <c r="B512" i="14"/>
  <c r="B511" i="14"/>
  <c r="B510" i="14"/>
  <c r="B509" i="14"/>
  <c r="B508" i="14"/>
  <c r="B507" i="14"/>
  <c r="B506" i="14"/>
  <c r="B505" i="14"/>
  <c r="B504" i="14"/>
  <c r="B503" i="14"/>
  <c r="B502" i="14"/>
  <c r="B501" i="14"/>
  <c r="B388" i="14"/>
  <c r="D609" i="14"/>
  <c r="D608" i="14"/>
  <c r="D607" i="14"/>
  <c r="D606" i="14"/>
  <c r="D605" i="14"/>
  <c r="D604" i="14"/>
  <c r="D603" i="14"/>
  <c r="D602" i="14"/>
  <c r="D601" i="14"/>
  <c r="D600" i="14"/>
  <c r="D599" i="14"/>
  <c r="D598" i="14"/>
  <c r="D597" i="14"/>
  <c r="D596" i="14"/>
  <c r="D595" i="14"/>
  <c r="D594" i="14"/>
  <c r="D593" i="14"/>
  <c r="D592" i="14"/>
  <c r="D591" i="14"/>
  <c r="D590" i="14"/>
  <c r="D589" i="14"/>
  <c r="D588" i="14"/>
  <c r="D587" i="14"/>
  <c r="D586" i="14"/>
  <c r="D585" i="14"/>
  <c r="D584" i="14"/>
  <c r="D583" i="14"/>
  <c r="D582" i="14"/>
  <c r="D581" i="14"/>
  <c r="D580" i="14"/>
  <c r="D579" i="14"/>
  <c r="D578" i="14"/>
  <c r="D577" i="14"/>
  <c r="D576" i="14"/>
  <c r="D575" i="14"/>
  <c r="D574" i="14"/>
  <c r="D573" i="14"/>
  <c r="D572" i="14"/>
  <c r="D571" i="14"/>
  <c r="D570" i="14"/>
  <c r="D569" i="14"/>
  <c r="D568" i="14"/>
  <c r="D567" i="14"/>
  <c r="D566" i="14"/>
  <c r="D565" i="14"/>
  <c r="D564" i="14"/>
  <c r="D563" i="14"/>
  <c r="D562" i="14"/>
  <c r="D561" i="14"/>
  <c r="D560" i="14"/>
  <c r="D559" i="14"/>
  <c r="D558" i="14"/>
  <c r="D557" i="14"/>
  <c r="D556" i="14"/>
  <c r="D555" i="14"/>
  <c r="D554" i="14"/>
  <c r="D553" i="14"/>
  <c r="D552" i="14"/>
  <c r="D551" i="14"/>
  <c r="D550" i="14"/>
  <c r="D549" i="14"/>
  <c r="D548" i="14"/>
  <c r="D547" i="14"/>
  <c r="D546" i="14"/>
  <c r="D545" i="14"/>
  <c r="D544" i="14"/>
  <c r="D543" i="14"/>
  <c r="D542" i="14"/>
  <c r="D541" i="14"/>
  <c r="D540" i="14"/>
  <c r="D539" i="14"/>
  <c r="D538" i="14"/>
  <c r="D537" i="14"/>
  <c r="D536" i="14"/>
  <c r="D535" i="14"/>
  <c r="D534" i="14"/>
  <c r="D533" i="14"/>
  <c r="D532" i="14"/>
  <c r="D531" i="14"/>
  <c r="D530" i="14"/>
  <c r="D529" i="14"/>
  <c r="D528" i="14"/>
  <c r="D527" i="14"/>
  <c r="D526" i="14"/>
  <c r="D525" i="14"/>
  <c r="D524" i="14"/>
  <c r="D523" i="14"/>
  <c r="D522" i="14"/>
  <c r="D521" i="14"/>
  <c r="D520" i="14"/>
  <c r="D519" i="14"/>
  <c r="D518" i="14"/>
  <c r="D517" i="14"/>
  <c r="D516" i="14"/>
  <c r="D515" i="14"/>
  <c r="D514" i="14"/>
  <c r="D513" i="14"/>
  <c r="D512" i="14"/>
  <c r="D511" i="14"/>
  <c r="D510" i="14"/>
  <c r="D509" i="14"/>
  <c r="D508" i="14"/>
  <c r="D507" i="14"/>
  <c r="D506" i="14"/>
  <c r="D505" i="14"/>
  <c r="D504" i="14"/>
  <c r="D503" i="14"/>
  <c r="D502" i="14"/>
  <c r="D501" i="14"/>
  <c r="G612" i="14"/>
  <c r="G611" i="14"/>
  <c r="G610" i="14"/>
  <c r="Q609" i="14"/>
  <c r="G609" i="14"/>
  <c r="F609" i="14"/>
  <c r="G608" i="14"/>
  <c r="F608" i="14"/>
  <c r="G607" i="14"/>
  <c r="F607" i="14"/>
  <c r="Q606" i="14"/>
  <c r="G606" i="14"/>
  <c r="F606" i="14"/>
  <c r="Q605" i="14"/>
  <c r="G605" i="14"/>
  <c r="F605" i="14"/>
  <c r="G604" i="14"/>
  <c r="F604" i="14"/>
  <c r="G603" i="14"/>
  <c r="F603" i="14"/>
  <c r="Q602" i="14"/>
  <c r="G602" i="14"/>
  <c r="F602" i="14"/>
  <c r="Q601" i="14"/>
  <c r="G601" i="14"/>
  <c r="F601" i="14"/>
  <c r="G600" i="14"/>
  <c r="F600" i="14"/>
  <c r="G599" i="14"/>
  <c r="F599" i="14"/>
  <c r="Q598" i="14"/>
  <c r="G598" i="14"/>
  <c r="F598" i="14"/>
  <c r="Q597" i="14"/>
  <c r="G597" i="14"/>
  <c r="F597" i="14"/>
  <c r="G596" i="14"/>
  <c r="F596" i="14"/>
  <c r="G595" i="14"/>
  <c r="F595" i="14"/>
  <c r="Q594" i="14"/>
  <c r="G594" i="14"/>
  <c r="F594" i="14"/>
  <c r="Q593" i="14"/>
  <c r="G593" i="14"/>
  <c r="F593" i="14"/>
  <c r="G592" i="14"/>
  <c r="F592" i="14"/>
  <c r="G591" i="14"/>
  <c r="F591" i="14"/>
  <c r="Q590" i="14"/>
  <c r="G590" i="14"/>
  <c r="F590" i="14"/>
  <c r="Q589" i="14"/>
  <c r="G589" i="14"/>
  <c r="F589" i="14"/>
  <c r="G588" i="14"/>
  <c r="F588" i="14"/>
  <c r="G587" i="14"/>
  <c r="F587" i="14"/>
  <c r="Q586" i="14"/>
  <c r="G586" i="14"/>
  <c r="F586" i="14"/>
  <c r="Q585" i="14"/>
  <c r="G585" i="14"/>
  <c r="F585" i="14"/>
  <c r="G584" i="14"/>
  <c r="F584" i="14"/>
  <c r="G583" i="14"/>
  <c r="F583" i="14"/>
  <c r="Q582" i="14"/>
  <c r="G582" i="14"/>
  <c r="F582" i="14"/>
  <c r="Q581" i="14"/>
  <c r="G581" i="14"/>
  <c r="F581" i="14"/>
  <c r="G580" i="14"/>
  <c r="F580" i="14"/>
  <c r="G579" i="14"/>
  <c r="F579" i="14"/>
  <c r="Q578" i="14"/>
  <c r="G578" i="14"/>
  <c r="F578" i="14"/>
  <c r="Q577" i="14"/>
  <c r="G577" i="14"/>
  <c r="F577" i="14"/>
  <c r="G576" i="14"/>
  <c r="F576" i="14"/>
  <c r="G575" i="14"/>
  <c r="F575" i="14"/>
  <c r="Q574" i="14"/>
  <c r="G574" i="14"/>
  <c r="F574" i="14"/>
  <c r="Q573" i="14"/>
  <c r="G573" i="14"/>
  <c r="F573" i="14"/>
  <c r="G572" i="14"/>
  <c r="F572" i="14"/>
  <c r="G571" i="14"/>
  <c r="F571" i="14"/>
  <c r="Q570" i="14"/>
  <c r="G570" i="14"/>
  <c r="F570" i="14"/>
  <c r="Q569" i="14"/>
  <c r="G569" i="14"/>
  <c r="F569" i="14"/>
  <c r="G568" i="14"/>
  <c r="F568" i="14"/>
  <c r="G567" i="14"/>
  <c r="F567" i="14"/>
  <c r="Q566" i="14"/>
  <c r="G566" i="14"/>
  <c r="F566" i="14"/>
  <c r="Q565" i="14"/>
  <c r="G565" i="14"/>
  <c r="F565" i="14"/>
  <c r="G564" i="14"/>
  <c r="F564" i="14"/>
  <c r="G563" i="14"/>
  <c r="F563" i="14"/>
  <c r="Q562" i="14"/>
  <c r="G562" i="14"/>
  <c r="F562" i="14"/>
  <c r="Q561" i="14"/>
  <c r="G561" i="14"/>
  <c r="F561" i="14"/>
  <c r="G560" i="14"/>
  <c r="F560" i="14"/>
  <c r="G559" i="14"/>
  <c r="F559" i="14"/>
  <c r="Q558" i="14"/>
  <c r="O558" i="14"/>
  <c r="G558" i="14"/>
  <c r="F558" i="14"/>
  <c r="Q557" i="14"/>
  <c r="O557" i="14"/>
  <c r="G557" i="14"/>
  <c r="F557" i="14"/>
  <c r="G556" i="14"/>
  <c r="F556" i="14"/>
  <c r="G555" i="14"/>
  <c r="F555" i="14"/>
  <c r="Q554" i="14"/>
  <c r="O554" i="14"/>
  <c r="G554" i="14"/>
  <c r="F554" i="14"/>
  <c r="Q553" i="14"/>
  <c r="O553" i="14"/>
  <c r="G553" i="14"/>
  <c r="F553" i="14"/>
  <c r="G552" i="14"/>
  <c r="F552" i="14"/>
  <c r="G551" i="14"/>
  <c r="F551" i="14"/>
  <c r="Q550" i="14"/>
  <c r="G550" i="14"/>
  <c r="F550" i="14"/>
  <c r="Q549" i="14"/>
  <c r="G549" i="14"/>
  <c r="F549" i="14"/>
  <c r="G548" i="14"/>
  <c r="F548" i="14"/>
  <c r="G547" i="14"/>
  <c r="F547" i="14"/>
  <c r="Q546" i="14"/>
  <c r="G546" i="14"/>
  <c r="F546" i="14"/>
  <c r="Q545" i="14"/>
  <c r="G545" i="14"/>
  <c r="F545" i="14"/>
  <c r="G544" i="14"/>
  <c r="F544" i="14"/>
  <c r="G543" i="14"/>
  <c r="F543" i="14"/>
  <c r="Q542" i="14"/>
  <c r="G542" i="14"/>
  <c r="F542" i="14"/>
  <c r="Q541" i="14"/>
  <c r="G541" i="14"/>
  <c r="F541" i="14"/>
  <c r="G540" i="14"/>
  <c r="F540" i="14"/>
  <c r="G539" i="14"/>
  <c r="F539" i="14"/>
  <c r="Q538" i="14"/>
  <c r="G538" i="14"/>
  <c r="F538" i="14"/>
  <c r="Q537" i="14"/>
  <c r="G537" i="14"/>
  <c r="F537" i="14"/>
  <c r="G536" i="14"/>
  <c r="F536" i="14"/>
  <c r="G535" i="14"/>
  <c r="F535" i="14"/>
  <c r="Q534" i="14"/>
  <c r="G534" i="14"/>
  <c r="F534" i="14"/>
  <c r="Q533" i="14"/>
  <c r="G533" i="14"/>
  <c r="F533" i="14"/>
  <c r="G532" i="14"/>
  <c r="F532" i="14"/>
  <c r="G531" i="14"/>
  <c r="F531" i="14"/>
  <c r="Q530" i="14"/>
  <c r="G530" i="14"/>
  <c r="F530" i="14"/>
  <c r="Q529" i="14"/>
  <c r="G529" i="14"/>
  <c r="F529" i="14"/>
  <c r="G528" i="14"/>
  <c r="F528" i="14"/>
  <c r="G527" i="14"/>
  <c r="F527" i="14"/>
  <c r="Q526" i="14"/>
  <c r="G526" i="14"/>
  <c r="F526" i="14"/>
  <c r="Q525" i="14"/>
  <c r="G525" i="14"/>
  <c r="F525" i="14"/>
  <c r="G524" i="14"/>
  <c r="F524" i="14"/>
  <c r="G523" i="14"/>
  <c r="F523" i="14"/>
  <c r="Q522" i="14"/>
  <c r="G522" i="14"/>
  <c r="F522" i="14"/>
  <c r="Q521" i="14"/>
  <c r="G521" i="14"/>
  <c r="F521" i="14"/>
  <c r="G520" i="14"/>
  <c r="F520" i="14"/>
  <c r="G519" i="14"/>
  <c r="F519" i="14"/>
  <c r="Q518" i="14"/>
  <c r="O518" i="14"/>
  <c r="G518" i="14"/>
  <c r="F518" i="14"/>
  <c r="Q517" i="14"/>
  <c r="O517" i="14"/>
  <c r="G517" i="14"/>
  <c r="F517" i="14"/>
  <c r="G516" i="14"/>
  <c r="F516" i="14"/>
  <c r="G515" i="14"/>
  <c r="F515" i="14"/>
  <c r="Q514" i="14"/>
  <c r="O514" i="14"/>
  <c r="G514" i="14"/>
  <c r="F514" i="14"/>
  <c r="Q513" i="14"/>
  <c r="O513" i="14"/>
  <c r="G513" i="14"/>
  <c r="F513" i="14"/>
  <c r="G512" i="14"/>
  <c r="F512" i="14"/>
  <c r="G511" i="14"/>
  <c r="F511" i="14"/>
  <c r="Q510" i="14"/>
  <c r="G510" i="14"/>
  <c r="F510" i="14"/>
  <c r="Q509" i="14"/>
  <c r="G509" i="14"/>
  <c r="F509" i="14"/>
  <c r="G508" i="14"/>
  <c r="F508" i="14"/>
  <c r="G507" i="14"/>
  <c r="F507" i="14"/>
  <c r="Q506" i="14"/>
  <c r="G506" i="14"/>
  <c r="F506" i="14"/>
  <c r="Q505" i="14"/>
  <c r="G505" i="14"/>
  <c r="F505" i="14"/>
  <c r="G504" i="14"/>
  <c r="F504" i="14"/>
  <c r="G503" i="14"/>
  <c r="F503" i="14"/>
  <c r="Q502" i="14"/>
  <c r="G502" i="14"/>
  <c r="F502" i="14"/>
  <c r="Q501" i="14"/>
  <c r="G501" i="14"/>
  <c r="F501" i="14"/>
  <c r="L447" i="14"/>
  <c r="L446" i="14"/>
  <c r="L445" i="14"/>
  <c r="L444" i="14"/>
  <c r="L443" i="14"/>
  <c r="L442" i="14"/>
  <c r="L441" i="14"/>
  <c r="L440" i="14"/>
  <c r="L407" i="14"/>
  <c r="L406" i="14"/>
  <c r="L405" i="14"/>
  <c r="L404" i="14"/>
  <c r="L403" i="14"/>
  <c r="L402" i="14"/>
  <c r="L401" i="14"/>
  <c r="L400" i="14"/>
  <c r="G497" i="14"/>
  <c r="G498" i="14"/>
  <c r="G499" i="14"/>
  <c r="F485" i="14"/>
  <c r="G485" i="14"/>
  <c r="F486" i="14"/>
  <c r="G486" i="14"/>
  <c r="F487" i="14"/>
  <c r="G487" i="14"/>
  <c r="F488" i="14"/>
  <c r="G488" i="14"/>
  <c r="F489" i="14"/>
  <c r="G489" i="14"/>
  <c r="F490" i="14"/>
  <c r="G490" i="14"/>
  <c r="F491" i="14"/>
  <c r="G491" i="14"/>
  <c r="F492" i="14"/>
  <c r="G492" i="14"/>
  <c r="F493" i="14"/>
  <c r="G493" i="14"/>
  <c r="F494" i="14"/>
  <c r="G494" i="14"/>
  <c r="F495" i="14"/>
  <c r="G495" i="14"/>
  <c r="F496" i="14"/>
  <c r="G496" i="14"/>
  <c r="D488" i="14"/>
  <c r="D489" i="14"/>
  <c r="D490" i="14"/>
  <c r="D491" i="14"/>
  <c r="D492" i="14"/>
  <c r="D493" i="14"/>
  <c r="D494" i="14"/>
  <c r="D495" i="14"/>
  <c r="D496" i="14"/>
  <c r="D485" i="14"/>
  <c r="D486" i="14"/>
  <c r="D487" i="14"/>
  <c r="B485" i="14"/>
  <c r="B486" i="14"/>
  <c r="B487" i="14"/>
  <c r="B488" i="14"/>
  <c r="B489" i="14"/>
  <c r="B490" i="14"/>
  <c r="B491" i="14"/>
  <c r="B492" i="14"/>
  <c r="B493" i="14"/>
  <c r="B494" i="14"/>
  <c r="B495" i="14"/>
  <c r="B496" i="14"/>
  <c r="Q485" i="14"/>
  <c r="Q486" i="14"/>
  <c r="Q487" i="14" s="1"/>
  <c r="O447" i="14"/>
  <c r="J447" i="14"/>
  <c r="I447" i="14"/>
  <c r="H447" i="14" s="1"/>
  <c r="O446" i="14"/>
  <c r="J446" i="14"/>
  <c r="I446" i="14"/>
  <c r="H446" i="14" s="1"/>
  <c r="O445" i="14"/>
  <c r="J445" i="14"/>
  <c r="I445" i="14"/>
  <c r="H445" i="14" s="1"/>
  <c r="O444" i="14"/>
  <c r="J444" i="14"/>
  <c r="I444" i="14"/>
  <c r="O443" i="14"/>
  <c r="J443" i="14"/>
  <c r="I443" i="14"/>
  <c r="H443" i="14" s="1"/>
  <c r="O442" i="14"/>
  <c r="J442" i="14"/>
  <c r="I442" i="14"/>
  <c r="H442" i="14" s="1"/>
  <c r="O441" i="14"/>
  <c r="J441" i="14"/>
  <c r="I441" i="14"/>
  <c r="H441" i="14" s="1"/>
  <c r="O440" i="14"/>
  <c r="J440" i="14"/>
  <c r="I440" i="14"/>
  <c r="M440" i="14" s="1"/>
  <c r="O407" i="14"/>
  <c r="J407" i="14"/>
  <c r="I407" i="14"/>
  <c r="H407" i="14" s="1"/>
  <c r="O406" i="14"/>
  <c r="J406" i="14"/>
  <c r="I406" i="14"/>
  <c r="H406" i="14" s="1"/>
  <c r="O405" i="14"/>
  <c r="J405" i="14"/>
  <c r="I405" i="14"/>
  <c r="H405" i="14" s="1"/>
  <c r="O404" i="14"/>
  <c r="J404" i="14"/>
  <c r="I404" i="14"/>
  <c r="K404" i="14" s="1"/>
  <c r="O403" i="14"/>
  <c r="J403" i="14"/>
  <c r="I403" i="14"/>
  <c r="H403" i="14" s="1"/>
  <c r="O402" i="14"/>
  <c r="J402" i="14"/>
  <c r="I402" i="14"/>
  <c r="H402" i="14" s="1"/>
  <c r="O401" i="14"/>
  <c r="J401" i="14"/>
  <c r="I401" i="14"/>
  <c r="H401" i="14" s="1"/>
  <c r="O400" i="14"/>
  <c r="J400" i="14"/>
  <c r="I400" i="14"/>
  <c r="K400" i="14" s="1"/>
  <c r="O303" i="14"/>
  <c r="L303" i="14"/>
  <c r="J303" i="14"/>
  <c r="I303" i="14"/>
  <c r="O302" i="14"/>
  <c r="L302" i="14"/>
  <c r="J302" i="14"/>
  <c r="I302" i="14"/>
  <c r="O301" i="14"/>
  <c r="L301" i="14"/>
  <c r="J301" i="14"/>
  <c r="I301" i="14"/>
  <c r="O300" i="14"/>
  <c r="L300" i="14"/>
  <c r="J300" i="14"/>
  <c r="I300" i="14"/>
  <c r="O299" i="14"/>
  <c r="L299" i="14"/>
  <c r="J299" i="14"/>
  <c r="I299" i="14"/>
  <c r="O298" i="14"/>
  <c r="L298" i="14"/>
  <c r="J298" i="14"/>
  <c r="I298" i="14"/>
  <c r="O297" i="14"/>
  <c r="L297" i="14"/>
  <c r="J297" i="14"/>
  <c r="I297" i="14"/>
  <c r="O296" i="14"/>
  <c r="L296" i="14"/>
  <c r="J296" i="14"/>
  <c r="I296" i="14"/>
  <c r="O295" i="14"/>
  <c r="L295" i="14"/>
  <c r="J295" i="14"/>
  <c r="I295" i="14"/>
  <c r="O294" i="14"/>
  <c r="L294" i="14"/>
  <c r="J294" i="14"/>
  <c r="I294" i="14"/>
  <c r="O293" i="14"/>
  <c r="L293" i="14"/>
  <c r="J293" i="14"/>
  <c r="I293" i="14"/>
  <c r="O292" i="14"/>
  <c r="L292" i="14"/>
  <c r="J292" i="14"/>
  <c r="I292" i="14"/>
  <c r="O291" i="14"/>
  <c r="L291" i="14"/>
  <c r="J291" i="14"/>
  <c r="I291" i="14"/>
  <c r="O290" i="14"/>
  <c r="L290" i="14"/>
  <c r="J290" i="14"/>
  <c r="I290" i="14"/>
  <c r="O289" i="14"/>
  <c r="L289" i="14"/>
  <c r="J289" i="14"/>
  <c r="I289" i="14"/>
  <c r="O288" i="14"/>
  <c r="L288" i="14"/>
  <c r="J288" i="14"/>
  <c r="I288" i="14"/>
  <c r="O287" i="14"/>
  <c r="L287" i="14"/>
  <c r="J287" i="14"/>
  <c r="I287" i="14"/>
  <c r="O286" i="14"/>
  <c r="L286" i="14"/>
  <c r="J286" i="14"/>
  <c r="I286" i="14"/>
  <c r="O285" i="14"/>
  <c r="L285" i="14"/>
  <c r="J285" i="14"/>
  <c r="I285" i="14"/>
  <c r="O284" i="14"/>
  <c r="L284" i="14"/>
  <c r="J284" i="14"/>
  <c r="I284" i="14"/>
  <c r="O283" i="14"/>
  <c r="L283" i="14"/>
  <c r="J283" i="14"/>
  <c r="I283" i="14"/>
  <c r="O282" i="14"/>
  <c r="L282" i="14"/>
  <c r="J282" i="14"/>
  <c r="I282" i="14"/>
  <c r="O281" i="14"/>
  <c r="L281" i="14"/>
  <c r="J281" i="14"/>
  <c r="I281" i="14"/>
  <c r="O280" i="14"/>
  <c r="L280" i="14"/>
  <c r="J280" i="14"/>
  <c r="I280" i="14"/>
  <c r="O279" i="14"/>
  <c r="L279" i="14"/>
  <c r="J279" i="14"/>
  <c r="I279" i="14"/>
  <c r="O278" i="14"/>
  <c r="L278" i="14"/>
  <c r="J278" i="14"/>
  <c r="I278" i="14"/>
  <c r="O277" i="14"/>
  <c r="L277" i="14"/>
  <c r="J277" i="14"/>
  <c r="I277" i="14"/>
  <c r="O276" i="14"/>
  <c r="L276" i="14"/>
  <c r="J276" i="14"/>
  <c r="I276" i="14"/>
  <c r="O275" i="14"/>
  <c r="L275" i="14"/>
  <c r="J275" i="14"/>
  <c r="I275" i="14"/>
  <c r="O274" i="14"/>
  <c r="L274" i="14"/>
  <c r="J274" i="14"/>
  <c r="I274" i="14"/>
  <c r="O273" i="14"/>
  <c r="L273" i="14"/>
  <c r="J273" i="14"/>
  <c r="I273" i="14"/>
  <c r="O272" i="14"/>
  <c r="L272" i="14"/>
  <c r="J272" i="14"/>
  <c r="I272" i="14"/>
  <c r="O271" i="14"/>
  <c r="L271" i="14"/>
  <c r="J271" i="14"/>
  <c r="I271" i="14"/>
  <c r="O270" i="14"/>
  <c r="L270" i="14"/>
  <c r="J270" i="14"/>
  <c r="I270" i="14"/>
  <c r="O269" i="14"/>
  <c r="L269" i="14"/>
  <c r="J269" i="14"/>
  <c r="I269" i="14"/>
  <c r="O268" i="14"/>
  <c r="L268" i="14"/>
  <c r="J268" i="14"/>
  <c r="I268" i="14"/>
  <c r="O267" i="14"/>
  <c r="L267" i="14"/>
  <c r="J267" i="14"/>
  <c r="I267" i="14"/>
  <c r="O266" i="14"/>
  <c r="L266" i="14"/>
  <c r="J266" i="14"/>
  <c r="I266" i="14"/>
  <c r="O265" i="14"/>
  <c r="L265" i="14"/>
  <c r="J265" i="14"/>
  <c r="I265" i="14"/>
  <c r="O264" i="14"/>
  <c r="L264" i="14"/>
  <c r="J264" i="14"/>
  <c r="I264" i="14"/>
  <c r="O263" i="14"/>
  <c r="L263" i="14"/>
  <c r="J263" i="14"/>
  <c r="I263" i="14"/>
  <c r="O262" i="14"/>
  <c r="L262" i="14"/>
  <c r="J262" i="14"/>
  <c r="I262" i="14"/>
  <c r="O261" i="14"/>
  <c r="L261" i="14"/>
  <c r="J261" i="14"/>
  <c r="I261" i="14"/>
  <c r="O260" i="14"/>
  <c r="L260" i="14"/>
  <c r="J260" i="14"/>
  <c r="I260" i="14"/>
  <c r="O259" i="14"/>
  <c r="L259" i="14"/>
  <c r="J259" i="14"/>
  <c r="I259" i="14"/>
  <c r="O258" i="14"/>
  <c r="L258" i="14"/>
  <c r="J258" i="14"/>
  <c r="I258" i="14"/>
  <c r="O257" i="14"/>
  <c r="L257" i="14"/>
  <c r="J257" i="14"/>
  <c r="I257" i="14"/>
  <c r="O256" i="14"/>
  <c r="L256" i="14"/>
  <c r="J256" i="14"/>
  <c r="I256" i="14"/>
  <c r="O255" i="14"/>
  <c r="L255" i="14"/>
  <c r="J255" i="14"/>
  <c r="I255" i="14"/>
  <c r="O254" i="14"/>
  <c r="L254" i="14"/>
  <c r="J254" i="14"/>
  <c r="I254" i="14"/>
  <c r="O253" i="14"/>
  <c r="L253" i="14"/>
  <c r="J253" i="14"/>
  <c r="I253" i="14"/>
  <c r="O252" i="14"/>
  <c r="L252" i="14"/>
  <c r="J252" i="14"/>
  <c r="I252" i="14"/>
  <c r="O251" i="14"/>
  <c r="L251" i="14"/>
  <c r="J251" i="14"/>
  <c r="I251" i="14"/>
  <c r="O250" i="14"/>
  <c r="L250" i="14"/>
  <c r="J250" i="14"/>
  <c r="I250" i="14"/>
  <c r="O249" i="14"/>
  <c r="L249" i="14"/>
  <c r="J249" i="14"/>
  <c r="I249" i="14"/>
  <c r="O248" i="14"/>
  <c r="L248" i="14"/>
  <c r="J248" i="14"/>
  <c r="I248" i="14"/>
  <c r="O247" i="14"/>
  <c r="L247" i="14"/>
  <c r="J247" i="14"/>
  <c r="I247" i="14"/>
  <c r="O246" i="14"/>
  <c r="L246" i="14"/>
  <c r="J246" i="14"/>
  <c r="I246" i="14"/>
  <c r="O245" i="14"/>
  <c r="L245" i="14"/>
  <c r="J245" i="14"/>
  <c r="I245" i="14"/>
  <c r="O244" i="14"/>
  <c r="L244" i="14"/>
  <c r="J244" i="14"/>
  <c r="I244" i="14"/>
  <c r="O243" i="14"/>
  <c r="L243" i="14"/>
  <c r="J243" i="14"/>
  <c r="I243" i="14"/>
  <c r="O242" i="14"/>
  <c r="L242" i="14"/>
  <c r="J242" i="14"/>
  <c r="I242" i="14"/>
  <c r="O241" i="14"/>
  <c r="L241" i="14"/>
  <c r="J241" i="14"/>
  <c r="I241" i="14"/>
  <c r="O240" i="14"/>
  <c r="L240" i="14"/>
  <c r="J240" i="14"/>
  <c r="I240" i="14"/>
  <c r="O239" i="14"/>
  <c r="L239" i="14"/>
  <c r="J239" i="14"/>
  <c r="I239" i="14"/>
  <c r="O238" i="14"/>
  <c r="L238" i="14"/>
  <c r="J238" i="14"/>
  <c r="I238" i="14"/>
  <c r="O237" i="14"/>
  <c r="L237" i="14"/>
  <c r="J237" i="14"/>
  <c r="I237" i="14"/>
  <c r="O236" i="14"/>
  <c r="L236" i="14"/>
  <c r="J236" i="14"/>
  <c r="I236" i="14"/>
  <c r="O235" i="14"/>
  <c r="L235" i="14"/>
  <c r="J235" i="14"/>
  <c r="I235" i="14"/>
  <c r="O234" i="14"/>
  <c r="L234" i="14"/>
  <c r="J234" i="14"/>
  <c r="I234" i="14"/>
  <c r="O233" i="14"/>
  <c r="L233" i="14"/>
  <c r="J233" i="14"/>
  <c r="I233" i="14"/>
  <c r="O232" i="14"/>
  <c r="L232" i="14"/>
  <c r="J232" i="14"/>
  <c r="I232" i="14"/>
  <c r="O231" i="14"/>
  <c r="L231" i="14"/>
  <c r="J231" i="14"/>
  <c r="I231" i="14"/>
  <c r="O230" i="14"/>
  <c r="L230" i="14"/>
  <c r="J230" i="14"/>
  <c r="I230" i="14"/>
  <c r="O229" i="14"/>
  <c r="L229" i="14"/>
  <c r="J229" i="14"/>
  <c r="I229" i="14"/>
  <c r="O228" i="14"/>
  <c r="L228" i="14"/>
  <c r="J228" i="14"/>
  <c r="I228" i="14"/>
  <c r="O227" i="14"/>
  <c r="L227" i="14"/>
  <c r="J227" i="14"/>
  <c r="I227" i="14"/>
  <c r="O226" i="14"/>
  <c r="L226" i="14"/>
  <c r="J226" i="14"/>
  <c r="I226" i="14"/>
  <c r="O225" i="14"/>
  <c r="L225" i="14"/>
  <c r="J225" i="14"/>
  <c r="I225" i="14"/>
  <c r="O224" i="14"/>
  <c r="L224" i="14"/>
  <c r="J224" i="14"/>
  <c r="I224" i="14"/>
  <c r="O223" i="14"/>
  <c r="L223" i="14"/>
  <c r="J223" i="14"/>
  <c r="I223" i="14"/>
  <c r="O222" i="14"/>
  <c r="L222" i="14"/>
  <c r="J222" i="14"/>
  <c r="I222" i="14"/>
  <c r="O221" i="14"/>
  <c r="L221" i="14"/>
  <c r="J221" i="14"/>
  <c r="I221" i="14"/>
  <c r="O220" i="14"/>
  <c r="L220" i="14"/>
  <c r="J220" i="14"/>
  <c r="I220" i="14"/>
  <c r="O219" i="14"/>
  <c r="L219" i="14"/>
  <c r="J219" i="14"/>
  <c r="I219" i="14"/>
  <c r="O218" i="14"/>
  <c r="L218" i="14"/>
  <c r="J218" i="14"/>
  <c r="I218" i="14"/>
  <c r="O217" i="14"/>
  <c r="L217" i="14"/>
  <c r="J217" i="14"/>
  <c r="I217" i="14"/>
  <c r="O216" i="14"/>
  <c r="L216" i="14"/>
  <c r="J216" i="14"/>
  <c r="I216" i="14"/>
  <c r="O215" i="14"/>
  <c r="L215" i="14"/>
  <c r="J215" i="14"/>
  <c r="I215" i="14"/>
  <c r="O214" i="14"/>
  <c r="L214" i="14"/>
  <c r="J214" i="14"/>
  <c r="I214" i="14"/>
  <c r="O213" i="14"/>
  <c r="L213" i="14"/>
  <c r="J213" i="14"/>
  <c r="I213" i="14"/>
  <c r="O212" i="14"/>
  <c r="L212" i="14"/>
  <c r="J212" i="14"/>
  <c r="I212" i="14"/>
  <c r="O211" i="14"/>
  <c r="L211" i="14"/>
  <c r="J211" i="14"/>
  <c r="I211" i="14"/>
  <c r="O210" i="14"/>
  <c r="L210" i="14"/>
  <c r="J210" i="14"/>
  <c r="I210" i="14"/>
  <c r="O209" i="14"/>
  <c r="L209" i="14"/>
  <c r="J209" i="14"/>
  <c r="I209" i="14"/>
  <c r="O208" i="14"/>
  <c r="L208" i="14"/>
  <c r="J208" i="14"/>
  <c r="I208" i="14"/>
  <c r="O207" i="14"/>
  <c r="L207" i="14"/>
  <c r="J207" i="14"/>
  <c r="I207" i="14"/>
  <c r="O206" i="14"/>
  <c r="L206" i="14"/>
  <c r="J206" i="14"/>
  <c r="I206" i="14"/>
  <c r="O205" i="14"/>
  <c r="L205" i="14"/>
  <c r="J205" i="14"/>
  <c r="I205" i="14"/>
  <c r="O204" i="14"/>
  <c r="L204" i="14"/>
  <c r="J204" i="14"/>
  <c r="I204" i="14"/>
  <c r="O163" i="14"/>
  <c r="L163" i="14"/>
  <c r="J163" i="14"/>
  <c r="I163" i="14"/>
  <c r="O162" i="14"/>
  <c r="L162" i="14"/>
  <c r="J162" i="14"/>
  <c r="I162" i="14"/>
  <c r="O161" i="14"/>
  <c r="L161" i="14"/>
  <c r="J161" i="14"/>
  <c r="I161" i="14"/>
  <c r="O160" i="14"/>
  <c r="L160" i="14"/>
  <c r="J160" i="14"/>
  <c r="I160" i="14"/>
  <c r="O159" i="14"/>
  <c r="L159" i="14"/>
  <c r="J159" i="14"/>
  <c r="I159" i="14"/>
  <c r="O158" i="14"/>
  <c r="L158" i="14"/>
  <c r="J158" i="14"/>
  <c r="I158" i="14"/>
  <c r="O157" i="14"/>
  <c r="L157" i="14"/>
  <c r="J157" i="14"/>
  <c r="I157" i="14"/>
  <c r="O156" i="14"/>
  <c r="L156" i="14"/>
  <c r="J156" i="14"/>
  <c r="I156" i="14"/>
  <c r="O123" i="14"/>
  <c r="L123" i="14"/>
  <c r="J123" i="14"/>
  <c r="I123" i="14"/>
  <c r="O122" i="14"/>
  <c r="L122" i="14"/>
  <c r="J122" i="14"/>
  <c r="I122" i="14"/>
  <c r="O121" i="14"/>
  <c r="L121" i="14"/>
  <c r="J121" i="14"/>
  <c r="I121" i="14"/>
  <c r="O120" i="14"/>
  <c r="L120" i="14"/>
  <c r="J120" i="14"/>
  <c r="I120" i="14"/>
  <c r="O119" i="14"/>
  <c r="L119" i="14"/>
  <c r="J119" i="14"/>
  <c r="I119" i="14"/>
  <c r="O118" i="14"/>
  <c r="L118" i="14"/>
  <c r="J118" i="14"/>
  <c r="I118" i="14"/>
  <c r="O117" i="14"/>
  <c r="L117" i="14"/>
  <c r="J117" i="14"/>
  <c r="I117" i="14"/>
  <c r="O116" i="14"/>
  <c r="L116" i="14"/>
  <c r="J116" i="14"/>
  <c r="I116" i="14"/>
  <c r="M400" i="14"/>
  <c r="K402" i="14"/>
  <c r="K403" i="14"/>
  <c r="K405" i="14"/>
  <c r="K406" i="14"/>
  <c r="M406" i="14"/>
  <c r="M407" i="14"/>
  <c r="K440" i="14"/>
  <c r="K442" i="14"/>
  <c r="K443" i="14"/>
  <c r="M443" i="14"/>
  <c r="K445" i="14"/>
  <c r="K446" i="14"/>
  <c r="M446" i="14"/>
  <c r="M447" i="14"/>
  <c r="B484" i="14"/>
  <c r="B483" i="14"/>
  <c r="B482" i="14"/>
  <c r="B481" i="14"/>
  <c r="B480" i="14"/>
  <c r="B479" i="14"/>
  <c r="B478" i="14"/>
  <c r="B477" i="14"/>
  <c r="B476" i="14"/>
  <c r="B475" i="14"/>
  <c r="B474" i="14"/>
  <c r="B473" i="14"/>
  <c r="B472" i="14"/>
  <c r="B471" i="14"/>
  <c r="B470" i="14"/>
  <c r="B469" i="14"/>
  <c r="B468" i="14"/>
  <c r="B467" i="14"/>
  <c r="B466" i="14"/>
  <c r="B465" i="14"/>
  <c r="B464" i="14"/>
  <c r="B463" i="14"/>
  <c r="B462" i="14"/>
  <c r="B461" i="14"/>
  <c r="B460" i="14"/>
  <c r="B459" i="14"/>
  <c r="B458" i="14"/>
  <c r="B457" i="14"/>
  <c r="B456" i="14"/>
  <c r="B455" i="14"/>
  <c r="B454" i="14"/>
  <c r="B453" i="14"/>
  <c r="B452" i="14"/>
  <c r="B451" i="14"/>
  <c r="B450" i="14"/>
  <c r="B449" i="14"/>
  <c r="B448" i="14"/>
  <c r="B447" i="14"/>
  <c r="B446" i="14"/>
  <c r="B445" i="14"/>
  <c r="B444" i="14"/>
  <c r="B443" i="14"/>
  <c r="B442" i="14"/>
  <c r="B441" i="14"/>
  <c r="B440" i="14"/>
  <c r="B439" i="14"/>
  <c r="B438" i="14"/>
  <c r="B437" i="14"/>
  <c r="B436" i="14"/>
  <c r="B435" i="14"/>
  <c r="B434" i="14"/>
  <c r="B433" i="14"/>
  <c r="B432" i="14"/>
  <c r="B431" i="14"/>
  <c r="B430" i="14"/>
  <c r="B429" i="14"/>
  <c r="B428" i="14"/>
  <c r="B427" i="14"/>
  <c r="B426" i="14"/>
  <c r="B425" i="14"/>
  <c r="B424" i="14"/>
  <c r="B423" i="14"/>
  <c r="B422" i="14"/>
  <c r="B421" i="14"/>
  <c r="B420" i="14"/>
  <c r="B419" i="14"/>
  <c r="B418" i="14"/>
  <c r="B417" i="14"/>
  <c r="B416" i="14"/>
  <c r="B415" i="14"/>
  <c r="B414" i="14"/>
  <c r="B413" i="14"/>
  <c r="B412" i="14"/>
  <c r="B411" i="14"/>
  <c r="B410" i="14"/>
  <c r="B409" i="14"/>
  <c r="B408" i="14"/>
  <c r="B407" i="14"/>
  <c r="B406" i="14"/>
  <c r="B405" i="14"/>
  <c r="B404" i="14"/>
  <c r="B403" i="14"/>
  <c r="B402" i="14"/>
  <c r="B401" i="14"/>
  <c r="B400" i="14"/>
  <c r="B399" i="14"/>
  <c r="B398" i="14"/>
  <c r="B397" i="14"/>
  <c r="B396" i="14"/>
  <c r="B395" i="14"/>
  <c r="B394" i="14"/>
  <c r="B393" i="14"/>
  <c r="B392" i="14"/>
  <c r="B391" i="14"/>
  <c r="B390" i="14"/>
  <c r="B389" i="14"/>
  <c r="D484" i="14"/>
  <c r="D483" i="14"/>
  <c r="D482" i="14"/>
  <c r="D481" i="14"/>
  <c r="D480" i="14"/>
  <c r="D479" i="14"/>
  <c r="D478" i="14"/>
  <c r="D477" i="14"/>
  <c r="D476" i="14"/>
  <c r="D475" i="14"/>
  <c r="D474" i="14"/>
  <c r="D473" i="14"/>
  <c r="D472" i="14"/>
  <c r="D471" i="14"/>
  <c r="D470" i="14"/>
  <c r="D469" i="14"/>
  <c r="D468" i="14"/>
  <c r="D467" i="14"/>
  <c r="D466" i="14"/>
  <c r="D465" i="14"/>
  <c r="D464" i="14"/>
  <c r="D463" i="14"/>
  <c r="D462" i="14"/>
  <c r="D461" i="14"/>
  <c r="D460" i="14"/>
  <c r="D459" i="14"/>
  <c r="D458" i="14"/>
  <c r="D457" i="14"/>
  <c r="D456" i="14"/>
  <c r="D455" i="14"/>
  <c r="D454" i="14"/>
  <c r="D453" i="14"/>
  <c r="D452" i="14"/>
  <c r="D451" i="14"/>
  <c r="D450" i="14"/>
  <c r="D449" i="14"/>
  <c r="D448" i="14"/>
  <c r="D447" i="14"/>
  <c r="D446" i="14"/>
  <c r="D445" i="14"/>
  <c r="D444" i="14"/>
  <c r="D443" i="14"/>
  <c r="D442" i="14"/>
  <c r="D441" i="14"/>
  <c r="D440" i="14"/>
  <c r="D439" i="14"/>
  <c r="D438" i="14"/>
  <c r="D437" i="14"/>
  <c r="D436" i="14"/>
  <c r="D435" i="14"/>
  <c r="D434" i="14"/>
  <c r="D433" i="14"/>
  <c r="D432" i="14"/>
  <c r="D431" i="14"/>
  <c r="D430" i="14"/>
  <c r="D429" i="14"/>
  <c r="D428" i="14"/>
  <c r="D427" i="14"/>
  <c r="D426" i="14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390" i="14"/>
  <c r="D389" i="14"/>
  <c r="D388" i="14"/>
  <c r="Q484" i="14"/>
  <c r="G484" i="14"/>
  <c r="F484" i="14"/>
  <c r="G483" i="14"/>
  <c r="F483" i="14"/>
  <c r="G482" i="14"/>
  <c r="F482" i="14"/>
  <c r="G481" i="14"/>
  <c r="F481" i="14"/>
  <c r="Q480" i="14"/>
  <c r="G480" i="14"/>
  <c r="F480" i="14"/>
  <c r="G479" i="14"/>
  <c r="F479" i="14"/>
  <c r="G478" i="14"/>
  <c r="F478" i="14"/>
  <c r="Q477" i="14"/>
  <c r="G477" i="14"/>
  <c r="F477" i="14"/>
  <c r="Q476" i="14"/>
  <c r="G476" i="14"/>
  <c r="F476" i="14"/>
  <c r="G475" i="14"/>
  <c r="F475" i="14"/>
  <c r="G474" i="14"/>
  <c r="F474" i="14"/>
  <c r="G473" i="14"/>
  <c r="F473" i="14"/>
  <c r="Q472" i="14"/>
  <c r="G472" i="14"/>
  <c r="F472" i="14"/>
  <c r="G471" i="14"/>
  <c r="F471" i="14"/>
  <c r="Q470" i="14"/>
  <c r="Q471" i="14" s="1"/>
  <c r="G470" i="14"/>
  <c r="F470" i="14"/>
  <c r="Q469" i="14"/>
  <c r="G469" i="14"/>
  <c r="F469" i="14"/>
  <c r="Q468" i="14"/>
  <c r="G468" i="14"/>
  <c r="F468" i="14"/>
  <c r="G467" i="14"/>
  <c r="F467" i="14"/>
  <c r="G466" i="14"/>
  <c r="F466" i="14"/>
  <c r="G465" i="14"/>
  <c r="F465" i="14"/>
  <c r="Q464" i="14"/>
  <c r="G464" i="14"/>
  <c r="F464" i="14"/>
  <c r="G463" i="14"/>
  <c r="F463" i="14"/>
  <c r="G462" i="14"/>
  <c r="F462" i="14"/>
  <c r="Q461" i="14"/>
  <c r="G461" i="14"/>
  <c r="F461" i="14"/>
  <c r="Q460" i="14"/>
  <c r="G460" i="14"/>
  <c r="F460" i="14"/>
  <c r="G459" i="14"/>
  <c r="F459" i="14"/>
  <c r="G458" i="14"/>
  <c r="F458" i="14"/>
  <c r="G457" i="14"/>
  <c r="F457" i="14"/>
  <c r="Q456" i="14"/>
  <c r="G456" i="14"/>
  <c r="F456" i="14"/>
  <c r="G455" i="14"/>
  <c r="F455" i="14"/>
  <c r="Q454" i="14"/>
  <c r="Q455" i="14" s="1"/>
  <c r="G454" i="14"/>
  <c r="F454" i="14"/>
  <c r="Q453" i="14"/>
  <c r="G453" i="14"/>
  <c r="F453" i="14"/>
  <c r="Q452" i="14"/>
  <c r="G452" i="14"/>
  <c r="F452" i="14"/>
  <c r="G451" i="14"/>
  <c r="F451" i="14"/>
  <c r="G450" i="14"/>
  <c r="F450" i="14"/>
  <c r="G449" i="14"/>
  <c r="F449" i="14"/>
  <c r="Q448" i="14"/>
  <c r="G448" i="14"/>
  <c r="F448" i="14"/>
  <c r="G447" i="14"/>
  <c r="F447" i="14"/>
  <c r="G446" i="14"/>
  <c r="F446" i="14"/>
  <c r="Q445" i="14"/>
  <c r="G445" i="14"/>
  <c r="F445" i="14"/>
  <c r="Q444" i="14"/>
  <c r="G444" i="14"/>
  <c r="F444" i="14"/>
  <c r="G443" i="14"/>
  <c r="F443" i="14"/>
  <c r="G442" i="14"/>
  <c r="F442" i="14"/>
  <c r="G441" i="14"/>
  <c r="F441" i="14"/>
  <c r="Q440" i="14"/>
  <c r="G440" i="14"/>
  <c r="F440" i="14"/>
  <c r="G439" i="14"/>
  <c r="F439" i="14"/>
  <c r="Q438" i="14"/>
  <c r="Q439" i="14" s="1"/>
  <c r="G438" i="14"/>
  <c r="F438" i="14"/>
  <c r="Q437" i="14"/>
  <c r="G437" i="14"/>
  <c r="F437" i="14"/>
  <c r="Q436" i="14"/>
  <c r="G436" i="14"/>
  <c r="F436" i="14"/>
  <c r="G435" i="14"/>
  <c r="F435" i="14"/>
  <c r="G434" i="14"/>
  <c r="F434" i="14"/>
  <c r="G433" i="14"/>
  <c r="F433" i="14"/>
  <c r="Q432" i="14"/>
  <c r="G432" i="14"/>
  <c r="F432" i="14"/>
  <c r="G431" i="14"/>
  <c r="F431" i="14"/>
  <c r="G430" i="14"/>
  <c r="F430" i="14"/>
  <c r="Q429" i="14"/>
  <c r="G429" i="14"/>
  <c r="F429" i="14"/>
  <c r="Q428" i="14"/>
  <c r="G428" i="14"/>
  <c r="F428" i="14"/>
  <c r="G427" i="14"/>
  <c r="F427" i="14"/>
  <c r="Q426" i="14"/>
  <c r="G426" i="14"/>
  <c r="F426" i="14"/>
  <c r="Q425" i="14"/>
  <c r="G425" i="14"/>
  <c r="F425" i="14"/>
  <c r="Q424" i="14"/>
  <c r="G424" i="14"/>
  <c r="F424" i="14"/>
  <c r="G423" i="14"/>
  <c r="F423" i="14"/>
  <c r="Q422" i="14"/>
  <c r="Q423" i="14" s="1"/>
  <c r="G422" i="14"/>
  <c r="F422" i="14"/>
  <c r="Q421" i="14"/>
  <c r="G421" i="14"/>
  <c r="F421" i="14"/>
  <c r="Q420" i="14"/>
  <c r="G420" i="14"/>
  <c r="F420" i="14"/>
  <c r="G419" i="14"/>
  <c r="F419" i="14"/>
  <c r="G418" i="14"/>
  <c r="F418" i="14"/>
  <c r="G417" i="14"/>
  <c r="F417" i="14"/>
  <c r="Q416" i="14"/>
  <c r="G416" i="14"/>
  <c r="F416" i="14"/>
  <c r="G415" i="14"/>
  <c r="F415" i="14"/>
  <c r="G414" i="14"/>
  <c r="F414" i="14"/>
  <c r="Q413" i="14"/>
  <c r="G413" i="14"/>
  <c r="F413" i="14"/>
  <c r="Q412" i="14"/>
  <c r="G412" i="14"/>
  <c r="F412" i="14"/>
  <c r="G411" i="14"/>
  <c r="F411" i="14"/>
  <c r="Q410" i="14"/>
  <c r="G410" i="14"/>
  <c r="F410" i="14"/>
  <c r="Q409" i="14"/>
  <c r="G409" i="14"/>
  <c r="F409" i="14"/>
  <c r="Q408" i="14"/>
  <c r="G408" i="14"/>
  <c r="F408" i="14"/>
  <c r="G407" i="14"/>
  <c r="F407" i="14"/>
  <c r="Q406" i="14"/>
  <c r="Q407" i="14" s="1"/>
  <c r="G406" i="14"/>
  <c r="F406" i="14"/>
  <c r="Q405" i="14"/>
  <c r="G405" i="14"/>
  <c r="F405" i="14"/>
  <c r="Q404" i="14"/>
  <c r="G404" i="14"/>
  <c r="F404" i="14"/>
  <c r="G403" i="14"/>
  <c r="F403" i="14"/>
  <c r="G402" i="14"/>
  <c r="F402" i="14"/>
  <c r="G401" i="14"/>
  <c r="F401" i="14"/>
  <c r="Q400" i="14"/>
  <c r="G400" i="14"/>
  <c r="F400" i="14"/>
  <c r="G399" i="14"/>
  <c r="F399" i="14"/>
  <c r="G398" i="14"/>
  <c r="F398" i="14"/>
  <c r="Q397" i="14"/>
  <c r="G397" i="14"/>
  <c r="F397" i="14"/>
  <c r="Q396" i="14"/>
  <c r="G396" i="14"/>
  <c r="F396" i="14"/>
  <c r="G395" i="14"/>
  <c r="F395" i="14"/>
  <c r="Q394" i="14"/>
  <c r="G394" i="14"/>
  <c r="F394" i="14"/>
  <c r="Q393" i="14"/>
  <c r="G393" i="14"/>
  <c r="F393" i="14"/>
  <c r="Q392" i="14"/>
  <c r="G392" i="14"/>
  <c r="F392" i="14"/>
  <c r="G391" i="14"/>
  <c r="F391" i="14"/>
  <c r="Q390" i="14"/>
  <c r="Q391" i="14" s="1"/>
  <c r="G390" i="14"/>
  <c r="F390" i="14"/>
  <c r="Q389" i="14"/>
  <c r="G389" i="14"/>
  <c r="F389" i="14"/>
  <c r="Q388" i="14"/>
  <c r="G388" i="14"/>
  <c r="F388" i="14"/>
  <c r="D433" i="2"/>
  <c r="E433" i="2" s="1"/>
  <c r="D434" i="2"/>
  <c r="E434" i="2" s="1"/>
  <c r="D435" i="2"/>
  <c r="E435" i="2" s="1"/>
  <c r="D436" i="2"/>
  <c r="E436" i="2" s="1"/>
  <c r="D432" i="2"/>
  <c r="E432" i="2" s="1"/>
  <c r="C414" i="2"/>
  <c r="D414" i="2" s="1"/>
  <c r="D405" i="2"/>
  <c r="F425" i="2" s="1"/>
  <c r="D406" i="2"/>
  <c r="F424" i="2" s="1"/>
  <c r="D407" i="2"/>
  <c r="G418" i="2" s="1"/>
  <c r="D408" i="2"/>
  <c r="G422" i="2" s="1"/>
  <c r="D410" i="2"/>
  <c r="G419" i="2" s="1"/>
  <c r="D411" i="2"/>
  <c r="G421" i="2" s="1"/>
  <c r="D412" i="2"/>
  <c r="G423" i="2" s="1"/>
  <c r="D413" i="2"/>
  <c r="F426" i="2" s="1"/>
  <c r="D404" i="2"/>
  <c r="G420" i="2" s="1"/>
  <c r="C409" i="2"/>
  <c r="D409" i="2" s="1"/>
  <c r="F427" i="2" s="1"/>
  <c r="C419" i="2"/>
  <c r="C420" i="2"/>
  <c r="C421" i="2"/>
  <c r="C422" i="2"/>
  <c r="C423" i="2"/>
  <c r="C424" i="2"/>
  <c r="C425" i="2"/>
  <c r="C426" i="2"/>
  <c r="C427" i="2"/>
  <c r="C428" i="2"/>
  <c r="C418" i="2"/>
  <c r="C472" i="2"/>
  <c r="H471" i="2" s="1"/>
  <c r="C479" i="2" s="1"/>
  <c r="C473" i="2"/>
  <c r="N479" i="2" s="1"/>
  <c r="A111" i="21"/>
  <c r="A110" i="21"/>
  <c r="A109" i="21"/>
  <c r="A108" i="21"/>
  <c r="A107" i="21"/>
  <c r="A106" i="21"/>
  <c r="A105" i="21"/>
  <c r="A104" i="21"/>
  <c r="A103" i="21"/>
  <c r="A102" i="21"/>
  <c r="A101" i="21"/>
  <c r="A100" i="21"/>
  <c r="A99" i="21"/>
  <c r="A98" i="21"/>
  <c r="A97" i="21"/>
  <c r="A96" i="21"/>
  <c r="A95" i="21"/>
  <c r="A94" i="21"/>
  <c r="A93" i="21"/>
  <c r="A92" i="21"/>
  <c r="A91" i="21"/>
  <c r="A90" i="21"/>
  <c r="A89" i="21"/>
  <c r="A88" i="21"/>
  <c r="A83" i="21"/>
  <c r="A82" i="21"/>
  <c r="A81" i="21"/>
  <c r="A80" i="21"/>
  <c r="A79" i="2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4" i="21"/>
  <c r="A63" i="21"/>
  <c r="A62" i="21"/>
  <c r="A61" i="21"/>
  <c r="A60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H14" i="3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04" i="2"/>
  <c r="A305" i="2"/>
  <c r="A306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C12" i="5"/>
  <c r="D17" i="5"/>
  <c r="C17" i="5"/>
  <c r="D16" i="5"/>
  <c r="C16" i="5"/>
  <c r="D15" i="5"/>
  <c r="C15" i="5"/>
  <c r="D14" i="5"/>
  <c r="H14" i="5" s="1"/>
  <c r="C14" i="5"/>
  <c r="D13" i="5"/>
  <c r="C13" i="5"/>
  <c r="D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B219" i="2"/>
  <c r="B220" i="2" s="1"/>
  <c r="B221" i="2" s="1"/>
  <c r="B215" i="2"/>
  <c r="B216" i="2" s="1"/>
  <c r="B217" i="2" s="1"/>
  <c r="B211" i="2"/>
  <c r="B212" i="2" s="1"/>
  <c r="B213" i="2" s="1"/>
  <c r="B207" i="2"/>
  <c r="B203" i="2"/>
  <c r="B204" i="2" s="1"/>
  <c r="B205" i="2" s="1"/>
  <c r="B229" i="2"/>
  <c r="B230" i="2" s="1"/>
  <c r="B231" i="2" s="1"/>
  <c r="B232" i="2" s="1"/>
  <c r="B234" i="2" s="1"/>
  <c r="B235" i="2" s="1"/>
  <c r="B236" i="2" s="1"/>
  <c r="B237" i="2" s="1"/>
  <c r="B239" i="2" s="1"/>
  <c r="B240" i="2" s="1"/>
  <c r="B241" i="2" s="1"/>
  <c r="B242" i="2" s="1"/>
  <c r="B244" i="2" s="1"/>
  <c r="B245" i="2" s="1"/>
  <c r="B246" i="2" s="1"/>
  <c r="B247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F39" i="7" l="1"/>
  <c r="O39" i="7" s="1"/>
  <c r="K444" i="14"/>
  <c r="H444" i="14"/>
  <c r="K420" i="15"/>
  <c r="K388" i="15"/>
  <c r="K483" i="15"/>
  <c r="K467" i="15"/>
  <c r="K451" i="15"/>
  <c r="K256" i="15"/>
  <c r="K514" i="15"/>
  <c r="K320" i="15"/>
  <c r="K255" i="15"/>
  <c r="K484" i="15"/>
  <c r="K419" i="15"/>
  <c r="K513" i="15"/>
  <c r="K497" i="15"/>
  <c r="K481" i="15"/>
  <c r="K286" i="15"/>
  <c r="K254" i="15"/>
  <c r="K238" i="15"/>
  <c r="K334" i="15"/>
  <c r="K302" i="15"/>
  <c r="K285" i="15"/>
  <c r="K269" i="15"/>
  <c r="K398" i="15"/>
  <c r="K365" i="15"/>
  <c r="K333" i="15"/>
  <c r="E406" i="15"/>
  <c r="E374" i="15"/>
  <c r="K510" i="15"/>
  <c r="K478" i="15"/>
  <c r="K462" i="15"/>
  <c r="K445" i="15"/>
  <c r="K251" i="15"/>
  <c r="K509" i="15"/>
  <c r="K493" i="15"/>
  <c r="K477" i="15"/>
  <c r="K282" i="15"/>
  <c r="K250" i="15"/>
  <c r="K234" i="15"/>
  <c r="E265" i="15"/>
  <c r="E249" i="15"/>
  <c r="K329" i="15"/>
  <c r="K313" i="15"/>
  <c r="K296" i="15"/>
  <c r="K425" i="15"/>
  <c r="K360" i="15"/>
  <c r="K457" i="15"/>
  <c r="K440" i="15"/>
  <c r="K230" i="15"/>
  <c r="K225" i="15"/>
  <c r="K488" i="15"/>
  <c r="K261" i="15"/>
  <c r="K245" i="15"/>
  <c r="K229" i="15"/>
  <c r="D357" i="15"/>
  <c r="P357" i="15" s="1"/>
  <c r="D325" i="15"/>
  <c r="P325" i="15" s="1"/>
  <c r="D292" i="15"/>
  <c r="P292" i="15" s="1"/>
  <c r="K421" i="15"/>
  <c r="K389" i="15"/>
  <c r="K373" i="15"/>
  <c r="K356" i="15"/>
  <c r="M403" i="14"/>
  <c r="H400" i="14"/>
  <c r="M441" i="14"/>
  <c r="M401" i="14"/>
  <c r="K441" i="14"/>
  <c r="K401" i="14"/>
  <c r="H404" i="14"/>
  <c r="H440" i="14"/>
  <c r="D266" i="15"/>
  <c r="P266" i="15" s="1"/>
  <c r="D282" i="15"/>
  <c r="P282" i="15" s="1"/>
  <c r="E287" i="15"/>
  <c r="E352" i="15"/>
  <c r="D363" i="15"/>
  <c r="P363" i="15" s="1"/>
  <c r="K374" i="15"/>
  <c r="E450" i="15"/>
  <c r="K455" i="15"/>
  <c r="D461" i="15"/>
  <c r="P461" i="15" s="1"/>
  <c r="D229" i="15"/>
  <c r="P229" i="15" s="1"/>
  <c r="D245" i="15"/>
  <c r="P245" i="15" s="1"/>
  <c r="E250" i="15"/>
  <c r="D261" i="15"/>
  <c r="P261" i="15" s="1"/>
  <c r="D358" i="15"/>
  <c r="P358" i="15" s="1"/>
  <c r="D375" i="15"/>
  <c r="P375" i="15" s="1"/>
  <c r="E380" i="15"/>
  <c r="D391" i="15"/>
  <c r="P391" i="15" s="1"/>
  <c r="D488" i="15"/>
  <c r="P488" i="15" s="1"/>
  <c r="E509" i="15"/>
  <c r="E229" i="15"/>
  <c r="E326" i="15"/>
  <c r="E342" i="15"/>
  <c r="E358" i="15"/>
  <c r="E456" i="15"/>
  <c r="E472" i="15"/>
  <c r="D483" i="15"/>
  <c r="P483" i="15" s="1"/>
  <c r="E488" i="15"/>
  <c r="D300" i="15"/>
  <c r="P300" i="15" s="1"/>
  <c r="D316" i="15"/>
  <c r="P316" i="15" s="1"/>
  <c r="E321" i="15"/>
  <c r="D332" i="15"/>
  <c r="P332" i="15" s="1"/>
  <c r="D429" i="15"/>
  <c r="P429" i="15" s="1"/>
  <c r="D445" i="15"/>
  <c r="P445" i="15" s="1"/>
  <c r="E451" i="15"/>
  <c r="D462" i="15"/>
  <c r="P462" i="15" s="1"/>
  <c r="D262" i="15"/>
  <c r="P262" i="15" s="1"/>
  <c r="D278" i="15"/>
  <c r="P278" i="15" s="1"/>
  <c r="D294" i="15"/>
  <c r="P294" i="15" s="1"/>
  <c r="D392" i="15"/>
  <c r="P392" i="15" s="1"/>
  <c r="D408" i="15"/>
  <c r="P408" i="15" s="1"/>
  <c r="D225" i="15"/>
  <c r="P225" i="15" s="1"/>
  <c r="D241" i="15"/>
  <c r="P241" i="15" s="1"/>
  <c r="E246" i="15"/>
  <c r="D257" i="15"/>
  <c r="P257" i="15" s="1"/>
  <c r="D354" i="15"/>
  <c r="P354" i="15" s="1"/>
  <c r="D370" i="15"/>
  <c r="P370" i="15" s="1"/>
  <c r="E376" i="15"/>
  <c r="D387" i="15"/>
  <c r="P387" i="15" s="1"/>
  <c r="D484" i="15"/>
  <c r="P484" i="15" s="1"/>
  <c r="D500" i="15"/>
  <c r="P500" i="15" s="1"/>
  <c r="E505" i="15"/>
  <c r="D516" i="15"/>
  <c r="P516" i="15" s="1"/>
  <c r="D317" i="15"/>
  <c r="P317" i="15" s="1"/>
  <c r="D333" i="15"/>
  <c r="P333" i="15" s="1"/>
  <c r="E338" i="15"/>
  <c r="D447" i="15"/>
  <c r="P447" i="15" s="1"/>
  <c r="E468" i="15"/>
  <c r="D479" i="15"/>
  <c r="P479" i="15" s="1"/>
  <c r="D279" i="15"/>
  <c r="P279" i="15" s="1"/>
  <c r="D295" i="15"/>
  <c r="P295" i="15" s="1"/>
  <c r="E301" i="15"/>
  <c r="D312" i="15"/>
  <c r="P312" i="15" s="1"/>
  <c r="D425" i="15"/>
  <c r="P425" i="15" s="1"/>
  <c r="E430" i="15"/>
  <c r="D441" i="15"/>
  <c r="P441" i="15" s="1"/>
  <c r="D242" i="15"/>
  <c r="P242" i="15" s="1"/>
  <c r="D258" i="15"/>
  <c r="P258" i="15" s="1"/>
  <c r="E263" i="15"/>
  <c r="D371" i="15"/>
  <c r="P371" i="15" s="1"/>
  <c r="D388" i="15"/>
  <c r="P388" i="15" s="1"/>
  <c r="D501" i="15"/>
  <c r="P501" i="15" s="1"/>
  <c r="D517" i="15"/>
  <c r="P517" i="15" s="1"/>
  <c r="E226" i="15"/>
  <c r="D237" i="15"/>
  <c r="P237" i="15" s="1"/>
  <c r="D334" i="15"/>
  <c r="P334" i="15" s="1"/>
  <c r="D350" i="15"/>
  <c r="P350" i="15" s="1"/>
  <c r="E355" i="15"/>
  <c r="D366" i="15"/>
  <c r="P366" i="15" s="1"/>
  <c r="D464" i="15"/>
  <c r="P464" i="15" s="1"/>
  <c r="D480" i="15"/>
  <c r="P480" i="15" s="1"/>
  <c r="E485" i="15"/>
  <c r="D496" i="15"/>
  <c r="P496" i="15" s="1"/>
  <c r="D296" i="15"/>
  <c r="P296" i="15" s="1"/>
  <c r="D313" i="15"/>
  <c r="P313" i="15" s="1"/>
  <c r="E318" i="15"/>
  <c r="D329" i="15"/>
  <c r="P329" i="15" s="1"/>
  <c r="D426" i="15"/>
  <c r="P426" i="15" s="1"/>
  <c r="D442" i="15"/>
  <c r="P442" i="15" s="1"/>
  <c r="E448" i="15"/>
  <c r="D459" i="15"/>
  <c r="P459" i="15" s="1"/>
  <c r="E280" i="15"/>
  <c r="D291" i="15"/>
  <c r="P291" i="15" s="1"/>
  <c r="D340" i="15"/>
  <c r="P340" i="15" s="1"/>
  <c r="D405" i="15"/>
  <c r="P405" i="15" s="1"/>
  <c r="E410" i="15"/>
  <c r="D421" i="15"/>
  <c r="P421" i="15" s="1"/>
  <c r="D518" i="15"/>
  <c r="P518" i="15" s="1"/>
  <c r="D238" i="15"/>
  <c r="P238" i="15" s="1"/>
  <c r="E243" i="15"/>
  <c r="D254" i="15"/>
  <c r="P254" i="15" s="1"/>
  <c r="D303" i="15"/>
  <c r="P303" i="15" s="1"/>
  <c r="D367" i="15"/>
  <c r="P367" i="15" s="1"/>
  <c r="E373" i="15"/>
  <c r="D384" i="15"/>
  <c r="P384" i="15" s="1"/>
  <c r="D432" i="15"/>
  <c r="P432" i="15" s="1"/>
  <c r="D481" i="15"/>
  <c r="P481" i="15" s="1"/>
  <c r="D497" i="15"/>
  <c r="P497" i="15" s="1"/>
  <c r="E502" i="15"/>
  <c r="D513" i="15"/>
  <c r="P513" i="15" s="1"/>
  <c r="D265" i="15"/>
  <c r="P265" i="15" s="1"/>
  <c r="D330" i="15"/>
  <c r="P330" i="15" s="1"/>
  <c r="E335" i="15"/>
  <c r="D346" i="15"/>
  <c r="P346" i="15" s="1"/>
  <c r="D395" i="15"/>
  <c r="P395" i="15" s="1"/>
  <c r="E465" i="15"/>
  <c r="D476" i="15"/>
  <c r="P476" i="15" s="1"/>
  <c r="Q729" i="14"/>
  <c r="Q733" i="14"/>
  <c r="Q737" i="14"/>
  <c r="Q741" i="14"/>
  <c r="Q745" i="14"/>
  <c r="Q749" i="14"/>
  <c r="Q753" i="14"/>
  <c r="Q757" i="14"/>
  <c r="Q761" i="14"/>
  <c r="Q765" i="14"/>
  <c r="Q769" i="14"/>
  <c r="Q773" i="14"/>
  <c r="Q777" i="14"/>
  <c r="Q781" i="14"/>
  <c r="Q785" i="14"/>
  <c r="Q789" i="14"/>
  <c r="Q793" i="14"/>
  <c r="Q797" i="14"/>
  <c r="Q801" i="14"/>
  <c r="Q805" i="14"/>
  <c r="Q809" i="14"/>
  <c r="Q813" i="14"/>
  <c r="Q817" i="14"/>
  <c r="Q821" i="14"/>
  <c r="Q825" i="14"/>
  <c r="Q829" i="14"/>
  <c r="Q833" i="14"/>
  <c r="Q836" i="14"/>
  <c r="Q616" i="14"/>
  <c r="Q620" i="14"/>
  <c r="Q624" i="14"/>
  <c r="Q628" i="14"/>
  <c r="Q632" i="14"/>
  <c r="Q636" i="14"/>
  <c r="Q640" i="14"/>
  <c r="Q644" i="14"/>
  <c r="Q648" i="14"/>
  <c r="Q652" i="14"/>
  <c r="Q656" i="14"/>
  <c r="Q660" i="14"/>
  <c r="Q664" i="14"/>
  <c r="Q668" i="14"/>
  <c r="Q672" i="14"/>
  <c r="Q676" i="14"/>
  <c r="Q680" i="14"/>
  <c r="Q684" i="14"/>
  <c r="Q688" i="14"/>
  <c r="Q692" i="14"/>
  <c r="Q696" i="14"/>
  <c r="Q700" i="14"/>
  <c r="Q704" i="14"/>
  <c r="Q708" i="14"/>
  <c r="Q712" i="14"/>
  <c r="Q716" i="14"/>
  <c r="Q720" i="14"/>
  <c r="Q723" i="14"/>
  <c r="H553" i="14"/>
  <c r="K553" i="14"/>
  <c r="M553" i="14"/>
  <c r="K513" i="14"/>
  <c r="H513" i="14"/>
  <c r="M513" i="14"/>
  <c r="H557" i="14"/>
  <c r="K557" i="14"/>
  <c r="M557" i="14"/>
  <c r="H517" i="14"/>
  <c r="K517" i="14"/>
  <c r="M517" i="14"/>
  <c r="Q503" i="14"/>
  <c r="Q507" i="14"/>
  <c r="Q511" i="14"/>
  <c r="Q515" i="14"/>
  <c r="Q519" i="14"/>
  <c r="Q523" i="14"/>
  <c r="Q527" i="14"/>
  <c r="Q531" i="14"/>
  <c r="Q535" i="14"/>
  <c r="Q539" i="14"/>
  <c r="Q543" i="14"/>
  <c r="Q547" i="14"/>
  <c r="Q551" i="14"/>
  <c r="Q555" i="14"/>
  <c r="Q559" i="14"/>
  <c r="Q563" i="14"/>
  <c r="Q567" i="14"/>
  <c r="Q571" i="14"/>
  <c r="Q575" i="14"/>
  <c r="Q579" i="14"/>
  <c r="Q583" i="14"/>
  <c r="Q587" i="14"/>
  <c r="Q591" i="14"/>
  <c r="Q595" i="14"/>
  <c r="Q599" i="14"/>
  <c r="Q603" i="14"/>
  <c r="Q607" i="14"/>
  <c r="Q610" i="14"/>
  <c r="Q488" i="14"/>
  <c r="Q489" i="14" s="1"/>
  <c r="Q490" i="14" s="1"/>
  <c r="Q491" i="14" s="1"/>
  <c r="Q492" i="14" s="1"/>
  <c r="Q493" i="14" s="1"/>
  <c r="Q494" i="14" s="1"/>
  <c r="Q495" i="14" s="1"/>
  <c r="Q496" i="14" s="1"/>
  <c r="Q497" i="14" s="1"/>
  <c r="Q498" i="14" s="1"/>
  <c r="Q499" i="14" s="1"/>
  <c r="M444" i="14"/>
  <c r="M404" i="14"/>
  <c r="K447" i="14"/>
  <c r="K407" i="14"/>
  <c r="M445" i="14"/>
  <c r="M405" i="14"/>
  <c r="M442" i="14"/>
  <c r="M402" i="14"/>
  <c r="Q441" i="14"/>
  <c r="Q457" i="14"/>
  <c r="Q473" i="14"/>
  <c r="Q411" i="14"/>
  <c r="Q427" i="14"/>
  <c r="Q398" i="14"/>
  <c r="Q414" i="14"/>
  <c r="Q430" i="14"/>
  <c r="Q446" i="14"/>
  <c r="Q462" i="14"/>
  <c r="Q478" i="14"/>
  <c r="Q417" i="14"/>
  <c r="Q465" i="14"/>
  <c r="Q481" i="14"/>
  <c r="Q395" i="14"/>
  <c r="Q401" i="14"/>
  <c r="Q433" i="14"/>
  <c r="Q449" i="14"/>
  <c r="G426" i="2"/>
  <c r="H426" i="2" s="1"/>
  <c r="F423" i="2"/>
  <c r="H423" i="2" s="1"/>
  <c r="F422" i="2"/>
  <c r="I422" i="2" s="1"/>
  <c r="F428" i="2"/>
  <c r="G428" i="2"/>
  <c r="F421" i="2"/>
  <c r="I421" i="2" s="1"/>
  <c r="F420" i="2"/>
  <c r="I420" i="2" s="1"/>
  <c r="F419" i="2"/>
  <c r="I419" i="2" s="1"/>
  <c r="G427" i="2"/>
  <c r="H427" i="2" s="1"/>
  <c r="G425" i="2"/>
  <c r="H425" i="2" s="1"/>
  <c r="G424" i="2"/>
  <c r="I424" i="2" s="1"/>
  <c r="F418" i="2"/>
  <c r="I418" i="2" s="1"/>
  <c r="I428" i="2"/>
  <c r="H422" i="2"/>
  <c r="D482" i="2"/>
  <c r="D487" i="2"/>
  <c r="N480" i="2"/>
  <c r="D478" i="2"/>
  <c r="D473" i="2" s="1"/>
  <c r="D486" i="2"/>
  <c r="D485" i="2"/>
  <c r="D484" i="2"/>
  <c r="D483" i="2"/>
  <c r="D481" i="2"/>
  <c r="D480" i="2"/>
  <c r="D479" i="2"/>
  <c r="G478" i="2"/>
  <c r="N478" i="2"/>
  <c r="N482" i="2"/>
  <c r="N481" i="2"/>
  <c r="C478" i="2"/>
  <c r="C487" i="2"/>
  <c r="C484" i="2"/>
  <c r="C482" i="2"/>
  <c r="C486" i="2"/>
  <c r="C483" i="2"/>
  <c r="C480" i="2"/>
  <c r="H472" i="2"/>
  <c r="M479" i="2" s="1"/>
  <c r="C485" i="2"/>
  <c r="C481" i="2"/>
  <c r="F5" i="21"/>
  <c r="Q37" i="21"/>
  <c r="E313" i="15" s="1"/>
  <c r="N93" i="21"/>
  <c r="J756" i="14" s="1"/>
  <c r="Q64" i="21"/>
  <c r="N33" i="21"/>
  <c r="F35" i="21"/>
  <c r="S35" i="21"/>
  <c r="R35" i="21" s="1"/>
  <c r="X35" i="21"/>
  <c r="W35" i="21" s="1"/>
  <c r="L37" i="21"/>
  <c r="K312" i="15" s="1"/>
  <c r="N38" i="21"/>
  <c r="S88" i="21"/>
  <c r="F16" i="21"/>
  <c r="N61" i="21"/>
  <c r="F6" i="21"/>
  <c r="F17" i="21"/>
  <c r="V55" i="21"/>
  <c r="K371" i="15" s="1"/>
  <c r="X111" i="21"/>
  <c r="G39" i="21"/>
  <c r="D318" i="15" s="1"/>
  <c r="P318" i="15" s="1"/>
  <c r="F74" i="21"/>
  <c r="S42" i="21"/>
  <c r="X60" i="21"/>
  <c r="N32" i="21"/>
  <c r="L62" i="21"/>
  <c r="S32" i="21"/>
  <c r="R32" i="21" s="1"/>
  <c r="F21" i="21"/>
  <c r="N53" i="21"/>
  <c r="F34" i="21"/>
  <c r="G90" i="21"/>
  <c r="L735" i="14" s="1"/>
  <c r="V82" i="21"/>
  <c r="E441" i="15" s="1"/>
  <c r="I34" i="21"/>
  <c r="V91" i="21"/>
  <c r="S36" i="21"/>
  <c r="V45" i="21"/>
  <c r="Y45" i="21" s="1"/>
  <c r="I66" i="21"/>
  <c r="F73" i="21"/>
  <c r="G81" i="21"/>
  <c r="X82" i="21"/>
  <c r="I95" i="21"/>
  <c r="J763" i="14" s="1"/>
  <c r="F97" i="21"/>
  <c r="V98" i="21"/>
  <c r="I100" i="21"/>
  <c r="J791" i="14" s="1"/>
  <c r="X101" i="21"/>
  <c r="Q103" i="21"/>
  <c r="L805" i="14" s="1"/>
  <c r="G105" i="21"/>
  <c r="L811" i="14" s="1"/>
  <c r="V106" i="21"/>
  <c r="L818" i="14" s="1"/>
  <c r="N108" i="21"/>
  <c r="J824" i="14" s="1"/>
  <c r="I110" i="21"/>
  <c r="J831" i="14" s="1"/>
  <c r="F15" i="21"/>
  <c r="Q32" i="21"/>
  <c r="U32" i="21" s="1"/>
  <c r="G34" i="21"/>
  <c r="K303" i="15" s="1"/>
  <c r="V35" i="21"/>
  <c r="N37" i="21"/>
  <c r="I39" i="21"/>
  <c r="F41" i="21"/>
  <c r="V42" i="21"/>
  <c r="I44" i="21"/>
  <c r="X45" i="21"/>
  <c r="N47" i="21"/>
  <c r="F49" i="21"/>
  <c r="V50" i="21"/>
  <c r="D352" i="15" s="1"/>
  <c r="P352" i="15" s="1"/>
  <c r="N52" i="21"/>
  <c r="I54" i="21"/>
  <c r="F60" i="21"/>
  <c r="Q61" i="21"/>
  <c r="F63" i="21"/>
  <c r="S64" i="21"/>
  <c r="L66" i="21"/>
  <c r="D389" i="15" s="1"/>
  <c r="P389" i="15" s="1"/>
  <c r="G68" i="21"/>
  <c r="X69" i="21"/>
  <c r="S71" i="21"/>
  <c r="G73" i="21"/>
  <c r="V74" i="21"/>
  <c r="L76" i="21"/>
  <c r="D419" i="15" s="1"/>
  <c r="P419" i="15" s="1"/>
  <c r="X77" i="21"/>
  <c r="Q79" i="21"/>
  <c r="I81" i="21"/>
  <c r="F83" i="21"/>
  <c r="I90" i="21"/>
  <c r="J735" i="14" s="1"/>
  <c r="X91" i="21"/>
  <c r="Q93" i="21"/>
  <c r="L757" i="14" s="1"/>
  <c r="L95" i="21"/>
  <c r="L764" i="14" s="1"/>
  <c r="G97" i="21"/>
  <c r="L771" i="14" s="1"/>
  <c r="X98" i="21"/>
  <c r="L100" i="21"/>
  <c r="L792" i="14" s="1"/>
  <c r="F102" i="21"/>
  <c r="S103" i="21"/>
  <c r="J805" i="14" s="1"/>
  <c r="I105" i="21"/>
  <c r="J811" i="14" s="1"/>
  <c r="X106" i="21"/>
  <c r="J818" i="14" s="1"/>
  <c r="Q108" i="21"/>
  <c r="L825" i="14" s="1"/>
  <c r="L110" i="21"/>
  <c r="L832" i="14" s="1"/>
  <c r="Q52" i="21"/>
  <c r="K358" i="15" s="1"/>
  <c r="G60" i="21"/>
  <c r="D373" i="15" s="1"/>
  <c r="P373" i="15" s="1"/>
  <c r="G63" i="21"/>
  <c r="I68" i="21"/>
  <c r="I73" i="21"/>
  <c r="X74" i="21"/>
  <c r="N76" i="21"/>
  <c r="S79" i="21"/>
  <c r="L81" i="21"/>
  <c r="E435" i="15" s="1"/>
  <c r="G83" i="21"/>
  <c r="V88" i="21"/>
  <c r="L90" i="21"/>
  <c r="S93" i="21"/>
  <c r="J757" i="14" s="1"/>
  <c r="N95" i="21"/>
  <c r="J764" i="14" s="1"/>
  <c r="I97" i="21"/>
  <c r="J771" i="14" s="1"/>
  <c r="N100" i="21"/>
  <c r="J792" i="14" s="1"/>
  <c r="G102" i="21"/>
  <c r="L799" i="14" s="1"/>
  <c r="V103" i="21"/>
  <c r="L806" i="14" s="1"/>
  <c r="L105" i="21"/>
  <c r="L812" i="14" s="1"/>
  <c r="F107" i="21"/>
  <c r="S108" i="21"/>
  <c r="J825" i="14" s="1"/>
  <c r="N110" i="21"/>
  <c r="J832" i="14" s="1"/>
  <c r="F68" i="21"/>
  <c r="V71" i="21"/>
  <c r="V79" i="21"/>
  <c r="I83" i="21"/>
  <c r="X88" i="21"/>
  <c r="N90" i="21"/>
  <c r="J736" i="14" s="1"/>
  <c r="F92" i="21"/>
  <c r="V93" i="21"/>
  <c r="Q95" i="21"/>
  <c r="L765" i="14" s="1"/>
  <c r="L97" i="21"/>
  <c r="L772" i="14" s="1"/>
  <c r="X103" i="21"/>
  <c r="Q110" i="21"/>
  <c r="E514" i="15" s="1"/>
  <c r="X40" i="21"/>
  <c r="W40" i="21" s="1"/>
  <c r="L52" i="21"/>
  <c r="E357" i="15" s="1"/>
  <c r="S74" i="21"/>
  <c r="Q47" i="21"/>
  <c r="K343" i="15" s="1"/>
  <c r="F70" i="21"/>
  <c r="L34" i="21"/>
  <c r="D304" i="15" s="1"/>
  <c r="P304" i="15" s="1"/>
  <c r="F46" i="21"/>
  <c r="N54" i="21"/>
  <c r="L68" i="21"/>
  <c r="N81" i="21"/>
  <c r="V108" i="21"/>
  <c r="F4" i="21"/>
  <c r="F12" i="21"/>
  <c r="X32" i="21"/>
  <c r="W32" i="21" s="1"/>
  <c r="N34" i="21"/>
  <c r="M34" i="21" s="1"/>
  <c r="F36" i="21"/>
  <c r="V37" i="21"/>
  <c r="Y37" i="21" s="1"/>
  <c r="Q39" i="21"/>
  <c r="D320" i="15" s="1"/>
  <c r="P320" i="15" s="1"/>
  <c r="L41" i="21"/>
  <c r="E325" i="15" s="1"/>
  <c r="F43" i="21"/>
  <c r="Q44" i="21"/>
  <c r="E334" i="15" s="1"/>
  <c r="G46" i="21"/>
  <c r="K338" i="15" s="1"/>
  <c r="V47" i="21"/>
  <c r="L49" i="21"/>
  <c r="K347" i="15" s="1"/>
  <c r="G51" i="21"/>
  <c r="V52" i="21"/>
  <c r="Q54" i="21"/>
  <c r="L60" i="21"/>
  <c r="D374" i="15" s="1"/>
  <c r="P374" i="15" s="1"/>
  <c r="V61" i="21"/>
  <c r="L63" i="21"/>
  <c r="K381" i="15" s="1"/>
  <c r="S66" i="21"/>
  <c r="N68" i="21"/>
  <c r="I70" i="21"/>
  <c r="X71" i="21"/>
  <c r="N73" i="21"/>
  <c r="F75" i="21"/>
  <c r="S76" i="21"/>
  <c r="G78" i="21"/>
  <c r="X79" i="21"/>
  <c r="Q81" i="21"/>
  <c r="L83" i="21"/>
  <c r="F89" i="21"/>
  <c r="Q90" i="21"/>
  <c r="G92" i="21"/>
  <c r="L751" i="14" s="1"/>
  <c r="X93" i="21"/>
  <c r="J758" i="14" s="1"/>
  <c r="S95" i="21"/>
  <c r="J765" i="14" s="1"/>
  <c r="N97" i="21"/>
  <c r="J772" i="14" s="1"/>
  <c r="G99" i="21"/>
  <c r="L787" i="14" s="1"/>
  <c r="S100" i="21"/>
  <c r="J793" i="14" s="1"/>
  <c r="L102" i="21"/>
  <c r="L800" i="14" s="1"/>
  <c r="Q105" i="21"/>
  <c r="L813" i="14" s="1"/>
  <c r="I107" i="21"/>
  <c r="J819" i="14" s="1"/>
  <c r="X108" i="21"/>
  <c r="J826" i="14" s="1"/>
  <c r="S110" i="21"/>
  <c r="J833" i="14" s="1"/>
  <c r="G44" i="21"/>
  <c r="E332" i="15" s="1"/>
  <c r="Q71" i="21"/>
  <c r="X42" i="21"/>
  <c r="W42" i="21" s="1"/>
  <c r="N66" i="21"/>
  <c r="N44" i="21"/>
  <c r="I60" i="21"/>
  <c r="L73" i="21"/>
  <c r="K410" i="15" s="1"/>
  <c r="G107" i="21"/>
  <c r="L819" i="14" s="1"/>
  <c r="F27" i="21"/>
  <c r="F11" i="21"/>
  <c r="Q34" i="21"/>
  <c r="K305" i="15" s="1"/>
  <c r="G36" i="21"/>
  <c r="D308" i="15" s="1"/>
  <c r="P308" i="15" s="1"/>
  <c r="X37" i="21"/>
  <c r="W37" i="21" s="1"/>
  <c r="S39" i="21"/>
  <c r="N41" i="21"/>
  <c r="G43" i="21"/>
  <c r="K330" i="15" s="1"/>
  <c r="S44" i="21"/>
  <c r="I46" i="21"/>
  <c r="X47" i="21"/>
  <c r="W47" i="21" s="1"/>
  <c r="N49" i="21"/>
  <c r="I51" i="21"/>
  <c r="X52" i="21"/>
  <c r="S54" i="21"/>
  <c r="N60" i="21"/>
  <c r="X61" i="21"/>
  <c r="N63" i="21"/>
  <c r="F65" i="21"/>
  <c r="V66" i="21"/>
  <c r="Q68" i="21"/>
  <c r="L70" i="21"/>
  <c r="Q73" i="21"/>
  <c r="G75" i="21"/>
  <c r="I78" i="21"/>
  <c r="S81" i="21"/>
  <c r="N83" i="21"/>
  <c r="G89" i="21"/>
  <c r="S90" i="21"/>
  <c r="J737" i="14" s="1"/>
  <c r="I92" i="21"/>
  <c r="J751" i="14" s="1"/>
  <c r="F94" i="21"/>
  <c r="V95" i="21"/>
  <c r="L766" i="14" s="1"/>
  <c r="Q97" i="21"/>
  <c r="L773" i="14" s="1"/>
  <c r="I99" i="21"/>
  <c r="J787" i="14" s="1"/>
  <c r="V100" i="21"/>
  <c r="N102" i="21"/>
  <c r="J800" i="14" s="1"/>
  <c r="F104" i="21"/>
  <c r="S105" i="21"/>
  <c r="J813" i="14" s="1"/>
  <c r="L107" i="21"/>
  <c r="L820" i="14" s="1"/>
  <c r="F109" i="21"/>
  <c r="V110" i="21"/>
  <c r="L834" i="14" s="1"/>
  <c r="G54" i="21"/>
  <c r="D364" i="15" s="1"/>
  <c r="P364" i="15" s="1"/>
  <c r="I76" i="21"/>
  <c r="F14" i="21"/>
  <c r="L39" i="21"/>
  <c r="L54" i="21"/>
  <c r="D365" i="15" s="1"/>
  <c r="P365" i="15" s="1"/>
  <c r="S52" i="21"/>
  <c r="X64" i="21"/>
  <c r="Q76" i="21"/>
  <c r="I102" i="21"/>
  <c r="J799" i="14" s="1"/>
  <c r="F26" i="21"/>
  <c r="F10" i="21"/>
  <c r="F33" i="21"/>
  <c r="S34" i="21"/>
  <c r="I36" i="21"/>
  <c r="F38" i="21"/>
  <c r="V39" i="21"/>
  <c r="K321" i="15" s="1"/>
  <c r="Q41" i="21"/>
  <c r="D326" i="15" s="1"/>
  <c r="P326" i="15" s="1"/>
  <c r="I43" i="21"/>
  <c r="V44" i="21"/>
  <c r="Y44" i="21" s="1"/>
  <c r="L46" i="21"/>
  <c r="Q49" i="21"/>
  <c r="D348" i="15" s="1"/>
  <c r="P348" i="15" s="1"/>
  <c r="L51" i="21"/>
  <c r="E354" i="15" s="1"/>
  <c r="F53" i="21"/>
  <c r="V54" i="21"/>
  <c r="E367" i="15" s="1"/>
  <c r="Q60" i="21"/>
  <c r="Q63" i="21"/>
  <c r="G65" i="21"/>
  <c r="K385" i="15" s="1"/>
  <c r="X66" i="21"/>
  <c r="S68" i="21"/>
  <c r="N70" i="21"/>
  <c r="F72" i="21"/>
  <c r="S73" i="21"/>
  <c r="I75" i="21"/>
  <c r="V76" i="21"/>
  <c r="L78" i="21"/>
  <c r="K424" i="15" s="1"/>
  <c r="F80" i="21"/>
  <c r="V81" i="21"/>
  <c r="D437" i="15" s="1"/>
  <c r="P437" i="15" s="1"/>
  <c r="Q83" i="21"/>
  <c r="E444" i="15" s="1"/>
  <c r="I89" i="21"/>
  <c r="J731" i="14" s="1"/>
  <c r="V90" i="21"/>
  <c r="L738" i="14" s="1"/>
  <c r="L92" i="21"/>
  <c r="L752" i="14" s="1"/>
  <c r="G94" i="21"/>
  <c r="L759" i="14" s="1"/>
  <c r="X95" i="21"/>
  <c r="J766" i="14" s="1"/>
  <c r="S97" i="21"/>
  <c r="J773" i="14" s="1"/>
  <c r="L99" i="21"/>
  <c r="L788" i="14" s="1"/>
  <c r="X100" i="21"/>
  <c r="Q102" i="21"/>
  <c r="L801" i="14" s="1"/>
  <c r="G104" i="21"/>
  <c r="D492" i="15" s="1"/>
  <c r="P492" i="15" s="1"/>
  <c r="V105" i="21"/>
  <c r="L814" i="14" s="1"/>
  <c r="N107" i="21"/>
  <c r="J820" i="14" s="1"/>
  <c r="G109" i="21"/>
  <c r="E508" i="15" s="1"/>
  <c r="X110" i="21"/>
  <c r="J834" i="14" s="1"/>
  <c r="L47" i="21"/>
  <c r="K342" i="15" s="1"/>
  <c r="V69" i="21"/>
  <c r="G41" i="21"/>
  <c r="K324" i="15" s="1"/>
  <c r="G49" i="21"/>
  <c r="K346" i="15" s="1"/>
  <c r="S61" i="21"/>
  <c r="V32" i="21"/>
  <c r="I41" i="21"/>
  <c r="S47" i="21"/>
  <c r="I63" i="21"/>
  <c r="N105" i="21"/>
  <c r="J812" i="14" s="1"/>
  <c r="F25" i="21"/>
  <c r="F9" i="21"/>
  <c r="G33" i="21"/>
  <c r="K301" i="15" s="1"/>
  <c r="V34" i="21"/>
  <c r="Y34" i="21" s="1"/>
  <c r="L36" i="21"/>
  <c r="G38" i="21"/>
  <c r="X39" i="21"/>
  <c r="S41" i="21"/>
  <c r="L43" i="21"/>
  <c r="D331" i="15" s="1"/>
  <c r="P331" i="15" s="1"/>
  <c r="X44" i="21"/>
  <c r="W44" i="21" s="1"/>
  <c r="N46" i="21"/>
  <c r="F48" i="21"/>
  <c r="S49" i="21"/>
  <c r="N51" i="21"/>
  <c r="G53" i="21"/>
  <c r="D360" i="15" s="1"/>
  <c r="P360" i="15" s="1"/>
  <c r="X54" i="21"/>
  <c r="S60" i="21"/>
  <c r="F62" i="21"/>
  <c r="S63" i="21"/>
  <c r="I65" i="21"/>
  <c r="F67" i="21"/>
  <c r="V68" i="21"/>
  <c r="Q70" i="21"/>
  <c r="D403" i="15" s="1"/>
  <c r="P403" i="15" s="1"/>
  <c r="G72" i="21"/>
  <c r="K406" i="15" s="1"/>
  <c r="V73" i="21"/>
  <c r="L75" i="21"/>
  <c r="E416" i="15" s="1"/>
  <c r="X76" i="21"/>
  <c r="N78" i="21"/>
  <c r="G80" i="21"/>
  <c r="K430" i="15" s="1"/>
  <c r="X81" i="21"/>
  <c r="S83" i="21"/>
  <c r="L89" i="21"/>
  <c r="X90" i="21"/>
  <c r="N92" i="21"/>
  <c r="J752" i="14" s="1"/>
  <c r="I94" i="21"/>
  <c r="J759" i="14" s="1"/>
  <c r="F96" i="21"/>
  <c r="V97" i="21"/>
  <c r="N99" i="21"/>
  <c r="J788" i="14" s="1"/>
  <c r="S102" i="21"/>
  <c r="J801" i="14" s="1"/>
  <c r="I104" i="21"/>
  <c r="J807" i="14" s="1"/>
  <c r="X105" i="21"/>
  <c r="Q107" i="21"/>
  <c r="L821" i="14" s="1"/>
  <c r="I109" i="21"/>
  <c r="J827" i="14" s="1"/>
  <c r="F111" i="21"/>
  <c r="X55" i="21"/>
  <c r="W55" i="21" s="1"/>
  <c r="N79" i="21"/>
  <c r="L44" i="21"/>
  <c r="E333" i="15" s="1"/>
  <c r="V64" i="21"/>
  <c r="F13" i="21"/>
  <c r="S37" i="21"/>
  <c r="F51" i="21"/>
  <c r="G70" i="21"/>
  <c r="F99" i="21"/>
  <c r="F24" i="21"/>
  <c r="F8" i="21"/>
  <c r="W93" i="21"/>
  <c r="I758" i="14" s="1"/>
  <c r="I33" i="21"/>
  <c r="X34" i="21"/>
  <c r="W34" i="21" s="1"/>
  <c r="N36" i="21"/>
  <c r="I38" i="21"/>
  <c r="F40" i="21"/>
  <c r="V41" i="21"/>
  <c r="Y41" i="21" s="1"/>
  <c r="N43" i="21"/>
  <c r="M43" i="21" s="1"/>
  <c r="Q46" i="21"/>
  <c r="K340" i="15" s="1"/>
  <c r="G48" i="21"/>
  <c r="K344" i="15" s="1"/>
  <c r="V49" i="21"/>
  <c r="Q51" i="21"/>
  <c r="K355" i="15" s="1"/>
  <c r="I53" i="21"/>
  <c r="F55" i="21"/>
  <c r="G62" i="21"/>
  <c r="V63" i="21"/>
  <c r="L65" i="21"/>
  <c r="D386" i="15" s="1"/>
  <c r="P386" i="15" s="1"/>
  <c r="G67" i="21"/>
  <c r="X68" i="21"/>
  <c r="S70" i="21"/>
  <c r="I72" i="21"/>
  <c r="X73" i="21"/>
  <c r="N75" i="21"/>
  <c r="Q78" i="21"/>
  <c r="I80" i="21"/>
  <c r="F82" i="21"/>
  <c r="V83" i="21"/>
  <c r="N89" i="21"/>
  <c r="J732" i="14" s="1"/>
  <c r="Q92" i="21"/>
  <c r="L94" i="21"/>
  <c r="G96" i="21"/>
  <c r="X97" i="21"/>
  <c r="Q99" i="21"/>
  <c r="F101" i="21"/>
  <c r="V102" i="21"/>
  <c r="L104" i="21"/>
  <c r="L808" i="14" s="1"/>
  <c r="S107" i="21"/>
  <c r="J821" i="14" s="1"/>
  <c r="L109" i="21"/>
  <c r="L828" i="14" s="1"/>
  <c r="G111" i="21"/>
  <c r="L835" i="14" s="1"/>
  <c r="S50" i="21"/>
  <c r="V77" i="21"/>
  <c r="X50" i="21"/>
  <c r="N39" i="21"/>
  <c r="I49" i="21"/>
  <c r="Q66" i="21"/>
  <c r="F78" i="21"/>
  <c r="Q100" i="21"/>
  <c r="F23" i="21"/>
  <c r="F7" i="21"/>
  <c r="L33" i="21"/>
  <c r="D302" i="15" s="1"/>
  <c r="P302" i="15" s="1"/>
  <c r="Q36" i="21"/>
  <c r="D310" i="15" s="1"/>
  <c r="P310" i="15" s="1"/>
  <c r="L38" i="21"/>
  <c r="D315" i="15" s="1"/>
  <c r="P315" i="15" s="1"/>
  <c r="G40" i="21"/>
  <c r="K322" i="15" s="1"/>
  <c r="X41" i="21"/>
  <c r="W41" i="21" s="1"/>
  <c r="Q43" i="21"/>
  <c r="T43" i="21" s="1"/>
  <c r="F45" i="21"/>
  <c r="S46" i="21"/>
  <c r="I48" i="21"/>
  <c r="X49" i="21"/>
  <c r="W49" i="21" s="1"/>
  <c r="S51" i="21"/>
  <c r="L53" i="21"/>
  <c r="G55" i="21"/>
  <c r="V60" i="21"/>
  <c r="I62" i="21"/>
  <c r="X63" i="21"/>
  <c r="N65" i="21"/>
  <c r="I67" i="21"/>
  <c r="F69" i="21"/>
  <c r="V70" i="21"/>
  <c r="L72" i="21"/>
  <c r="Q75" i="21"/>
  <c r="F77" i="21"/>
  <c r="S78" i="21"/>
  <c r="L80" i="21"/>
  <c r="E431" i="15" s="1"/>
  <c r="G82" i="21"/>
  <c r="D438" i="15" s="1"/>
  <c r="P438" i="15" s="1"/>
  <c r="X83" i="21"/>
  <c r="Q89" i="21"/>
  <c r="L733" i="14" s="1"/>
  <c r="F91" i="21"/>
  <c r="S92" i="21"/>
  <c r="N94" i="21"/>
  <c r="J760" i="14" s="1"/>
  <c r="I96" i="21"/>
  <c r="J767" i="14" s="1"/>
  <c r="F98" i="21"/>
  <c r="S99" i="21"/>
  <c r="G101" i="21"/>
  <c r="L795" i="14" s="1"/>
  <c r="X102" i="21"/>
  <c r="N104" i="21"/>
  <c r="J808" i="14" s="1"/>
  <c r="F106" i="21"/>
  <c r="W106" i="21" s="1"/>
  <c r="I818" i="14" s="1"/>
  <c r="V107" i="21"/>
  <c r="N109" i="21"/>
  <c r="J828" i="14" s="1"/>
  <c r="I111" i="21"/>
  <c r="N80" i="21"/>
  <c r="I82" i="21"/>
  <c r="F88" i="21"/>
  <c r="S89" i="21"/>
  <c r="G91" i="21"/>
  <c r="V92" i="21"/>
  <c r="L754" i="14" s="1"/>
  <c r="Q94" i="21"/>
  <c r="L761" i="14" s="1"/>
  <c r="L96" i="21"/>
  <c r="L768" i="14" s="1"/>
  <c r="G98" i="21"/>
  <c r="L775" i="14" s="1"/>
  <c r="I101" i="21"/>
  <c r="J795" i="14" s="1"/>
  <c r="Q104" i="21"/>
  <c r="G106" i="21"/>
  <c r="L815" i="14" s="1"/>
  <c r="X107" i="21"/>
  <c r="Q109" i="21"/>
  <c r="L829" i="14" s="1"/>
  <c r="L111" i="21"/>
  <c r="L836" i="14" s="1"/>
  <c r="L48" i="21"/>
  <c r="D345" i="15" s="1"/>
  <c r="P345" i="15" s="1"/>
  <c r="N72" i="21"/>
  <c r="G42" i="21"/>
  <c r="D327" i="15" s="1"/>
  <c r="P327" i="15" s="1"/>
  <c r="G50" i="21"/>
  <c r="D349" i="15" s="1"/>
  <c r="P349" i="15" s="1"/>
  <c r="F64" i="21"/>
  <c r="F71" i="21"/>
  <c r="I77" i="21"/>
  <c r="Q80" i="21"/>
  <c r="K432" i="15" s="1"/>
  <c r="I91" i="21"/>
  <c r="J747" i="14" s="1"/>
  <c r="X92" i="21"/>
  <c r="S94" i="21"/>
  <c r="J761" i="14" s="1"/>
  <c r="N96" i="21"/>
  <c r="J768" i="14" s="1"/>
  <c r="V99" i="21"/>
  <c r="L790" i="14" s="1"/>
  <c r="F103" i="21"/>
  <c r="I106" i="21"/>
  <c r="J815" i="14" s="1"/>
  <c r="S109" i="21"/>
  <c r="J829" i="14" s="1"/>
  <c r="N111" i="21"/>
  <c r="J836" i="14" s="1"/>
  <c r="F22" i="21"/>
  <c r="F42" i="21"/>
  <c r="F50" i="21"/>
  <c r="I55" i="21"/>
  <c r="H55" i="21" s="1"/>
  <c r="L67" i="21"/>
  <c r="E393" i="15" s="1"/>
  <c r="X70" i="21"/>
  <c r="G77" i="21"/>
  <c r="E420" i="15" s="1"/>
  <c r="V36" i="21"/>
  <c r="Y36" i="21" s="1"/>
  <c r="N48" i="21"/>
  <c r="L55" i="21"/>
  <c r="D369" i="15" s="1"/>
  <c r="P369" i="15" s="1"/>
  <c r="N67" i="21"/>
  <c r="Q72" i="21"/>
  <c r="X78" i="21"/>
  <c r="G88" i="21"/>
  <c r="L727" i="14" s="1"/>
  <c r="L101" i="21"/>
  <c r="L796" i="14" s="1"/>
  <c r="F20" i="21"/>
  <c r="F32" i="21"/>
  <c r="S33" i="21"/>
  <c r="R33" i="21" s="1"/>
  <c r="I35" i="21"/>
  <c r="X36" i="21"/>
  <c r="W36" i="21" s="1"/>
  <c r="S38" i="21"/>
  <c r="N40" i="21"/>
  <c r="I42" i="21"/>
  <c r="V43" i="21"/>
  <c r="Y43" i="21" s="1"/>
  <c r="L45" i="21"/>
  <c r="D336" i="15" s="1"/>
  <c r="P336" i="15" s="1"/>
  <c r="Q48" i="21"/>
  <c r="I50" i="21"/>
  <c r="S53" i="21"/>
  <c r="N55" i="21"/>
  <c r="F61" i="21"/>
  <c r="Q62" i="21"/>
  <c r="G64" i="21"/>
  <c r="K382" i="15" s="1"/>
  <c r="V65" i="21"/>
  <c r="Q67" i="21"/>
  <c r="L69" i="21"/>
  <c r="G71" i="21"/>
  <c r="D404" i="15" s="1"/>
  <c r="P404" i="15" s="1"/>
  <c r="S72" i="21"/>
  <c r="I74" i="21"/>
  <c r="X75" i="21"/>
  <c r="L77" i="21"/>
  <c r="E421" i="15" s="1"/>
  <c r="F79" i="21"/>
  <c r="S80" i="21"/>
  <c r="N82" i="21"/>
  <c r="I88" i="21"/>
  <c r="J727" i="14" s="1"/>
  <c r="V89" i="21"/>
  <c r="L91" i="21"/>
  <c r="L748" i="14" s="1"/>
  <c r="F93" i="21"/>
  <c r="V94" i="21"/>
  <c r="L762" i="14" s="1"/>
  <c r="Q96" i="21"/>
  <c r="L98" i="21"/>
  <c r="X99" i="21"/>
  <c r="N101" i="21"/>
  <c r="J796" i="14" s="1"/>
  <c r="G103" i="21"/>
  <c r="L106" i="21"/>
  <c r="E498" i="15" s="1"/>
  <c r="F108" i="21"/>
  <c r="M108" i="21" s="1"/>
  <c r="I824" i="14" s="1"/>
  <c r="V109" i="21"/>
  <c r="L830" i="14" s="1"/>
  <c r="Q111" i="21"/>
  <c r="L837" i="14" s="1"/>
  <c r="S43" i="21"/>
  <c r="R43" i="21" s="1"/>
  <c r="S75" i="21"/>
  <c r="F19" i="21"/>
  <c r="G32" i="21"/>
  <c r="D299" i="15" s="1"/>
  <c r="P299" i="15" s="1"/>
  <c r="L35" i="21"/>
  <c r="D307" i="15" s="1"/>
  <c r="P307" i="15" s="1"/>
  <c r="F37" i="21"/>
  <c r="V38" i="21"/>
  <c r="K317" i="15" s="1"/>
  <c r="Q40" i="21"/>
  <c r="T40" i="21" s="1"/>
  <c r="L42" i="21"/>
  <c r="K328" i="15" s="1"/>
  <c r="X43" i="21"/>
  <c r="W43" i="21" s="1"/>
  <c r="N45" i="21"/>
  <c r="F47" i="21"/>
  <c r="S48" i="21"/>
  <c r="R48" i="21" s="1"/>
  <c r="L50" i="21"/>
  <c r="E350" i="15" s="1"/>
  <c r="F52" i="21"/>
  <c r="W52" i="21" s="1"/>
  <c r="V53" i="21"/>
  <c r="K363" i="15" s="1"/>
  <c r="Q55" i="21"/>
  <c r="K370" i="15" s="1"/>
  <c r="G61" i="21"/>
  <c r="K375" i="15" s="1"/>
  <c r="S62" i="21"/>
  <c r="I64" i="21"/>
  <c r="X65" i="21"/>
  <c r="S67" i="21"/>
  <c r="N69" i="21"/>
  <c r="I71" i="21"/>
  <c r="V72" i="21"/>
  <c r="L74" i="21"/>
  <c r="E413" i="15" s="1"/>
  <c r="N77" i="21"/>
  <c r="G79" i="21"/>
  <c r="V80" i="21"/>
  <c r="K433" i="15" s="1"/>
  <c r="Q82" i="21"/>
  <c r="E440" i="15" s="1"/>
  <c r="L88" i="21"/>
  <c r="L728" i="14" s="1"/>
  <c r="X89" i="21"/>
  <c r="N91" i="21"/>
  <c r="J748" i="14" s="1"/>
  <c r="G93" i="21"/>
  <c r="L755" i="14" s="1"/>
  <c r="X94" i="21"/>
  <c r="S96" i="21"/>
  <c r="N98" i="21"/>
  <c r="J776" i="14" s="1"/>
  <c r="Q101" i="21"/>
  <c r="L797" i="14" s="1"/>
  <c r="I103" i="21"/>
  <c r="J803" i="14" s="1"/>
  <c r="V104" i="21"/>
  <c r="N106" i="21"/>
  <c r="J816" i="14" s="1"/>
  <c r="G108" i="21"/>
  <c r="X109" i="21"/>
  <c r="J830" i="14" s="1"/>
  <c r="S111" i="21"/>
  <c r="J837" i="14" s="1"/>
  <c r="I40" i="21"/>
  <c r="V46" i="21"/>
  <c r="V51" i="21"/>
  <c r="Y51" i="21" s="1"/>
  <c r="Q65" i="21"/>
  <c r="E387" i="15" s="1"/>
  <c r="G69" i="21"/>
  <c r="D398" i="15" s="1"/>
  <c r="P398" i="15" s="1"/>
  <c r="V78" i="21"/>
  <c r="K426" i="15" s="1"/>
  <c r="G35" i="21"/>
  <c r="D306" i="15" s="1"/>
  <c r="P306" i="15" s="1"/>
  <c r="L40" i="21"/>
  <c r="K323" i="15" s="1"/>
  <c r="I45" i="21"/>
  <c r="H45" i="21" s="1"/>
  <c r="X51" i="21"/>
  <c r="W51" i="21" s="1"/>
  <c r="N62" i="21"/>
  <c r="I69" i="21"/>
  <c r="V75" i="21"/>
  <c r="L82" i="21"/>
  <c r="S104" i="21"/>
  <c r="F18" i="21"/>
  <c r="I32" i="21"/>
  <c r="V33" i="21"/>
  <c r="Z33" i="21" s="1"/>
  <c r="N35" i="21"/>
  <c r="G37" i="21"/>
  <c r="D311" i="15" s="1"/>
  <c r="P311" i="15" s="1"/>
  <c r="X38" i="21"/>
  <c r="S40" i="21"/>
  <c r="R40" i="21" s="1"/>
  <c r="N42" i="21"/>
  <c r="Q45" i="21"/>
  <c r="E337" i="15" s="1"/>
  <c r="G47" i="21"/>
  <c r="E341" i="15" s="1"/>
  <c r="V48" i="21"/>
  <c r="N50" i="21"/>
  <c r="G52" i="21"/>
  <c r="D356" i="15" s="1"/>
  <c r="P356" i="15" s="1"/>
  <c r="X53" i="21"/>
  <c r="S55" i="21"/>
  <c r="I61" i="21"/>
  <c r="V62" i="21"/>
  <c r="L64" i="21"/>
  <c r="D383" i="15" s="1"/>
  <c r="P383" i="15" s="1"/>
  <c r="F66" i="21"/>
  <c r="V67" i="21"/>
  <c r="E395" i="15" s="1"/>
  <c r="Q69" i="21"/>
  <c r="K400" i="15" s="1"/>
  <c r="L71" i="21"/>
  <c r="K405" i="15" s="1"/>
  <c r="X72" i="21"/>
  <c r="N74" i="21"/>
  <c r="F76" i="21"/>
  <c r="Q77" i="21"/>
  <c r="E422" i="15" s="1"/>
  <c r="I79" i="21"/>
  <c r="X80" i="21"/>
  <c r="S82" i="21"/>
  <c r="N88" i="21"/>
  <c r="J728" i="14" s="1"/>
  <c r="Q91" i="21"/>
  <c r="L749" i="14" s="1"/>
  <c r="I93" i="21"/>
  <c r="J755" i="14" s="1"/>
  <c r="F95" i="21"/>
  <c r="M95" i="21" s="1"/>
  <c r="I764" i="14" s="1"/>
  <c r="V96" i="21"/>
  <c r="Q98" i="21"/>
  <c r="L777" i="14" s="1"/>
  <c r="F100" i="21"/>
  <c r="H100" i="21" s="1"/>
  <c r="I791" i="14" s="1"/>
  <c r="S101" i="21"/>
  <c r="J797" i="14" s="1"/>
  <c r="L103" i="21"/>
  <c r="L804" i="14" s="1"/>
  <c r="X104" i="21"/>
  <c r="Q106" i="21"/>
  <c r="L817" i="14" s="1"/>
  <c r="I108" i="21"/>
  <c r="J823" i="14" s="1"/>
  <c r="F110" i="21"/>
  <c r="V111" i="21"/>
  <c r="L838" i="14" s="1"/>
  <c r="G45" i="21"/>
  <c r="K335" i="15" s="1"/>
  <c r="Q33" i="21"/>
  <c r="Q38" i="21"/>
  <c r="E316" i="15" s="1"/>
  <c r="X46" i="21"/>
  <c r="W46" i="21" s="1"/>
  <c r="Q53" i="21"/>
  <c r="S65" i="21"/>
  <c r="G74" i="21"/>
  <c r="E412" i="15" s="1"/>
  <c r="I98" i="21"/>
  <c r="J775" i="14" s="1"/>
  <c r="L32" i="21"/>
  <c r="E300" i="15" s="1"/>
  <c r="X33" i="21"/>
  <c r="W33" i="21" s="1"/>
  <c r="Q35" i="21"/>
  <c r="I37" i="21"/>
  <c r="F39" i="21"/>
  <c r="V40" i="21"/>
  <c r="Y40" i="21" s="1"/>
  <c r="Q42" i="21"/>
  <c r="E329" i="15" s="1"/>
  <c r="F44" i="21"/>
  <c r="H44" i="21" s="1"/>
  <c r="S45" i="21"/>
  <c r="I47" i="21"/>
  <c r="X48" i="21"/>
  <c r="W48" i="21" s="1"/>
  <c r="Q50" i="21"/>
  <c r="I52" i="21"/>
  <c r="F54" i="21"/>
  <c r="H54" i="21" s="1"/>
  <c r="L61" i="21"/>
  <c r="K376" i="15" s="1"/>
  <c r="X62" i="21"/>
  <c r="N64" i="21"/>
  <c r="G66" i="21"/>
  <c r="X67" i="21"/>
  <c r="S69" i="21"/>
  <c r="N71" i="21"/>
  <c r="Q74" i="21"/>
  <c r="K414" i="15" s="1"/>
  <c r="G76" i="21"/>
  <c r="E418" i="15" s="1"/>
  <c r="S77" i="21"/>
  <c r="L79" i="21"/>
  <c r="F81" i="21"/>
  <c r="Q88" i="21"/>
  <c r="F90" i="21"/>
  <c r="S91" i="21"/>
  <c r="L93" i="21"/>
  <c r="G95" i="21"/>
  <c r="K466" i="15" s="1"/>
  <c r="X96" i="21"/>
  <c r="S98" i="21"/>
  <c r="G100" i="21"/>
  <c r="L791" i="14" s="1"/>
  <c r="V101" i="21"/>
  <c r="N103" i="21"/>
  <c r="J804" i="14" s="1"/>
  <c r="F105" i="21"/>
  <c r="S106" i="21"/>
  <c r="L108" i="21"/>
  <c r="L824" i="14" s="1"/>
  <c r="G110" i="21"/>
  <c r="L831" i="14" s="1"/>
  <c r="Z98" i="21"/>
  <c r="H60" i="21"/>
  <c r="U99" i="21"/>
  <c r="Z69" i="21"/>
  <c r="W63" i="21"/>
  <c r="W45" i="21"/>
  <c r="G4" i="21"/>
  <c r="X19" i="21"/>
  <c r="X9" i="21"/>
  <c r="I10" i="21"/>
  <c r="X5" i="21"/>
  <c r="I20" i="21"/>
  <c r="I6" i="21"/>
  <c r="X7" i="21"/>
  <c r="G8" i="21"/>
  <c r="E234" i="15" s="1"/>
  <c r="G6" i="21"/>
  <c r="I8" i="21"/>
  <c r="V27" i="21"/>
  <c r="D297" i="15" s="1"/>
  <c r="P297" i="15" s="1"/>
  <c r="G10" i="21"/>
  <c r="X11" i="21"/>
  <c r="G12" i="21"/>
  <c r="I12" i="21"/>
  <c r="X13" i="21"/>
  <c r="G5" i="21"/>
  <c r="K227" i="15" s="1"/>
  <c r="X21" i="21"/>
  <c r="G14" i="21"/>
  <c r="E253" i="15" s="1"/>
  <c r="I22" i="21"/>
  <c r="I4" i="21"/>
  <c r="L6" i="21"/>
  <c r="D230" i="15" s="1"/>
  <c r="P230" i="15" s="1"/>
  <c r="L8" i="21"/>
  <c r="E235" i="15" s="1"/>
  <c r="L10" i="21"/>
  <c r="K241" i="15" s="1"/>
  <c r="L12" i="21"/>
  <c r="L14" i="21"/>
  <c r="L16" i="21"/>
  <c r="K259" i="15" s="1"/>
  <c r="L18" i="21"/>
  <c r="L20" i="21"/>
  <c r="L22" i="21"/>
  <c r="L24" i="21"/>
  <c r="L26" i="21"/>
  <c r="L493" i="14" s="1"/>
  <c r="L4" i="21"/>
  <c r="K226" i="15" s="1"/>
  <c r="N6" i="21"/>
  <c r="N8" i="21"/>
  <c r="N10" i="21"/>
  <c r="N12" i="21"/>
  <c r="N14" i="21"/>
  <c r="N16" i="21"/>
  <c r="N18" i="21"/>
  <c r="N20" i="21"/>
  <c r="N22" i="21"/>
  <c r="N24" i="21"/>
  <c r="J201" i="14" s="1"/>
  <c r="N26" i="21"/>
  <c r="J493" i="14" s="1"/>
  <c r="X27" i="21"/>
  <c r="G20" i="21"/>
  <c r="I14" i="21"/>
  <c r="N4" i="21"/>
  <c r="Q6" i="21"/>
  <c r="D231" i="15" s="1"/>
  <c r="P231" i="15" s="1"/>
  <c r="Q8" i="21"/>
  <c r="K236" i="15" s="1"/>
  <c r="Q10" i="21"/>
  <c r="K242" i="15" s="1"/>
  <c r="Q12" i="21"/>
  <c r="Q14" i="21"/>
  <c r="E255" i="15" s="1"/>
  <c r="Q16" i="21"/>
  <c r="K260" i="15" s="1"/>
  <c r="Q18" i="21"/>
  <c r="K266" i="15" s="1"/>
  <c r="Q20" i="21"/>
  <c r="Q22" i="21"/>
  <c r="K277" i="15" s="1"/>
  <c r="Q24" i="21"/>
  <c r="E284" i="15" s="1"/>
  <c r="Q26" i="21"/>
  <c r="L494" i="14" s="1"/>
  <c r="X25" i="21"/>
  <c r="J491" i="14" s="1"/>
  <c r="G26" i="21"/>
  <c r="S16" i="21"/>
  <c r="X17" i="21"/>
  <c r="I16" i="21"/>
  <c r="S18" i="21"/>
  <c r="S4" i="21"/>
  <c r="V6" i="21"/>
  <c r="V8" i="21"/>
  <c r="V10" i="21"/>
  <c r="K243" i="15" s="1"/>
  <c r="V12" i="21"/>
  <c r="V14" i="21"/>
  <c r="V16" i="21"/>
  <c r="V18" i="21"/>
  <c r="V20" i="21"/>
  <c r="V22" i="21"/>
  <c r="V24" i="21"/>
  <c r="V26" i="21"/>
  <c r="S20" i="21"/>
  <c r="V4" i="21"/>
  <c r="X6" i="21"/>
  <c r="X8" i="21"/>
  <c r="X10" i="21"/>
  <c r="X12" i="21"/>
  <c r="X14" i="21"/>
  <c r="X16" i="21"/>
  <c r="X18" i="21"/>
  <c r="X20" i="21"/>
  <c r="X22" i="21"/>
  <c r="X24" i="21"/>
  <c r="J203" i="14" s="1"/>
  <c r="X26" i="21"/>
  <c r="J495" i="14" s="1"/>
  <c r="X23" i="21"/>
  <c r="I24" i="21"/>
  <c r="S8" i="21"/>
  <c r="S14" i="21"/>
  <c r="S24" i="21"/>
  <c r="X4" i="21"/>
  <c r="G7" i="21"/>
  <c r="K232" i="15" s="1"/>
  <c r="G9" i="21"/>
  <c r="E237" i="15" s="1"/>
  <c r="G11" i="21"/>
  <c r="E244" i="15" s="1"/>
  <c r="G13" i="21"/>
  <c r="D250" i="15" s="1"/>
  <c r="P250" i="15" s="1"/>
  <c r="G15" i="21"/>
  <c r="E256" i="15" s="1"/>
  <c r="G17" i="21"/>
  <c r="G19" i="21"/>
  <c r="K267" i="15" s="1"/>
  <c r="G21" i="21"/>
  <c r="K272" i="15" s="1"/>
  <c r="G23" i="21"/>
  <c r="G25" i="21"/>
  <c r="L488" i="14" s="1"/>
  <c r="G27" i="21"/>
  <c r="L496" i="14" s="1"/>
  <c r="G24" i="21"/>
  <c r="I26" i="21"/>
  <c r="J492" i="14" s="1"/>
  <c r="S6" i="21"/>
  <c r="S12" i="21"/>
  <c r="S26" i="21"/>
  <c r="I5" i="21"/>
  <c r="I7" i="21"/>
  <c r="I9" i="21"/>
  <c r="I11" i="21"/>
  <c r="I13" i="21"/>
  <c r="I15" i="21"/>
  <c r="I17" i="21"/>
  <c r="I19" i="21"/>
  <c r="I21" i="21"/>
  <c r="I23" i="21"/>
  <c r="I25" i="21"/>
  <c r="J488" i="14" s="1"/>
  <c r="I27" i="21"/>
  <c r="I18" i="21"/>
  <c r="Q4" i="21"/>
  <c r="S10" i="21"/>
  <c r="S22" i="21"/>
  <c r="L5" i="21"/>
  <c r="D228" i="15" s="1"/>
  <c r="P228" i="15" s="1"/>
  <c r="L7" i="21"/>
  <c r="L9" i="21"/>
  <c r="L11" i="21"/>
  <c r="L13" i="21"/>
  <c r="D251" i="15" s="1"/>
  <c r="P251" i="15" s="1"/>
  <c r="L15" i="21"/>
  <c r="K257" i="15" s="1"/>
  <c r="L17" i="21"/>
  <c r="K262" i="15" s="1"/>
  <c r="L19" i="21"/>
  <c r="E268" i="15" s="1"/>
  <c r="L21" i="21"/>
  <c r="K273" i="15" s="1"/>
  <c r="L23" i="21"/>
  <c r="L25" i="21"/>
  <c r="K287" i="15" s="1"/>
  <c r="L27" i="21"/>
  <c r="L497" i="14" s="1"/>
  <c r="G22" i="21"/>
  <c r="N25" i="21"/>
  <c r="J489" i="14" s="1"/>
  <c r="X15" i="21"/>
  <c r="G18" i="21"/>
  <c r="K264" i="15" s="1"/>
  <c r="N9" i="21"/>
  <c r="N15" i="21"/>
  <c r="N19" i="21"/>
  <c r="N27" i="21"/>
  <c r="J497" i="14" s="1"/>
  <c r="Q5" i="21"/>
  <c r="Q7" i="21"/>
  <c r="Q9" i="21"/>
  <c r="Q11" i="21"/>
  <c r="D246" i="15" s="1"/>
  <c r="P246" i="15" s="1"/>
  <c r="Q13" i="21"/>
  <c r="Q15" i="21"/>
  <c r="Q17" i="21"/>
  <c r="K263" i="15" s="1"/>
  <c r="Q19" i="21"/>
  <c r="Q21" i="21"/>
  <c r="Q23" i="21"/>
  <c r="Q25" i="21"/>
  <c r="Q27" i="21"/>
  <c r="L498" i="14" s="1"/>
  <c r="G16" i="21"/>
  <c r="E258" i="15" s="1"/>
  <c r="N5" i="21"/>
  <c r="N13" i="21"/>
  <c r="N21" i="21"/>
  <c r="S5" i="21"/>
  <c r="S7" i="21"/>
  <c r="S9" i="21"/>
  <c r="S11" i="21"/>
  <c r="S13" i="21"/>
  <c r="S15" i="21"/>
  <c r="S17" i="21"/>
  <c r="S19" i="21"/>
  <c r="S21" i="21"/>
  <c r="S23" i="21"/>
  <c r="S25" i="21"/>
  <c r="J490" i="14" s="1"/>
  <c r="S27" i="21"/>
  <c r="J498" i="14" s="1"/>
  <c r="N7" i="21"/>
  <c r="N11" i="21"/>
  <c r="N17" i="21"/>
  <c r="N23" i="21"/>
  <c r="V5" i="21"/>
  <c r="V7" i="21"/>
  <c r="V9" i="21"/>
  <c r="V11" i="21"/>
  <c r="D247" i="15" s="1"/>
  <c r="P247" i="15" s="1"/>
  <c r="V13" i="21"/>
  <c r="V15" i="21"/>
  <c r="V17" i="21"/>
  <c r="V19" i="21"/>
  <c r="V21" i="21"/>
  <c r="V23" i="21"/>
  <c r="V25" i="21"/>
  <c r="L14" i="5"/>
  <c r="M14" i="5" s="1"/>
  <c r="N14" i="5" s="1"/>
  <c r="L15" i="5"/>
  <c r="M15" i="5" s="1"/>
  <c r="N15" i="5" s="1"/>
  <c r="B208" i="2"/>
  <c r="B209" i="2" s="1"/>
  <c r="B248" i="2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182" i="15"/>
  <c r="K223" i="15"/>
  <c r="E222" i="15"/>
  <c r="E221" i="15"/>
  <c r="E220" i="15"/>
  <c r="E219" i="15"/>
  <c r="E218" i="15"/>
  <c r="E217" i="15"/>
  <c r="K216" i="15"/>
  <c r="K215" i="15"/>
  <c r="E214" i="15"/>
  <c r="E213" i="15"/>
  <c r="K212" i="15"/>
  <c r="K211" i="15"/>
  <c r="K210" i="15"/>
  <c r="K209" i="15"/>
  <c r="K208" i="15"/>
  <c r="K207" i="15"/>
  <c r="E206" i="15"/>
  <c r="E205" i="15"/>
  <c r="E204" i="15"/>
  <c r="E203" i="15"/>
  <c r="E202" i="15"/>
  <c r="E201" i="15"/>
  <c r="K200" i="15"/>
  <c r="K199" i="15"/>
  <c r="K198" i="15"/>
  <c r="E197" i="15"/>
  <c r="K196" i="15"/>
  <c r="K195" i="15"/>
  <c r="K194" i="15"/>
  <c r="K193" i="15"/>
  <c r="K192" i="15"/>
  <c r="K191" i="15"/>
  <c r="E190" i="15"/>
  <c r="E189" i="15"/>
  <c r="E188" i="15"/>
  <c r="E187" i="15"/>
  <c r="E186" i="15"/>
  <c r="E185" i="15"/>
  <c r="K184" i="15"/>
  <c r="K183" i="15"/>
  <c r="K182" i="15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G385" i="14"/>
  <c r="F385" i="14"/>
  <c r="P384" i="14"/>
  <c r="P385" i="14" s="1"/>
  <c r="G384" i="14"/>
  <c r="F384" i="14"/>
  <c r="P383" i="14"/>
  <c r="G383" i="14"/>
  <c r="F383" i="14"/>
  <c r="P382" i="14"/>
  <c r="G382" i="14"/>
  <c r="F382" i="14"/>
  <c r="G381" i="14"/>
  <c r="F381" i="14"/>
  <c r="G380" i="14"/>
  <c r="F380" i="14"/>
  <c r="G379" i="14"/>
  <c r="F379" i="14"/>
  <c r="P378" i="14"/>
  <c r="G378" i="14"/>
  <c r="F378" i="14"/>
  <c r="G377" i="14"/>
  <c r="F377" i="14"/>
  <c r="G376" i="14"/>
  <c r="F376" i="14"/>
  <c r="G375" i="14"/>
  <c r="F375" i="14"/>
  <c r="P374" i="14"/>
  <c r="G374" i="14"/>
  <c r="F374" i="14"/>
  <c r="G373" i="14"/>
  <c r="F373" i="14"/>
  <c r="G372" i="14"/>
  <c r="F372" i="14"/>
  <c r="G371" i="14"/>
  <c r="F371" i="14"/>
  <c r="P370" i="14"/>
  <c r="G370" i="14"/>
  <c r="F370" i="14"/>
  <c r="G369" i="14"/>
  <c r="F369" i="14"/>
  <c r="P368" i="14"/>
  <c r="P369" i="14" s="1"/>
  <c r="G368" i="14"/>
  <c r="F368" i="14"/>
  <c r="P367" i="14"/>
  <c r="G367" i="14"/>
  <c r="F367" i="14"/>
  <c r="P366" i="14"/>
  <c r="G366" i="14"/>
  <c r="F366" i="14"/>
  <c r="G365" i="14"/>
  <c r="F365" i="14"/>
  <c r="G364" i="14"/>
  <c r="F364" i="14"/>
  <c r="G363" i="14"/>
  <c r="F363" i="14"/>
  <c r="P362" i="14"/>
  <c r="G362" i="14"/>
  <c r="F362" i="14"/>
  <c r="G361" i="14"/>
  <c r="F361" i="14"/>
  <c r="G360" i="14"/>
  <c r="F360" i="14"/>
  <c r="G359" i="14"/>
  <c r="F359" i="14"/>
  <c r="P358" i="14"/>
  <c r="G358" i="14"/>
  <c r="F358" i="14"/>
  <c r="G357" i="14"/>
  <c r="F357" i="14"/>
  <c r="G356" i="14"/>
  <c r="F356" i="14"/>
  <c r="G355" i="14"/>
  <c r="F355" i="14"/>
  <c r="P354" i="14"/>
  <c r="G354" i="14"/>
  <c r="F354" i="14"/>
  <c r="G353" i="14"/>
  <c r="F353" i="14"/>
  <c r="P352" i="14"/>
  <c r="P353" i="14" s="1"/>
  <c r="G352" i="14"/>
  <c r="F352" i="14"/>
  <c r="P351" i="14"/>
  <c r="G351" i="14"/>
  <c r="F351" i="14"/>
  <c r="P350" i="14"/>
  <c r="G350" i="14"/>
  <c r="F350" i="14"/>
  <c r="G349" i="14"/>
  <c r="F349" i="14"/>
  <c r="G348" i="14"/>
  <c r="F348" i="14"/>
  <c r="G347" i="14"/>
  <c r="F347" i="14"/>
  <c r="P346" i="14"/>
  <c r="G346" i="14"/>
  <c r="F346" i="14"/>
  <c r="G345" i="14"/>
  <c r="F345" i="14"/>
  <c r="G344" i="14"/>
  <c r="F344" i="14"/>
  <c r="G343" i="14"/>
  <c r="F343" i="14"/>
  <c r="P342" i="14"/>
  <c r="G342" i="14"/>
  <c r="F342" i="14"/>
  <c r="G341" i="14"/>
  <c r="F341" i="14"/>
  <c r="G340" i="14"/>
  <c r="F340" i="14"/>
  <c r="G339" i="14"/>
  <c r="F339" i="14"/>
  <c r="P338" i="14"/>
  <c r="G338" i="14"/>
  <c r="F338" i="14"/>
  <c r="G337" i="14"/>
  <c r="F337" i="14"/>
  <c r="P336" i="14"/>
  <c r="P337" i="14" s="1"/>
  <c r="G336" i="14"/>
  <c r="F336" i="14"/>
  <c r="P335" i="14"/>
  <c r="G335" i="14"/>
  <c r="F335" i="14"/>
  <c r="P334" i="14"/>
  <c r="G334" i="14"/>
  <c r="F334" i="14"/>
  <c r="G333" i="14"/>
  <c r="F333" i="14"/>
  <c r="G332" i="14"/>
  <c r="F332" i="14"/>
  <c r="G331" i="14"/>
  <c r="F331" i="14"/>
  <c r="P330" i="14"/>
  <c r="G330" i="14"/>
  <c r="F330" i="14"/>
  <c r="G329" i="14"/>
  <c r="F329" i="14"/>
  <c r="G328" i="14"/>
  <c r="F328" i="14"/>
  <c r="G327" i="14"/>
  <c r="F327" i="14"/>
  <c r="P326" i="14"/>
  <c r="G326" i="14"/>
  <c r="F326" i="14"/>
  <c r="G325" i="14"/>
  <c r="F325" i="14"/>
  <c r="G324" i="14"/>
  <c r="F324" i="14"/>
  <c r="G323" i="14"/>
  <c r="F323" i="14"/>
  <c r="P322" i="14"/>
  <c r="G322" i="14"/>
  <c r="F322" i="14"/>
  <c r="G321" i="14"/>
  <c r="F321" i="14"/>
  <c r="P320" i="14"/>
  <c r="P321" i="14" s="1"/>
  <c r="G320" i="14"/>
  <c r="F320" i="14"/>
  <c r="P319" i="14"/>
  <c r="G319" i="14"/>
  <c r="F319" i="14"/>
  <c r="P318" i="14"/>
  <c r="G318" i="14"/>
  <c r="F318" i="14"/>
  <c r="G317" i="14"/>
  <c r="F317" i="14"/>
  <c r="G316" i="14"/>
  <c r="F316" i="14"/>
  <c r="G315" i="14"/>
  <c r="F315" i="14"/>
  <c r="P314" i="14"/>
  <c r="G314" i="14"/>
  <c r="F314" i="14"/>
  <c r="G313" i="14"/>
  <c r="F313" i="14"/>
  <c r="G312" i="14"/>
  <c r="F312" i="14"/>
  <c r="G311" i="14"/>
  <c r="F311" i="14"/>
  <c r="P310" i="14"/>
  <c r="G310" i="14"/>
  <c r="F310" i="14"/>
  <c r="G309" i="14"/>
  <c r="F309" i="14"/>
  <c r="G308" i="14"/>
  <c r="F308" i="14"/>
  <c r="G307" i="14"/>
  <c r="F307" i="14"/>
  <c r="P306" i="14"/>
  <c r="G306" i="14"/>
  <c r="F306" i="14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3" i="19"/>
  <c r="L15" i="19"/>
  <c r="L16" i="19"/>
  <c r="L17" i="19"/>
  <c r="L18" i="19"/>
  <c r="L19" i="19"/>
  <c r="L20" i="19"/>
  <c r="L21" i="19"/>
  <c r="L22" i="19"/>
  <c r="L4" i="19"/>
  <c r="L5" i="19"/>
  <c r="L6" i="19"/>
  <c r="L7" i="19"/>
  <c r="L8" i="19"/>
  <c r="L9" i="19"/>
  <c r="L10" i="19"/>
  <c r="L11" i="19"/>
  <c r="L12" i="19"/>
  <c r="L13" i="19"/>
  <c r="L14" i="19"/>
  <c r="L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3" i="19"/>
  <c r="T22" i="19"/>
  <c r="O22" i="19"/>
  <c r="J22" i="19"/>
  <c r="E22" i="19"/>
  <c r="T21" i="19"/>
  <c r="O21" i="19"/>
  <c r="J21" i="19"/>
  <c r="E21" i="19"/>
  <c r="T20" i="19"/>
  <c r="O20" i="19"/>
  <c r="J20" i="19"/>
  <c r="E20" i="19"/>
  <c r="T19" i="19"/>
  <c r="O19" i="19"/>
  <c r="P19" i="19" s="1"/>
  <c r="J19" i="19"/>
  <c r="E19" i="19"/>
  <c r="T18" i="19"/>
  <c r="O18" i="19"/>
  <c r="J18" i="19"/>
  <c r="E18" i="19"/>
  <c r="T17" i="19"/>
  <c r="O17" i="19"/>
  <c r="J17" i="19"/>
  <c r="E17" i="19"/>
  <c r="T16" i="19"/>
  <c r="O16" i="19"/>
  <c r="J16" i="19"/>
  <c r="E16" i="19"/>
  <c r="T15" i="19"/>
  <c r="O15" i="19"/>
  <c r="J15" i="19"/>
  <c r="E15" i="19"/>
  <c r="T14" i="19"/>
  <c r="O14" i="19"/>
  <c r="J14" i="19"/>
  <c r="E14" i="19"/>
  <c r="T13" i="19"/>
  <c r="O13" i="19"/>
  <c r="J13" i="19"/>
  <c r="E13" i="19"/>
  <c r="T12" i="19"/>
  <c r="W12" i="19" s="1"/>
  <c r="O12" i="19"/>
  <c r="R12" i="19" s="1"/>
  <c r="J12" i="19"/>
  <c r="E12" i="19"/>
  <c r="T11" i="19"/>
  <c r="O11" i="19"/>
  <c r="P11" i="19" s="1"/>
  <c r="J11" i="19"/>
  <c r="E11" i="19"/>
  <c r="T10" i="19"/>
  <c r="O10" i="19"/>
  <c r="J10" i="19"/>
  <c r="E10" i="19"/>
  <c r="T9" i="19"/>
  <c r="O9" i="19"/>
  <c r="J9" i="19"/>
  <c r="E9" i="19"/>
  <c r="T8" i="19"/>
  <c r="O8" i="19"/>
  <c r="J8" i="19"/>
  <c r="E8" i="19"/>
  <c r="T7" i="19"/>
  <c r="O7" i="19"/>
  <c r="R7" i="19" s="1"/>
  <c r="J7" i="19"/>
  <c r="E7" i="19"/>
  <c r="T6" i="19"/>
  <c r="O6" i="19"/>
  <c r="J6" i="19"/>
  <c r="E6" i="19"/>
  <c r="T5" i="19"/>
  <c r="O5" i="19"/>
  <c r="J5" i="19"/>
  <c r="E5" i="19"/>
  <c r="T4" i="19"/>
  <c r="O4" i="19"/>
  <c r="J4" i="19"/>
  <c r="E4" i="19"/>
  <c r="T3" i="19"/>
  <c r="O3" i="19"/>
  <c r="J3" i="19"/>
  <c r="M3" i="19" s="1"/>
  <c r="E3" i="19"/>
  <c r="E5" i="17"/>
  <c r="F5" i="17" s="1"/>
  <c r="J5" i="17"/>
  <c r="K5" i="17" s="1"/>
  <c r="O5" i="17"/>
  <c r="P5" i="17" s="1"/>
  <c r="T5" i="17"/>
  <c r="U5" i="17" s="1"/>
  <c r="D15" i="14"/>
  <c r="F15" i="14"/>
  <c r="G15" i="14"/>
  <c r="P15" i="14"/>
  <c r="D16" i="14"/>
  <c r="F16" i="14"/>
  <c r="G16" i="14"/>
  <c r="D17" i="14"/>
  <c r="F17" i="14"/>
  <c r="G17" i="14"/>
  <c r="D18" i="14"/>
  <c r="F18" i="14"/>
  <c r="G18" i="14"/>
  <c r="K281" i="15" l="1"/>
  <c r="L482" i="14"/>
  <c r="L198" i="14"/>
  <c r="D281" i="15"/>
  <c r="P281" i="15" s="1"/>
  <c r="E281" i="15"/>
  <c r="Y21" i="21"/>
  <c r="L475" i="14"/>
  <c r="L191" i="14"/>
  <c r="J414" i="14"/>
  <c r="J130" i="14"/>
  <c r="R91" i="21"/>
  <c r="I749" i="14" s="1"/>
  <c r="J749" i="14"/>
  <c r="R21" i="21"/>
  <c r="J474" i="14"/>
  <c r="J190" i="14"/>
  <c r="E351" i="15"/>
  <c r="D351" i="15"/>
  <c r="P351" i="15" s="1"/>
  <c r="K351" i="15"/>
  <c r="L490" i="14"/>
  <c r="D288" i="15"/>
  <c r="P288" i="15" s="1"/>
  <c r="K288" i="15"/>
  <c r="E288" i="15"/>
  <c r="L477" i="14"/>
  <c r="L193" i="14"/>
  <c r="D276" i="15"/>
  <c r="P276" i="15" s="1"/>
  <c r="E276" i="15"/>
  <c r="K276" i="15"/>
  <c r="D271" i="15"/>
  <c r="P271" i="15" s="1"/>
  <c r="L469" i="14"/>
  <c r="L185" i="14"/>
  <c r="E271" i="15"/>
  <c r="K271" i="15"/>
  <c r="J436" i="14"/>
  <c r="J152" i="14"/>
  <c r="K362" i="15"/>
  <c r="D362" i="15"/>
  <c r="P362" i="15" s="1"/>
  <c r="E362" i="15"/>
  <c r="L495" i="14"/>
  <c r="D293" i="15"/>
  <c r="P293" i="15" s="1"/>
  <c r="E293" i="15"/>
  <c r="K293" i="15"/>
  <c r="L485" i="14"/>
  <c r="L201" i="14"/>
  <c r="K283" i="15"/>
  <c r="D283" i="15"/>
  <c r="P283" i="15" s="1"/>
  <c r="E283" i="15"/>
  <c r="T4" i="21"/>
  <c r="L390" i="14"/>
  <c r="L106" i="14"/>
  <c r="L491" i="14"/>
  <c r="D289" i="15"/>
  <c r="P289" i="15" s="1"/>
  <c r="K289" i="15"/>
  <c r="E289" i="15"/>
  <c r="J482" i="14"/>
  <c r="J198" i="14"/>
  <c r="L428" i="14"/>
  <c r="L144" i="14"/>
  <c r="K248" i="15"/>
  <c r="D248" i="15"/>
  <c r="P248" i="15" s="1"/>
  <c r="E248" i="15"/>
  <c r="H12" i="21"/>
  <c r="J428" i="14"/>
  <c r="J144" i="14"/>
  <c r="R6" i="21"/>
  <c r="J398" i="14"/>
  <c r="J114" i="14"/>
  <c r="J460" i="14"/>
  <c r="J176" i="14"/>
  <c r="Y4" i="21"/>
  <c r="L391" i="14"/>
  <c r="L107" i="14"/>
  <c r="L492" i="14"/>
  <c r="D290" i="15"/>
  <c r="P290" i="15" s="1"/>
  <c r="K290" i="15"/>
  <c r="E290" i="15"/>
  <c r="W15" i="21"/>
  <c r="J451" i="14"/>
  <c r="J167" i="14"/>
  <c r="Y23" i="21"/>
  <c r="L483" i="14"/>
  <c r="L199" i="14"/>
  <c r="R20" i="21"/>
  <c r="J186" i="14"/>
  <c r="J470" i="14"/>
  <c r="L476" i="14"/>
  <c r="L192" i="14"/>
  <c r="E275" i="15"/>
  <c r="K275" i="15"/>
  <c r="D275" i="15"/>
  <c r="P275" i="15" s="1"/>
  <c r="D424" i="15"/>
  <c r="P424" i="15" s="1"/>
  <c r="R12" i="21"/>
  <c r="J430" i="14"/>
  <c r="J146" i="14"/>
  <c r="R10" i="21"/>
  <c r="J422" i="14"/>
  <c r="J138" i="14"/>
  <c r="J438" i="14"/>
  <c r="J154" i="14"/>
  <c r="L474" i="14"/>
  <c r="L190" i="14"/>
  <c r="E274" i="15"/>
  <c r="K274" i="15"/>
  <c r="J427" i="14"/>
  <c r="J143" i="14"/>
  <c r="D274" i="15"/>
  <c r="P274" i="15" s="1"/>
  <c r="J202" i="14"/>
  <c r="J486" i="14"/>
  <c r="K460" i="15"/>
  <c r="L756" i="14"/>
  <c r="E460" i="15"/>
  <c r="D460" i="15"/>
  <c r="P460" i="15" s="1"/>
  <c r="J644" i="14"/>
  <c r="J531" i="14"/>
  <c r="L625" i="14"/>
  <c r="L512" i="14"/>
  <c r="K427" i="15"/>
  <c r="L706" i="14"/>
  <c r="L593" i="14"/>
  <c r="E427" i="15"/>
  <c r="D427" i="15"/>
  <c r="P427" i="15" s="1"/>
  <c r="L803" i="14"/>
  <c r="D489" i="15"/>
  <c r="P489" i="15" s="1"/>
  <c r="K489" i="15"/>
  <c r="E489" i="15"/>
  <c r="J680" i="14"/>
  <c r="J567" i="14"/>
  <c r="L651" i="14"/>
  <c r="L538" i="14"/>
  <c r="D393" i="15"/>
  <c r="P393" i="15" s="1"/>
  <c r="K393" i="15"/>
  <c r="L747" i="14"/>
  <c r="D454" i="15"/>
  <c r="P454" i="15" s="1"/>
  <c r="E454" i="15"/>
  <c r="K454" i="15"/>
  <c r="R92" i="21"/>
  <c r="I753" i="14" s="1"/>
  <c r="J753" i="14"/>
  <c r="Y60" i="21"/>
  <c r="L617" i="14"/>
  <c r="L504" i="14"/>
  <c r="D482" i="15"/>
  <c r="P482" i="15" s="1"/>
  <c r="L793" i="14"/>
  <c r="K482" i="15"/>
  <c r="E482" i="15"/>
  <c r="L767" i="14"/>
  <c r="D470" i="15"/>
  <c r="P470" i="15" s="1"/>
  <c r="K470" i="15"/>
  <c r="E470" i="15"/>
  <c r="L622" i="14"/>
  <c r="L509" i="14"/>
  <c r="D377" i="15"/>
  <c r="P377" i="15" s="1"/>
  <c r="E377" i="15"/>
  <c r="K377" i="15"/>
  <c r="Y68" i="21"/>
  <c r="L657" i="14"/>
  <c r="L544" i="14"/>
  <c r="K314" i="15"/>
  <c r="E314" i="15"/>
  <c r="D314" i="15"/>
  <c r="P314" i="15" s="1"/>
  <c r="K339" i="15"/>
  <c r="D339" i="15"/>
  <c r="P339" i="15" s="1"/>
  <c r="E339" i="15"/>
  <c r="D319" i="15"/>
  <c r="P319" i="15" s="1"/>
  <c r="K319" i="15"/>
  <c r="E319" i="15"/>
  <c r="L737" i="14"/>
  <c r="D453" i="15"/>
  <c r="P453" i="15" s="1"/>
  <c r="E453" i="15"/>
  <c r="K453" i="15"/>
  <c r="E366" i="15"/>
  <c r="K366" i="15"/>
  <c r="L826" i="14"/>
  <c r="K507" i="15"/>
  <c r="D507" i="15"/>
  <c r="P507" i="15" s="1"/>
  <c r="E507" i="15"/>
  <c r="L569" i="14"/>
  <c r="L682" i="14"/>
  <c r="E409" i="15"/>
  <c r="D409" i="15"/>
  <c r="P409" i="15" s="1"/>
  <c r="K409" i="15"/>
  <c r="L623" i="14"/>
  <c r="L510" i="14"/>
  <c r="D378" i="15"/>
  <c r="P378" i="15" s="1"/>
  <c r="K378" i="15"/>
  <c r="E378" i="15"/>
  <c r="J454" i="14"/>
  <c r="J170" i="14"/>
  <c r="I637" i="14"/>
  <c r="I524" i="14"/>
  <c r="J618" i="14"/>
  <c r="J505" i="14"/>
  <c r="R104" i="21"/>
  <c r="I809" i="14" s="1"/>
  <c r="J809" i="14"/>
  <c r="J586" i="14"/>
  <c r="J699" i="14"/>
  <c r="L561" i="14"/>
  <c r="L674" i="14"/>
  <c r="E404" i="15"/>
  <c r="K404" i="15"/>
  <c r="R89" i="21"/>
  <c r="I733" i="14" s="1"/>
  <c r="J733" i="14"/>
  <c r="D368" i="15"/>
  <c r="P368" i="15" s="1"/>
  <c r="K368" i="15"/>
  <c r="E368" i="15"/>
  <c r="L760" i="14"/>
  <c r="E463" i="15"/>
  <c r="D463" i="15"/>
  <c r="P463" i="15" s="1"/>
  <c r="K463" i="15"/>
  <c r="Y97" i="21"/>
  <c r="L774" i="14"/>
  <c r="E309" i="15"/>
  <c r="K309" i="15"/>
  <c r="D309" i="15"/>
  <c r="P309" i="15" s="1"/>
  <c r="L827" i="14"/>
  <c r="K508" i="15"/>
  <c r="D508" i="15"/>
  <c r="P508" i="15" s="1"/>
  <c r="L703" i="14"/>
  <c r="L590" i="14"/>
  <c r="E424" i="15"/>
  <c r="L731" i="14"/>
  <c r="K449" i="15"/>
  <c r="D449" i="15"/>
  <c r="P449" i="15" s="1"/>
  <c r="E449" i="15"/>
  <c r="J647" i="14"/>
  <c r="J534" i="14"/>
  <c r="K359" i="15"/>
  <c r="D359" i="15"/>
  <c r="P359" i="15" s="1"/>
  <c r="E359" i="15"/>
  <c r="J715" i="14"/>
  <c r="J602" i="14"/>
  <c r="L736" i="14"/>
  <c r="D452" i="15"/>
  <c r="P452" i="15" s="1"/>
  <c r="E452" i="15"/>
  <c r="K452" i="15"/>
  <c r="R71" i="21"/>
  <c r="J676" i="14"/>
  <c r="J563" i="14"/>
  <c r="W17" i="21"/>
  <c r="J459" i="14"/>
  <c r="J175" i="14"/>
  <c r="L468" i="14"/>
  <c r="L184" i="14"/>
  <c r="D270" i="15"/>
  <c r="P270" i="15" s="1"/>
  <c r="E270" i="15"/>
  <c r="K270" i="15"/>
  <c r="W27" i="21"/>
  <c r="I499" i="14" s="1"/>
  <c r="J499" i="14"/>
  <c r="L606" i="14"/>
  <c r="L719" i="14"/>
  <c r="K439" i="15"/>
  <c r="D439" i="15"/>
  <c r="P439" i="15" s="1"/>
  <c r="E439" i="15"/>
  <c r="L823" i="14"/>
  <c r="E504" i="15"/>
  <c r="D504" i="15"/>
  <c r="P504" i="15" s="1"/>
  <c r="K504" i="15"/>
  <c r="L687" i="14"/>
  <c r="L574" i="14"/>
  <c r="K413" i="15"/>
  <c r="D413" i="15"/>
  <c r="P413" i="15" s="1"/>
  <c r="W99" i="21"/>
  <c r="I790" i="14" s="1"/>
  <c r="J790" i="14"/>
  <c r="L659" i="14"/>
  <c r="L546" i="14"/>
  <c r="D399" i="15"/>
  <c r="P399" i="15" s="1"/>
  <c r="K399" i="15"/>
  <c r="E399" i="15"/>
  <c r="E349" i="15"/>
  <c r="K349" i="15"/>
  <c r="D361" i="15"/>
  <c r="P361" i="15" s="1"/>
  <c r="E361" i="15"/>
  <c r="K361" i="15"/>
  <c r="L648" i="14"/>
  <c r="L535" i="14"/>
  <c r="K390" i="15"/>
  <c r="D390" i="15"/>
  <c r="P390" i="15" s="1"/>
  <c r="E390" i="15"/>
  <c r="L753" i="14"/>
  <c r="D458" i="15"/>
  <c r="P458" i="15" s="1"/>
  <c r="E458" i="15"/>
  <c r="K458" i="15"/>
  <c r="D401" i="15"/>
  <c r="P401" i="15" s="1"/>
  <c r="L662" i="14"/>
  <c r="L549" i="14"/>
  <c r="E401" i="15"/>
  <c r="K401" i="15"/>
  <c r="J642" i="14"/>
  <c r="J529" i="14"/>
  <c r="Y76" i="21"/>
  <c r="L697" i="14"/>
  <c r="L584" i="14"/>
  <c r="J694" i="14"/>
  <c r="J581" i="14"/>
  <c r="J723" i="14"/>
  <c r="J610" i="14"/>
  <c r="L723" i="14"/>
  <c r="K443" i="15"/>
  <c r="L610" i="14"/>
  <c r="E443" i="15"/>
  <c r="D443" i="15"/>
  <c r="P443" i="15" s="1"/>
  <c r="E353" i="15"/>
  <c r="K353" i="15"/>
  <c r="D353" i="15"/>
  <c r="P353" i="15" s="1"/>
  <c r="L655" i="14"/>
  <c r="L542" i="14"/>
  <c r="K397" i="15"/>
  <c r="D397" i="15"/>
  <c r="P397" i="15" s="1"/>
  <c r="E397" i="15"/>
  <c r="W88" i="21"/>
  <c r="I730" i="14" s="1"/>
  <c r="J730" i="14"/>
  <c r="Y88" i="21"/>
  <c r="L730" i="14"/>
  <c r="W69" i="21"/>
  <c r="J661" i="14"/>
  <c r="J548" i="14"/>
  <c r="J608" i="14"/>
  <c r="J721" i="14"/>
  <c r="K435" i="15"/>
  <c r="Y19" i="21"/>
  <c r="L467" i="14"/>
  <c r="L183" i="14"/>
  <c r="J466" i="14"/>
  <c r="J182" i="14"/>
  <c r="L466" i="14"/>
  <c r="L182" i="14"/>
  <c r="H27" i="21"/>
  <c r="I496" i="14" s="1"/>
  <c r="J496" i="14"/>
  <c r="L484" i="14"/>
  <c r="L200" i="14"/>
  <c r="J484" i="14"/>
  <c r="J200" i="14"/>
  <c r="L487" i="14"/>
  <c r="L203" i="14"/>
  <c r="K265" i="15"/>
  <c r="L461" i="14"/>
  <c r="L177" i="14"/>
  <c r="L420" i="14"/>
  <c r="L136" i="14"/>
  <c r="T88" i="21"/>
  <c r="L729" i="14"/>
  <c r="L580" i="14"/>
  <c r="L693" i="14"/>
  <c r="Y72" i="21"/>
  <c r="L681" i="14"/>
  <c r="L568" i="14"/>
  <c r="K476" i="15"/>
  <c r="L776" i="14"/>
  <c r="L652" i="14"/>
  <c r="L539" i="14"/>
  <c r="J718" i="14"/>
  <c r="J605" i="14"/>
  <c r="W83" i="21"/>
  <c r="J725" i="14"/>
  <c r="J612" i="14"/>
  <c r="R63" i="21"/>
  <c r="J636" i="14"/>
  <c r="J523" i="14"/>
  <c r="J690" i="14"/>
  <c r="J577" i="14"/>
  <c r="J716" i="14"/>
  <c r="J603" i="14"/>
  <c r="T71" i="21"/>
  <c r="L563" i="14"/>
  <c r="L676" i="14"/>
  <c r="L603" i="14"/>
  <c r="L716" i="14"/>
  <c r="H83" i="21"/>
  <c r="J722" i="14"/>
  <c r="J609" i="14"/>
  <c r="L722" i="14"/>
  <c r="L609" i="14"/>
  <c r="L654" i="14"/>
  <c r="L541" i="14"/>
  <c r="L714" i="14"/>
  <c r="L601" i="14"/>
  <c r="L640" i="14"/>
  <c r="L527" i="14"/>
  <c r="E486" i="15"/>
  <c r="E356" i="15"/>
  <c r="E227" i="15"/>
  <c r="E394" i="15"/>
  <c r="E264" i="15"/>
  <c r="E302" i="15"/>
  <c r="E469" i="15"/>
  <c r="E506" i="15"/>
  <c r="E247" i="15"/>
  <c r="E414" i="15"/>
  <c r="E322" i="15"/>
  <c r="E230" i="15"/>
  <c r="E267" i="15"/>
  <c r="E434" i="15"/>
  <c r="E305" i="15"/>
  <c r="D467" i="15"/>
  <c r="P467" i="15" s="1"/>
  <c r="D337" i="15"/>
  <c r="P337" i="15" s="1"/>
  <c r="E493" i="15"/>
  <c r="E363" i="15"/>
  <c r="D444" i="15"/>
  <c r="P444" i="15" s="1"/>
  <c r="K357" i="15"/>
  <c r="D341" i="15"/>
  <c r="P341" i="15" s="1"/>
  <c r="K473" i="15"/>
  <c r="K345" i="15"/>
  <c r="E297" i="15"/>
  <c r="K235" i="15"/>
  <c r="K494" i="15"/>
  <c r="K318" i="15"/>
  <c r="K468" i="15"/>
  <c r="K304" i="15"/>
  <c r="K240" i="15"/>
  <c r="K499" i="15"/>
  <c r="K436" i="15"/>
  <c r="I614" i="14"/>
  <c r="I501" i="14"/>
  <c r="L612" i="14"/>
  <c r="L725" i="14"/>
  <c r="W79" i="21"/>
  <c r="J596" i="14"/>
  <c r="J709" i="14"/>
  <c r="E438" i="15"/>
  <c r="Y15" i="21"/>
  <c r="L451" i="14"/>
  <c r="L167" i="14"/>
  <c r="R15" i="21"/>
  <c r="J450" i="14"/>
  <c r="J166" i="14"/>
  <c r="T15" i="21"/>
  <c r="L450" i="14"/>
  <c r="L166" i="14"/>
  <c r="L481" i="14"/>
  <c r="L197" i="14"/>
  <c r="J480" i="14"/>
  <c r="J196" i="14"/>
  <c r="Y20" i="21"/>
  <c r="L471" i="14"/>
  <c r="L187" i="14"/>
  <c r="L486" i="14"/>
  <c r="L202" i="14"/>
  <c r="J477" i="14"/>
  <c r="J193" i="14"/>
  <c r="L437" i="14"/>
  <c r="L153" i="14"/>
  <c r="J412" i="14"/>
  <c r="J128" i="14"/>
  <c r="L707" i="14"/>
  <c r="L594" i="14"/>
  <c r="J713" i="14"/>
  <c r="J600" i="14"/>
  <c r="J623" i="14"/>
  <c r="J510" i="14"/>
  <c r="J659" i="14"/>
  <c r="J546" i="14"/>
  <c r="L638" i="14"/>
  <c r="L525" i="14"/>
  <c r="H111" i="21"/>
  <c r="I835" i="14" s="1"/>
  <c r="J835" i="14"/>
  <c r="L711" i="14"/>
  <c r="L598" i="14"/>
  <c r="W90" i="21"/>
  <c r="I738" i="14" s="1"/>
  <c r="J738" i="14"/>
  <c r="R60" i="21"/>
  <c r="J616" i="14"/>
  <c r="J503" i="14"/>
  <c r="L690" i="14"/>
  <c r="L577" i="14"/>
  <c r="L702" i="14"/>
  <c r="L589" i="14"/>
  <c r="Y71" i="21"/>
  <c r="L564" i="14"/>
  <c r="L677" i="14"/>
  <c r="J708" i="14"/>
  <c r="J595" i="14"/>
  <c r="J640" i="14"/>
  <c r="J527" i="14"/>
  <c r="J646" i="14"/>
  <c r="J533" i="14"/>
  <c r="E432" i="15"/>
  <c r="E303" i="15"/>
  <c r="E340" i="15"/>
  <c r="E415" i="15"/>
  <c r="E285" i="15"/>
  <c r="E323" i="15"/>
  <c r="E490" i="15"/>
  <c r="E360" i="15"/>
  <c r="E231" i="15"/>
  <c r="E398" i="15"/>
  <c r="E306" i="15"/>
  <c r="E473" i="15"/>
  <c r="E343" i="15"/>
  <c r="E510" i="15"/>
  <c r="E381" i="15"/>
  <c r="E251" i="15"/>
  <c r="D451" i="15"/>
  <c r="P451" i="15" s="1"/>
  <c r="D321" i="15"/>
  <c r="P321" i="15" s="1"/>
  <c r="E477" i="15"/>
  <c r="E347" i="15"/>
  <c r="K519" i="15"/>
  <c r="E433" i="15"/>
  <c r="D347" i="15"/>
  <c r="P347" i="15" s="1"/>
  <c r="K437" i="15"/>
  <c r="K310" i="15"/>
  <c r="K246" i="15"/>
  <c r="K505" i="15"/>
  <c r="K441" i="15"/>
  <c r="E330" i="15"/>
  <c r="K299" i="15"/>
  <c r="E455" i="15"/>
  <c r="K350" i="15"/>
  <c r="K500" i="15"/>
  <c r="K336" i="15"/>
  <c r="K469" i="15"/>
  <c r="J598" i="14"/>
  <c r="J711" i="14"/>
  <c r="L434" i="14"/>
  <c r="L150" i="14"/>
  <c r="H21" i="21"/>
  <c r="J472" i="14"/>
  <c r="J188" i="14"/>
  <c r="Y18" i="21"/>
  <c r="L463" i="14"/>
  <c r="L179" i="14"/>
  <c r="L478" i="14"/>
  <c r="L194" i="14"/>
  <c r="J469" i="14"/>
  <c r="J185" i="14"/>
  <c r="K249" i="15"/>
  <c r="L429" i="14"/>
  <c r="L145" i="14"/>
  <c r="L396" i="14"/>
  <c r="L112" i="14"/>
  <c r="J700" i="14"/>
  <c r="J587" i="14"/>
  <c r="J706" i="14"/>
  <c r="J593" i="14"/>
  <c r="J652" i="14"/>
  <c r="J539" i="14"/>
  <c r="K379" i="15"/>
  <c r="L624" i="14"/>
  <c r="L511" i="14"/>
  <c r="J704" i="14"/>
  <c r="J591" i="14"/>
  <c r="Y77" i="21"/>
  <c r="L701" i="14"/>
  <c r="L588" i="14"/>
  <c r="J710" i="14"/>
  <c r="J597" i="14"/>
  <c r="Y64" i="21"/>
  <c r="L641" i="14"/>
  <c r="L528" i="14"/>
  <c r="D450" i="15"/>
  <c r="P450" i="15" s="1"/>
  <c r="L732" i="14"/>
  <c r="W100" i="21"/>
  <c r="I794" i="14" s="1"/>
  <c r="J794" i="14"/>
  <c r="M70" i="21"/>
  <c r="J663" i="14"/>
  <c r="J550" i="14"/>
  <c r="L571" i="14"/>
  <c r="K411" i="15"/>
  <c r="L684" i="14"/>
  <c r="R76" i="21"/>
  <c r="J696" i="14"/>
  <c r="J583" i="14"/>
  <c r="J582" i="14"/>
  <c r="J695" i="14"/>
  <c r="W111" i="21"/>
  <c r="I838" i="14" s="1"/>
  <c r="J838" i="14"/>
  <c r="D465" i="15"/>
  <c r="P465" i="15" s="1"/>
  <c r="D335" i="15"/>
  <c r="P335" i="15" s="1"/>
  <c r="D502" i="15"/>
  <c r="P502" i="15" s="1"/>
  <c r="D243" i="15"/>
  <c r="P243" i="15" s="1"/>
  <c r="D410" i="15"/>
  <c r="P410" i="15" s="1"/>
  <c r="D280" i="15"/>
  <c r="P280" i="15" s="1"/>
  <c r="D448" i="15"/>
  <c r="P448" i="15" s="1"/>
  <c r="D485" i="15"/>
  <c r="P485" i="15" s="1"/>
  <c r="D355" i="15"/>
  <c r="P355" i="15" s="1"/>
  <c r="D226" i="15"/>
  <c r="P226" i="15" s="1"/>
  <c r="D263" i="15"/>
  <c r="P263" i="15" s="1"/>
  <c r="D430" i="15"/>
  <c r="P430" i="15" s="1"/>
  <c r="D301" i="15"/>
  <c r="P301" i="15" s="1"/>
  <c r="D468" i="15"/>
  <c r="P468" i="15" s="1"/>
  <c r="D338" i="15"/>
  <c r="P338" i="15" s="1"/>
  <c r="D505" i="15"/>
  <c r="P505" i="15" s="1"/>
  <c r="D376" i="15"/>
  <c r="P376" i="15" s="1"/>
  <c r="E310" i="15"/>
  <c r="D472" i="15"/>
  <c r="P472" i="15" s="1"/>
  <c r="D342" i="15"/>
  <c r="P342" i="15" s="1"/>
  <c r="D428" i="15"/>
  <c r="P428" i="15" s="1"/>
  <c r="K341" i="15"/>
  <c r="K326" i="15"/>
  <c r="K394" i="15"/>
  <c r="E346" i="15"/>
  <c r="K315" i="15"/>
  <c r="E471" i="15"/>
  <c r="K516" i="15"/>
  <c r="K352" i="15"/>
  <c r="K485" i="15"/>
  <c r="L479" i="14"/>
  <c r="L195" i="14"/>
  <c r="J658" i="14"/>
  <c r="J545" i="14"/>
  <c r="Y65" i="21"/>
  <c r="L645" i="14"/>
  <c r="L532" i="14"/>
  <c r="L647" i="14"/>
  <c r="L534" i="14"/>
  <c r="K438" i="15"/>
  <c r="J426" i="14"/>
  <c r="J142" i="14"/>
  <c r="L426" i="14"/>
  <c r="L142" i="14"/>
  <c r="L465" i="14"/>
  <c r="L181" i="14"/>
  <c r="J464" i="14"/>
  <c r="J180" i="14"/>
  <c r="L472" i="14"/>
  <c r="L188" i="14"/>
  <c r="J479" i="14"/>
  <c r="J195" i="14"/>
  <c r="Y16" i="21"/>
  <c r="L455" i="14"/>
  <c r="L171" i="14"/>
  <c r="T20" i="21"/>
  <c r="L470" i="14"/>
  <c r="L186" i="14"/>
  <c r="J461" i="14"/>
  <c r="J177" i="14"/>
  <c r="L421" i="14"/>
  <c r="L137" i="14"/>
  <c r="L412" i="14"/>
  <c r="L128" i="14"/>
  <c r="L581" i="14"/>
  <c r="L694" i="14"/>
  <c r="L587" i="14"/>
  <c r="L700" i="14"/>
  <c r="W65" i="21"/>
  <c r="J645" i="14"/>
  <c r="J532" i="14"/>
  <c r="M61" i="21"/>
  <c r="Y107" i="21"/>
  <c r="L822" i="14"/>
  <c r="L704" i="14"/>
  <c r="L591" i="14"/>
  <c r="J724" i="14"/>
  <c r="J611" i="14"/>
  <c r="J634" i="14"/>
  <c r="J521" i="14"/>
  <c r="R68" i="21"/>
  <c r="J656" i="14"/>
  <c r="J543" i="14"/>
  <c r="L550" i="14"/>
  <c r="L663" i="14"/>
  <c r="W74" i="21"/>
  <c r="J689" i="14"/>
  <c r="J576" i="14"/>
  <c r="L620" i="14"/>
  <c r="L507" i="14"/>
  <c r="J485" i="14"/>
  <c r="E286" i="15"/>
  <c r="E324" i="15"/>
  <c r="E491" i="15"/>
  <c r="E232" i="15"/>
  <c r="E269" i="15"/>
  <c r="E436" i="15"/>
  <c r="E307" i="15"/>
  <c r="E474" i="15"/>
  <c r="E344" i="15"/>
  <c r="E511" i="15"/>
  <c r="E382" i="15"/>
  <c r="E252" i="15"/>
  <c r="E419" i="15"/>
  <c r="E457" i="15"/>
  <c r="E327" i="15"/>
  <c r="E494" i="15"/>
  <c r="E364" i="15"/>
  <c r="E402" i="15"/>
  <c r="E272" i="15"/>
  <c r="D434" i="15"/>
  <c r="P434" i="15" s="1"/>
  <c r="D305" i="15"/>
  <c r="P305" i="15" s="1"/>
  <c r="E461" i="15"/>
  <c r="E331" i="15"/>
  <c r="D509" i="15"/>
  <c r="P509" i="15" s="1"/>
  <c r="K422" i="15"/>
  <c r="E336" i="15"/>
  <c r="D406" i="15"/>
  <c r="P406" i="15" s="1"/>
  <c r="K278" i="15"/>
  <c r="K474" i="15"/>
  <c r="K331" i="15"/>
  <c r="K300" i="15"/>
  <c r="E228" i="15"/>
  <c r="E487" i="15"/>
  <c r="K447" i="15"/>
  <c r="K383" i="15"/>
  <c r="K501" i="15"/>
  <c r="W23" i="21"/>
  <c r="J483" i="14"/>
  <c r="J199" i="14"/>
  <c r="J674" i="14"/>
  <c r="J561" i="14"/>
  <c r="L715" i="14"/>
  <c r="L602" i="14"/>
  <c r="Y13" i="21"/>
  <c r="L435" i="14"/>
  <c r="L151" i="14"/>
  <c r="L189" i="14"/>
  <c r="L473" i="14"/>
  <c r="Y9" i="21"/>
  <c r="L419" i="14"/>
  <c r="L135" i="14"/>
  <c r="J418" i="14"/>
  <c r="J134" i="14"/>
  <c r="D239" i="15"/>
  <c r="P239" i="15" s="1"/>
  <c r="L418" i="14"/>
  <c r="L134" i="14"/>
  <c r="L173" i="14"/>
  <c r="L457" i="14"/>
  <c r="J456" i="14"/>
  <c r="J172" i="14"/>
  <c r="L464" i="14"/>
  <c r="L180" i="14"/>
  <c r="W20" i="21"/>
  <c r="J471" i="14"/>
  <c r="J187" i="14"/>
  <c r="Y14" i="21"/>
  <c r="L439" i="14"/>
  <c r="L155" i="14"/>
  <c r="L462" i="14"/>
  <c r="L178" i="14"/>
  <c r="J453" i="14"/>
  <c r="J169" i="14"/>
  <c r="L413" i="14"/>
  <c r="L129" i="14"/>
  <c r="W7" i="21"/>
  <c r="J411" i="14"/>
  <c r="J127" i="14"/>
  <c r="R106" i="21"/>
  <c r="I817" i="14" s="1"/>
  <c r="J817" i="14"/>
  <c r="L688" i="14"/>
  <c r="L575" i="14"/>
  <c r="R96" i="21"/>
  <c r="I769" i="14" s="1"/>
  <c r="J769" i="14"/>
  <c r="J638" i="14"/>
  <c r="J525" i="14"/>
  <c r="Y89" i="21"/>
  <c r="L734" i="14"/>
  <c r="J592" i="14"/>
  <c r="J705" i="14"/>
  <c r="W107" i="21"/>
  <c r="I822" i="14" s="1"/>
  <c r="J822" i="14"/>
  <c r="D417" i="15"/>
  <c r="P417" i="15" s="1"/>
  <c r="L579" i="14"/>
  <c r="L692" i="14"/>
  <c r="J578" i="14"/>
  <c r="J691" i="14"/>
  <c r="J707" i="14"/>
  <c r="J594" i="14"/>
  <c r="J717" i="14"/>
  <c r="J604" i="14"/>
  <c r="J649" i="14"/>
  <c r="J536" i="14"/>
  <c r="T68" i="21"/>
  <c r="L656" i="14"/>
  <c r="L543" i="14"/>
  <c r="J570" i="14"/>
  <c r="J683" i="14"/>
  <c r="J688" i="14"/>
  <c r="J575" i="14"/>
  <c r="J682" i="14"/>
  <c r="J569" i="14"/>
  <c r="W91" i="21"/>
  <c r="I750" i="14" s="1"/>
  <c r="J750" i="14"/>
  <c r="Y91" i="21"/>
  <c r="L750" i="14"/>
  <c r="D411" i="15"/>
  <c r="P411" i="15" s="1"/>
  <c r="D486" i="15"/>
  <c r="P486" i="15" s="1"/>
  <c r="D227" i="15"/>
  <c r="P227" i="15" s="1"/>
  <c r="D394" i="15"/>
  <c r="P394" i="15" s="1"/>
  <c r="D264" i="15"/>
  <c r="P264" i="15" s="1"/>
  <c r="D431" i="15"/>
  <c r="P431" i="15" s="1"/>
  <c r="D469" i="15"/>
  <c r="P469" i="15" s="1"/>
  <c r="D506" i="15"/>
  <c r="P506" i="15" s="1"/>
  <c r="D414" i="15"/>
  <c r="P414" i="15" s="1"/>
  <c r="D284" i="15"/>
  <c r="P284" i="15" s="1"/>
  <c r="D322" i="15"/>
  <c r="P322" i="15" s="1"/>
  <c r="D267" i="15"/>
  <c r="P267" i="15" s="1"/>
  <c r="E423" i="15"/>
  <c r="D456" i="15"/>
  <c r="P456" i="15" s="1"/>
  <c r="K503" i="15"/>
  <c r="E417" i="15"/>
  <c r="K244" i="15"/>
  <c r="K486" i="15"/>
  <c r="D422" i="15"/>
  <c r="P422" i="15" s="1"/>
  <c r="K294" i="15"/>
  <c r="K231" i="15"/>
  <c r="K490" i="15"/>
  <c r="E379" i="15"/>
  <c r="K316" i="15"/>
  <c r="E503" i="15"/>
  <c r="K258" i="15"/>
  <c r="K517" i="15"/>
  <c r="W60" i="21"/>
  <c r="J617" i="14"/>
  <c r="J504" i="14"/>
  <c r="L596" i="14"/>
  <c r="L709" i="14"/>
  <c r="K515" i="15"/>
  <c r="J434" i="14"/>
  <c r="J150" i="14"/>
  <c r="L480" i="14"/>
  <c r="L196" i="14"/>
  <c r="L427" i="14"/>
  <c r="L143" i="14"/>
  <c r="Y7" i="21"/>
  <c r="L411" i="14"/>
  <c r="L127" i="14"/>
  <c r="R7" i="21"/>
  <c r="J410" i="14"/>
  <c r="J126" i="14"/>
  <c r="T7" i="21"/>
  <c r="L410" i="14"/>
  <c r="L126" i="14"/>
  <c r="L449" i="14"/>
  <c r="L165" i="14"/>
  <c r="J448" i="14"/>
  <c r="J164" i="14"/>
  <c r="L456" i="14"/>
  <c r="L172" i="14"/>
  <c r="W18" i="21"/>
  <c r="J463" i="14"/>
  <c r="J179" i="14"/>
  <c r="Y12" i="21"/>
  <c r="L431" i="14"/>
  <c r="L147" i="14"/>
  <c r="L454" i="14"/>
  <c r="L170" i="14"/>
  <c r="J437" i="14"/>
  <c r="J153" i="14"/>
  <c r="L397" i="14"/>
  <c r="L113" i="14"/>
  <c r="H6" i="21"/>
  <c r="J396" i="14"/>
  <c r="J112" i="14"/>
  <c r="J562" i="14"/>
  <c r="J675" i="14"/>
  <c r="J687" i="14"/>
  <c r="J574" i="14"/>
  <c r="W94" i="21"/>
  <c r="I762" i="14" s="1"/>
  <c r="J762" i="14"/>
  <c r="J624" i="14"/>
  <c r="J511" i="14"/>
  <c r="L680" i="14"/>
  <c r="L567" i="14"/>
  <c r="L679" i="14"/>
  <c r="L566" i="14"/>
  <c r="W73" i="21"/>
  <c r="J685" i="14"/>
  <c r="J572" i="14"/>
  <c r="L597" i="14"/>
  <c r="L710" i="14"/>
  <c r="D385" i="15"/>
  <c r="P385" i="15" s="1"/>
  <c r="L642" i="14"/>
  <c r="L529" i="14"/>
  <c r="L649" i="14"/>
  <c r="L536" i="14"/>
  <c r="W71" i="21"/>
  <c r="J564" i="14"/>
  <c r="J677" i="14"/>
  <c r="J654" i="14"/>
  <c r="J541" i="14"/>
  <c r="E400" i="15"/>
  <c r="E437" i="15"/>
  <c r="E308" i="15"/>
  <c r="E475" i="15"/>
  <c r="E345" i="15"/>
  <c r="E512" i="15"/>
  <c r="E383" i="15"/>
  <c r="E328" i="15"/>
  <c r="E495" i="15"/>
  <c r="E365" i="15"/>
  <c r="E236" i="15"/>
  <c r="E403" i="15"/>
  <c r="E273" i="15"/>
  <c r="E311" i="15"/>
  <c r="E478" i="15"/>
  <c r="E348" i="15"/>
  <c r="E515" i="15"/>
  <c r="E386" i="15"/>
  <c r="D418" i="15"/>
  <c r="P418" i="15" s="1"/>
  <c r="E315" i="15"/>
  <c r="D412" i="15"/>
  <c r="P412" i="15" s="1"/>
  <c r="K325" i="15"/>
  <c r="E239" i="15"/>
  <c r="K502" i="15"/>
  <c r="K311" i="15"/>
  <c r="K247" i="15"/>
  <c r="K506" i="15"/>
  <c r="K442" i="15"/>
  <c r="K332" i="15"/>
  <c r="E260" i="15"/>
  <c r="E519" i="15"/>
  <c r="K479" i="15"/>
  <c r="K415" i="15"/>
  <c r="K367" i="15"/>
  <c r="K306" i="15"/>
  <c r="K337" i="15"/>
  <c r="Y17" i="21"/>
  <c r="L175" i="14"/>
  <c r="L459" i="14"/>
  <c r="R73" i="21"/>
  <c r="J571" i="14"/>
  <c r="J684" i="14"/>
  <c r="W72" i="21"/>
  <c r="J681" i="14"/>
  <c r="J568" i="14"/>
  <c r="L618" i="14"/>
  <c r="L505" i="14"/>
  <c r="J651" i="14"/>
  <c r="J538" i="14"/>
  <c r="Y70" i="21"/>
  <c r="L665" i="14"/>
  <c r="L552" i="14"/>
  <c r="J662" i="14"/>
  <c r="J549" i="14"/>
  <c r="L634" i="14"/>
  <c r="L521" i="14"/>
  <c r="J619" i="14"/>
  <c r="J506" i="14"/>
  <c r="D415" i="15"/>
  <c r="P415" i="15" s="1"/>
  <c r="D285" i="15"/>
  <c r="P285" i="15" s="1"/>
  <c r="D323" i="15"/>
  <c r="P323" i="15" s="1"/>
  <c r="D490" i="15"/>
  <c r="P490" i="15" s="1"/>
  <c r="D268" i="15"/>
  <c r="P268" i="15" s="1"/>
  <c r="D435" i="15"/>
  <c r="P435" i="15" s="1"/>
  <c r="D473" i="15"/>
  <c r="P473" i="15" s="1"/>
  <c r="D343" i="15"/>
  <c r="P343" i="15" s="1"/>
  <c r="D510" i="15"/>
  <c r="P510" i="15" s="1"/>
  <c r="D381" i="15"/>
  <c r="P381" i="15" s="1"/>
  <c r="E407" i="15"/>
  <c r="E277" i="15"/>
  <c r="D493" i="15"/>
  <c r="P493" i="15" s="1"/>
  <c r="E320" i="15"/>
  <c r="D234" i="15"/>
  <c r="P234" i="15" s="1"/>
  <c r="K518" i="15"/>
  <c r="D455" i="15"/>
  <c r="P455" i="15" s="1"/>
  <c r="K391" i="15"/>
  <c r="K327" i="15"/>
  <c r="K459" i="15"/>
  <c r="E411" i="15"/>
  <c r="K380" i="15"/>
  <c r="K348" i="15"/>
  <c r="K495" i="15"/>
  <c r="K431" i="15"/>
  <c r="K384" i="15"/>
  <c r="K417" i="15"/>
  <c r="L453" i="14"/>
  <c r="L169" i="14"/>
  <c r="L605" i="14"/>
  <c r="L718" i="14"/>
  <c r="D259" i="15"/>
  <c r="P259" i="15" s="1"/>
  <c r="J432" i="14"/>
  <c r="J148" i="14"/>
  <c r="M12" i="21"/>
  <c r="J429" i="14"/>
  <c r="J145" i="14"/>
  <c r="H4" i="21"/>
  <c r="J388" i="14"/>
  <c r="J104" i="14"/>
  <c r="W102" i="21"/>
  <c r="I802" i="14" s="1"/>
  <c r="J802" i="14"/>
  <c r="J197" i="14"/>
  <c r="J481" i="14"/>
  <c r="M21" i="21"/>
  <c r="J473" i="14"/>
  <c r="J189" i="14"/>
  <c r="L141" i="14"/>
  <c r="L425" i="14"/>
  <c r="J424" i="14"/>
  <c r="J140" i="14"/>
  <c r="L432" i="14"/>
  <c r="L148" i="14"/>
  <c r="W14" i="21"/>
  <c r="J439" i="14"/>
  <c r="J155" i="14"/>
  <c r="Y8" i="21"/>
  <c r="L415" i="14"/>
  <c r="L131" i="14"/>
  <c r="T12" i="21"/>
  <c r="L430" i="14"/>
  <c r="L146" i="14"/>
  <c r="M10" i="21"/>
  <c r="J421" i="14"/>
  <c r="J137" i="14"/>
  <c r="J476" i="14"/>
  <c r="J192" i="14"/>
  <c r="W5" i="21"/>
  <c r="J395" i="14"/>
  <c r="J111" i="14"/>
  <c r="Y101" i="21"/>
  <c r="L798" i="14"/>
  <c r="J653" i="14"/>
  <c r="J540" i="14"/>
  <c r="L675" i="14"/>
  <c r="L562" i="14"/>
  <c r="L658" i="14"/>
  <c r="L545" i="14"/>
  <c r="J712" i="14"/>
  <c r="J599" i="14"/>
  <c r="J551" i="14"/>
  <c r="J664" i="14"/>
  <c r="W76" i="21"/>
  <c r="J697" i="14"/>
  <c r="J584" i="14"/>
  <c r="R61" i="21"/>
  <c r="J620" i="14"/>
  <c r="J507" i="14"/>
  <c r="T60" i="21"/>
  <c r="L616" i="14"/>
  <c r="L503" i="14"/>
  <c r="J635" i="14"/>
  <c r="J522" i="14"/>
  <c r="J655" i="14"/>
  <c r="J542" i="14"/>
  <c r="D514" i="15"/>
  <c r="P514" i="15" s="1"/>
  <c r="L833" i="14"/>
  <c r="L614" i="14"/>
  <c r="L501" i="14"/>
  <c r="J714" i="14"/>
  <c r="J601" i="14"/>
  <c r="E513" i="15"/>
  <c r="E384" i="15"/>
  <c r="E254" i="15"/>
  <c r="E291" i="15"/>
  <c r="E459" i="15"/>
  <c r="E496" i="15"/>
  <c r="E312" i="15"/>
  <c r="E479" i="15"/>
  <c r="E516" i="15"/>
  <c r="E257" i="15"/>
  <c r="E294" i="15"/>
  <c r="E462" i="15"/>
  <c r="E499" i="15"/>
  <c r="E369" i="15"/>
  <c r="E240" i="15"/>
  <c r="D402" i="15"/>
  <c r="P402" i="15" s="1"/>
  <c r="D272" i="15"/>
  <c r="P272" i="15" s="1"/>
  <c r="E428" i="15"/>
  <c r="E299" i="15"/>
  <c r="K487" i="15"/>
  <c r="K228" i="15"/>
  <c r="D471" i="15"/>
  <c r="P471" i="15" s="1"/>
  <c r="K407" i="15"/>
  <c r="K279" i="15"/>
  <c r="K475" i="15"/>
  <c r="K396" i="15"/>
  <c r="K364" i="15"/>
  <c r="E292" i="15"/>
  <c r="K252" i="15"/>
  <c r="K511" i="15"/>
  <c r="K448" i="15"/>
  <c r="K369" i="15"/>
  <c r="K307" i="15"/>
  <c r="R17" i="21"/>
  <c r="J458" i="14"/>
  <c r="J174" i="14"/>
  <c r="J607" i="14"/>
  <c r="J720" i="14"/>
  <c r="T96" i="21"/>
  <c r="L769" i="14"/>
  <c r="W98" i="21"/>
  <c r="I778" i="14" s="1"/>
  <c r="J778" i="14"/>
  <c r="L448" i="14"/>
  <c r="L164" i="14"/>
  <c r="J468" i="14"/>
  <c r="J184" i="14"/>
  <c r="W104" i="21"/>
  <c r="I810" i="14" s="1"/>
  <c r="J810" i="14"/>
  <c r="J606" i="14"/>
  <c r="J719" i="14"/>
  <c r="Y100" i="21"/>
  <c r="L794" i="14"/>
  <c r="L721" i="14"/>
  <c r="L608" i="14"/>
  <c r="J457" i="14"/>
  <c r="J173" i="14"/>
  <c r="J149" i="14"/>
  <c r="J433" i="14"/>
  <c r="J465" i="14"/>
  <c r="J181" i="14"/>
  <c r="L417" i="14"/>
  <c r="L133" i="14"/>
  <c r="J416" i="14"/>
  <c r="J132" i="14"/>
  <c r="L424" i="14"/>
  <c r="L140" i="14"/>
  <c r="W12" i="21"/>
  <c r="J431" i="14"/>
  <c r="J147" i="14"/>
  <c r="Y6" i="21"/>
  <c r="L399" i="14"/>
  <c r="L115" i="14"/>
  <c r="L422" i="14"/>
  <c r="L138" i="14"/>
  <c r="J413" i="14"/>
  <c r="J129" i="14"/>
  <c r="L436" i="14"/>
  <c r="L152" i="14"/>
  <c r="J420" i="14"/>
  <c r="J136" i="14"/>
  <c r="L646" i="14"/>
  <c r="L533" i="14"/>
  <c r="L660" i="14"/>
  <c r="L547" i="14"/>
  <c r="L644" i="14"/>
  <c r="L531" i="14"/>
  <c r="W89" i="21"/>
  <c r="I734" i="14" s="1"/>
  <c r="J734" i="14"/>
  <c r="W92" i="21"/>
  <c r="I754" i="14" s="1"/>
  <c r="J754" i="14"/>
  <c r="R99" i="21"/>
  <c r="I789" i="14" s="1"/>
  <c r="J789" i="14"/>
  <c r="J650" i="14"/>
  <c r="J537" i="14"/>
  <c r="Y102" i="21"/>
  <c r="L802" i="14"/>
  <c r="W68" i="21"/>
  <c r="J657" i="14"/>
  <c r="J544" i="14"/>
  <c r="L691" i="14"/>
  <c r="L578" i="14"/>
  <c r="T76" i="21"/>
  <c r="L696" i="14"/>
  <c r="L583" i="14"/>
  <c r="W61" i="21"/>
  <c r="J621" i="14"/>
  <c r="J508" i="14"/>
  <c r="J648" i="14"/>
  <c r="J535" i="14"/>
  <c r="W103" i="21"/>
  <c r="I806" i="14" s="1"/>
  <c r="J806" i="14"/>
  <c r="L595" i="14"/>
  <c r="L708" i="14"/>
  <c r="R88" i="21"/>
  <c r="I729" i="14" s="1"/>
  <c r="J729" i="14"/>
  <c r="J487" i="14"/>
  <c r="D379" i="15"/>
  <c r="P379" i="15" s="1"/>
  <c r="D249" i="15"/>
  <c r="P249" i="15" s="1"/>
  <c r="D416" i="15"/>
  <c r="P416" i="15" s="1"/>
  <c r="D286" i="15"/>
  <c r="P286" i="15" s="1"/>
  <c r="D324" i="15"/>
  <c r="P324" i="15" s="1"/>
  <c r="D491" i="15"/>
  <c r="P491" i="15" s="1"/>
  <c r="D232" i="15"/>
  <c r="P232" i="15" s="1"/>
  <c r="D269" i="15"/>
  <c r="P269" i="15" s="1"/>
  <c r="D436" i="15"/>
  <c r="P436" i="15" s="1"/>
  <c r="D474" i="15"/>
  <c r="P474" i="15" s="1"/>
  <c r="D344" i="15"/>
  <c r="P344" i="15" s="1"/>
  <c r="D511" i="15"/>
  <c r="P511" i="15" s="1"/>
  <c r="D382" i="15"/>
  <c r="P382" i="15" s="1"/>
  <c r="D252" i="15"/>
  <c r="P252" i="15" s="1"/>
  <c r="D457" i="15"/>
  <c r="P457" i="15" s="1"/>
  <c r="D494" i="15"/>
  <c r="P494" i="15" s="1"/>
  <c r="D235" i="15"/>
  <c r="P235" i="15" s="1"/>
  <c r="E391" i="15"/>
  <c r="E261" i="15"/>
  <c r="D423" i="15"/>
  <c r="P423" i="15" s="1"/>
  <c r="D396" i="15"/>
  <c r="P396" i="15" s="1"/>
  <c r="K291" i="15"/>
  <c r="D487" i="15"/>
  <c r="P487" i="15" s="1"/>
  <c r="K423" i="15"/>
  <c r="K295" i="15"/>
  <c r="K491" i="15"/>
  <c r="K412" i="15"/>
  <c r="K268" i="15"/>
  <c r="K464" i="15"/>
  <c r="K416" i="15"/>
  <c r="K354" i="15"/>
  <c r="K450" i="15"/>
  <c r="K386" i="15"/>
  <c r="L458" i="14"/>
  <c r="L174" i="14"/>
  <c r="J566" i="14"/>
  <c r="J679" i="14"/>
  <c r="R5" i="21"/>
  <c r="J394" i="14"/>
  <c r="J110" i="14"/>
  <c r="D255" i="15"/>
  <c r="P255" i="15" s="1"/>
  <c r="L438" i="14"/>
  <c r="L154" i="14"/>
  <c r="J425" i="14"/>
  <c r="J141" i="14"/>
  <c r="J393" i="14"/>
  <c r="J109" i="14"/>
  <c r="J165" i="14"/>
  <c r="J449" i="14"/>
  <c r="K233" i="15"/>
  <c r="L125" i="14"/>
  <c r="L409" i="14"/>
  <c r="H7" i="21"/>
  <c r="J408" i="14"/>
  <c r="J124" i="14"/>
  <c r="L416" i="14"/>
  <c r="L132" i="14"/>
  <c r="J423" i="14"/>
  <c r="J139" i="14"/>
  <c r="R4" i="21"/>
  <c r="J106" i="14"/>
  <c r="J390" i="14"/>
  <c r="L414" i="14"/>
  <c r="L130" i="14"/>
  <c r="M6" i="21"/>
  <c r="J397" i="14"/>
  <c r="J113" i="14"/>
  <c r="W21" i="21"/>
  <c r="J475" i="14"/>
  <c r="J191" i="14"/>
  <c r="W9" i="21"/>
  <c r="J419" i="14"/>
  <c r="J135" i="14"/>
  <c r="R98" i="21"/>
  <c r="I777" i="14" s="1"/>
  <c r="J777" i="14"/>
  <c r="J639" i="14"/>
  <c r="J526" i="14"/>
  <c r="K395" i="15"/>
  <c r="L653" i="14"/>
  <c r="L540" i="14"/>
  <c r="L699" i="14"/>
  <c r="L586" i="14"/>
  <c r="J643" i="14"/>
  <c r="J530" i="14"/>
  <c r="L650" i="14"/>
  <c r="L537" i="14"/>
  <c r="W105" i="21"/>
  <c r="I814" i="14" s="1"/>
  <c r="J814" i="14"/>
  <c r="Y73" i="21"/>
  <c r="L685" i="14"/>
  <c r="L572" i="14"/>
  <c r="W64" i="21"/>
  <c r="J641" i="14"/>
  <c r="J528" i="14"/>
  <c r="J615" i="14"/>
  <c r="J502" i="14"/>
  <c r="L635" i="14"/>
  <c r="L522" i="14"/>
  <c r="W77" i="21"/>
  <c r="J701" i="14"/>
  <c r="J588" i="14"/>
  <c r="W101" i="21"/>
  <c r="I798" i="14" s="1"/>
  <c r="J798" i="14"/>
  <c r="E497" i="15"/>
  <c r="E238" i="15"/>
  <c r="E405" i="15"/>
  <c r="E442" i="15"/>
  <c r="E480" i="15"/>
  <c r="E517" i="15"/>
  <c r="E388" i="15"/>
  <c r="E425" i="15"/>
  <c r="E295" i="15"/>
  <c r="E500" i="15"/>
  <c r="E370" i="15"/>
  <c r="E241" i="15"/>
  <c r="E408" i="15"/>
  <c r="E278" i="15"/>
  <c r="E445" i="15"/>
  <c r="E483" i="15"/>
  <c r="D515" i="15"/>
  <c r="P515" i="15" s="1"/>
  <c r="D256" i="15"/>
  <c r="P256" i="15" s="1"/>
  <c r="E282" i="15"/>
  <c r="D477" i="15"/>
  <c r="P477" i="15" s="1"/>
  <c r="E304" i="15"/>
  <c r="K308" i="15"/>
  <c r="D244" i="15"/>
  <c r="P244" i="15" s="1"/>
  <c r="D503" i="15"/>
  <c r="P503" i="15" s="1"/>
  <c r="K428" i="15"/>
  <c r="K284" i="15"/>
  <c r="K480" i="15"/>
  <c r="K402" i="15"/>
  <c r="D287" i="15"/>
  <c r="P287" i="15" s="1"/>
  <c r="L489" i="14"/>
  <c r="J702" i="14"/>
  <c r="J589" i="14"/>
  <c r="L433" i="14"/>
  <c r="L149" i="14"/>
  <c r="W16" i="21"/>
  <c r="J455" i="14"/>
  <c r="J171" i="14"/>
  <c r="J660" i="14"/>
  <c r="J547" i="14"/>
  <c r="J692" i="14"/>
  <c r="J579" i="14"/>
  <c r="T104" i="21"/>
  <c r="L809" i="14"/>
  <c r="J678" i="14"/>
  <c r="J565" i="14"/>
  <c r="T63" i="21"/>
  <c r="L636" i="14"/>
  <c r="L523" i="14"/>
  <c r="M7" i="21"/>
  <c r="J409" i="14"/>
  <c r="J125" i="14"/>
  <c r="L452" i="14"/>
  <c r="L168" i="14"/>
  <c r="J417" i="14"/>
  <c r="J133" i="14"/>
  <c r="L109" i="14"/>
  <c r="L393" i="14"/>
  <c r="J392" i="14"/>
  <c r="J108" i="14"/>
  <c r="L408" i="14"/>
  <c r="L124" i="14"/>
  <c r="W8" i="21"/>
  <c r="J415" i="14"/>
  <c r="J131" i="14"/>
  <c r="J462" i="14"/>
  <c r="J178" i="14"/>
  <c r="L398" i="14"/>
  <c r="L114" i="14"/>
  <c r="L389" i="14"/>
  <c r="L105" i="14"/>
  <c r="L392" i="14"/>
  <c r="L108" i="14"/>
  <c r="W19" i="21"/>
  <c r="J467" i="14"/>
  <c r="J183" i="14"/>
  <c r="W96" i="21"/>
  <c r="I770" i="14" s="1"/>
  <c r="J770" i="14"/>
  <c r="W62" i="21"/>
  <c r="J625" i="14"/>
  <c r="J512" i="14"/>
  <c r="L607" i="14"/>
  <c r="L720" i="14"/>
  <c r="W75" i="21"/>
  <c r="J580" i="14"/>
  <c r="J693" i="14"/>
  <c r="L698" i="14"/>
  <c r="L585" i="14"/>
  <c r="L712" i="14"/>
  <c r="L599" i="14"/>
  <c r="J637" i="14"/>
  <c r="J524" i="14"/>
  <c r="T99" i="21"/>
  <c r="L789" i="14"/>
  <c r="L643" i="14"/>
  <c r="L530" i="14"/>
  <c r="L565" i="14"/>
  <c r="L678" i="14"/>
  <c r="Y69" i="21"/>
  <c r="L661" i="14"/>
  <c r="L548" i="14"/>
  <c r="L724" i="14"/>
  <c r="L611" i="14"/>
  <c r="L683" i="14"/>
  <c r="L570" i="14"/>
  <c r="Y61" i="21"/>
  <c r="L621" i="14"/>
  <c r="L508" i="14"/>
  <c r="L695" i="14"/>
  <c r="L582" i="14"/>
  <c r="D233" i="15"/>
  <c r="P233" i="15" s="1"/>
  <c r="D400" i="15"/>
  <c r="P400" i="15" s="1"/>
  <c r="D475" i="15"/>
  <c r="P475" i="15" s="1"/>
  <c r="D512" i="15"/>
  <c r="P512" i="15" s="1"/>
  <c r="D253" i="15"/>
  <c r="P253" i="15" s="1"/>
  <c r="D420" i="15"/>
  <c r="P420" i="15" s="1"/>
  <c r="D328" i="15"/>
  <c r="P328" i="15" s="1"/>
  <c r="D495" i="15"/>
  <c r="P495" i="15" s="1"/>
  <c r="D236" i="15"/>
  <c r="P236" i="15" s="1"/>
  <c r="D273" i="15"/>
  <c r="P273" i="15" s="1"/>
  <c r="D440" i="15"/>
  <c r="P440" i="15" s="1"/>
  <c r="D478" i="15"/>
  <c r="P478" i="15" s="1"/>
  <c r="E375" i="15"/>
  <c r="E245" i="15"/>
  <c r="D407" i="15"/>
  <c r="P407" i="15" s="1"/>
  <c r="D277" i="15"/>
  <c r="P277" i="15" s="1"/>
  <c r="K471" i="15"/>
  <c r="E385" i="15"/>
  <c r="D260" i="15"/>
  <c r="P260" i="15" s="1"/>
  <c r="D519" i="15"/>
  <c r="P519" i="15" s="1"/>
  <c r="K456" i="15"/>
  <c r="K392" i="15"/>
  <c r="E476" i="15"/>
  <c r="K444" i="15"/>
  <c r="K237" i="15"/>
  <c r="K496" i="15"/>
  <c r="K387" i="15"/>
  <c r="K418" i="15"/>
  <c r="K297" i="15"/>
  <c r="L499" i="14"/>
  <c r="Z104" i="21"/>
  <c r="L810" i="14"/>
  <c r="K492" i="15"/>
  <c r="L807" i="14"/>
  <c r="Y5" i="21"/>
  <c r="L395" i="14"/>
  <c r="L111" i="14"/>
  <c r="T5" i="21"/>
  <c r="L394" i="14"/>
  <c r="L110" i="14"/>
  <c r="L423" i="14"/>
  <c r="L139" i="14"/>
  <c r="L705" i="14"/>
  <c r="L592" i="14"/>
  <c r="J703" i="14"/>
  <c r="J590" i="14"/>
  <c r="L460" i="14"/>
  <c r="L176" i="14"/>
  <c r="J478" i="14"/>
  <c r="J194" i="14"/>
  <c r="R26" i="21"/>
  <c r="I494" i="14" s="1"/>
  <c r="J494" i="14"/>
  <c r="W4" i="21"/>
  <c r="J391" i="14"/>
  <c r="J107" i="14"/>
  <c r="W6" i="21"/>
  <c r="J399" i="14"/>
  <c r="J115" i="14"/>
  <c r="J452" i="14"/>
  <c r="J168" i="14"/>
  <c r="M4" i="21"/>
  <c r="J389" i="14"/>
  <c r="J105" i="14"/>
  <c r="W13" i="21"/>
  <c r="J435" i="14"/>
  <c r="J151" i="14"/>
  <c r="L388" i="14"/>
  <c r="L104" i="14"/>
  <c r="L763" i="14"/>
  <c r="D466" i="15"/>
  <c r="P466" i="15" s="1"/>
  <c r="L619" i="14"/>
  <c r="L506" i="14"/>
  <c r="L686" i="14"/>
  <c r="L573" i="14"/>
  <c r="Y96" i="21"/>
  <c r="L770" i="14"/>
  <c r="L639" i="14"/>
  <c r="L526" i="14"/>
  <c r="L713" i="14"/>
  <c r="D433" i="15"/>
  <c r="P433" i="15" s="1"/>
  <c r="L600" i="14"/>
  <c r="D498" i="15"/>
  <c r="P498" i="15" s="1"/>
  <c r="L816" i="14"/>
  <c r="J686" i="14"/>
  <c r="J573" i="14"/>
  <c r="W70" i="21"/>
  <c r="J665" i="14"/>
  <c r="J552" i="14"/>
  <c r="J698" i="14"/>
  <c r="J585" i="14"/>
  <c r="J622" i="14"/>
  <c r="J509" i="14"/>
  <c r="W97" i="21"/>
  <c r="I774" i="14" s="1"/>
  <c r="J774" i="14"/>
  <c r="L637" i="14"/>
  <c r="L524" i="14"/>
  <c r="L664" i="14"/>
  <c r="L551" i="14"/>
  <c r="L717" i="14"/>
  <c r="L604" i="14"/>
  <c r="J614" i="14"/>
  <c r="J501" i="14"/>
  <c r="L615" i="14"/>
  <c r="L502" i="14"/>
  <c r="Y93" i="21"/>
  <c r="L758" i="14"/>
  <c r="Y74" i="21"/>
  <c r="L689" i="14"/>
  <c r="L576" i="14"/>
  <c r="Y98" i="21"/>
  <c r="L778" i="14"/>
  <c r="E481" i="15"/>
  <c r="E518" i="15"/>
  <c r="E389" i="15"/>
  <c r="E259" i="15"/>
  <c r="E426" i="15"/>
  <c r="E296" i="15"/>
  <c r="E464" i="15"/>
  <c r="E501" i="15"/>
  <c r="E371" i="15"/>
  <c r="E242" i="15"/>
  <c r="E279" i="15"/>
  <c r="E447" i="15"/>
  <c r="E317" i="15"/>
  <c r="E484" i="15"/>
  <c r="E225" i="15"/>
  <c r="E392" i="15"/>
  <c r="E262" i="15"/>
  <c r="E429" i="15"/>
  <c r="E467" i="15"/>
  <c r="D499" i="15"/>
  <c r="P499" i="15" s="1"/>
  <c r="D240" i="15"/>
  <c r="P240" i="15" s="1"/>
  <c r="E396" i="15"/>
  <c r="E266" i="15"/>
  <c r="E466" i="15"/>
  <c r="D380" i="15"/>
  <c r="P380" i="15" s="1"/>
  <c r="K292" i="15"/>
  <c r="K472" i="15"/>
  <c r="K408" i="15"/>
  <c r="K280" i="15"/>
  <c r="E233" i="15"/>
  <c r="E492" i="15"/>
  <c r="K461" i="15"/>
  <c r="K429" i="15"/>
  <c r="K253" i="15"/>
  <c r="K512" i="15"/>
  <c r="K465" i="15"/>
  <c r="K403" i="15"/>
  <c r="K239" i="15"/>
  <c r="K498" i="15"/>
  <c r="K434" i="15"/>
  <c r="H791" i="14"/>
  <c r="M791" i="14"/>
  <c r="K791" i="14"/>
  <c r="K787" i="14"/>
  <c r="Q837" i="14"/>
  <c r="Q818" i="14"/>
  <c r="Q754" i="14"/>
  <c r="K776" i="14"/>
  <c r="M780" i="14"/>
  <c r="K780" i="14"/>
  <c r="H780" i="14"/>
  <c r="H783" i="14"/>
  <c r="K783" i="14"/>
  <c r="M783" i="14"/>
  <c r="Q814" i="14"/>
  <c r="O749" i="14"/>
  <c r="Q750" i="14"/>
  <c r="K772" i="14"/>
  <c r="Q822" i="14"/>
  <c r="Q758" i="14"/>
  <c r="H779" i="14"/>
  <c r="K779" i="14"/>
  <c r="M779" i="14"/>
  <c r="Q810" i="14"/>
  <c r="O745" i="14"/>
  <c r="Q746" i="14"/>
  <c r="M832" i="14"/>
  <c r="K832" i="14"/>
  <c r="M768" i="14"/>
  <c r="Q806" i="14"/>
  <c r="O741" i="14"/>
  <c r="Q742" i="14"/>
  <c r="K828" i="14"/>
  <c r="H828" i="14"/>
  <c r="M764" i="14"/>
  <c r="K764" i="14"/>
  <c r="H764" i="14"/>
  <c r="M775" i="14"/>
  <c r="H835" i="14"/>
  <c r="M835" i="14"/>
  <c r="K835" i="14"/>
  <c r="Q802" i="14"/>
  <c r="Q738" i="14"/>
  <c r="M824" i="14"/>
  <c r="K824" i="14"/>
  <c r="H824" i="14"/>
  <c r="M760" i="14"/>
  <c r="K760" i="14"/>
  <c r="H831" i="14"/>
  <c r="Q798" i="14"/>
  <c r="Q734" i="14"/>
  <c r="Q794" i="14"/>
  <c r="Q730" i="14"/>
  <c r="K763" i="14"/>
  <c r="M763" i="14"/>
  <c r="H823" i="14"/>
  <c r="K823" i="14"/>
  <c r="H759" i="14"/>
  <c r="Q790" i="14"/>
  <c r="H819" i="14"/>
  <c r="K819" i="14"/>
  <c r="O785" i="14"/>
  <c r="Q786" i="14"/>
  <c r="M744" i="14"/>
  <c r="K744" i="14"/>
  <c r="H744" i="14"/>
  <c r="K751" i="14"/>
  <c r="O781" i="14"/>
  <c r="Q782" i="14"/>
  <c r="M740" i="14"/>
  <c r="K740" i="14"/>
  <c r="H740" i="14"/>
  <c r="K811" i="14"/>
  <c r="M747" i="14"/>
  <c r="Q778" i="14"/>
  <c r="K736" i="14"/>
  <c r="H743" i="14"/>
  <c r="K743" i="14"/>
  <c r="M743" i="14"/>
  <c r="Q774" i="14"/>
  <c r="M796" i="14"/>
  <c r="H739" i="14"/>
  <c r="M739" i="14"/>
  <c r="K739" i="14"/>
  <c r="Q834" i="14"/>
  <c r="Q770" i="14"/>
  <c r="M792" i="14"/>
  <c r="H799" i="14"/>
  <c r="Q830" i="14"/>
  <c r="Q766" i="14"/>
  <c r="K788" i="14"/>
  <c r="H735" i="14"/>
  <c r="H731" i="14"/>
  <c r="M731" i="14"/>
  <c r="Q826" i="14"/>
  <c r="Q762" i="14"/>
  <c r="M784" i="14"/>
  <c r="K784" i="14"/>
  <c r="H784" i="14"/>
  <c r="Q717" i="14"/>
  <c r="Q653" i="14"/>
  <c r="Q713" i="14"/>
  <c r="Q649" i="14"/>
  <c r="M671" i="14"/>
  <c r="K671" i="14"/>
  <c r="H671" i="14"/>
  <c r="K614" i="14"/>
  <c r="H614" i="14"/>
  <c r="M614" i="14"/>
  <c r="O708" i="14"/>
  <c r="Q709" i="14"/>
  <c r="Q645" i="14"/>
  <c r="M667" i="14"/>
  <c r="K667" i="14"/>
  <c r="H667" i="14"/>
  <c r="Q724" i="14"/>
  <c r="Q705" i="14"/>
  <c r="Q641" i="14"/>
  <c r="H666" i="14"/>
  <c r="M666" i="14"/>
  <c r="K666" i="14"/>
  <c r="O696" i="14"/>
  <c r="Q697" i="14"/>
  <c r="O632" i="14"/>
  <c r="Q633" i="14"/>
  <c r="H670" i="14"/>
  <c r="K670" i="14"/>
  <c r="M670" i="14"/>
  <c r="Q693" i="14"/>
  <c r="O628" i="14"/>
  <c r="Q629" i="14"/>
  <c r="Q689" i="14"/>
  <c r="Q625" i="14"/>
  <c r="Q685" i="14"/>
  <c r="Q621" i="14"/>
  <c r="Q637" i="14"/>
  <c r="Q681" i="14"/>
  <c r="Q617" i="14"/>
  <c r="Q701" i="14"/>
  <c r="Q677" i="14"/>
  <c r="M631" i="14"/>
  <c r="K631" i="14"/>
  <c r="H631" i="14"/>
  <c r="O668" i="14"/>
  <c r="Q669" i="14"/>
  <c r="M627" i="14"/>
  <c r="K627" i="14"/>
  <c r="H627" i="14"/>
  <c r="Q665" i="14"/>
  <c r="K630" i="14"/>
  <c r="H630" i="14"/>
  <c r="M630" i="14"/>
  <c r="Q661" i="14"/>
  <c r="O672" i="14"/>
  <c r="Q673" i="14"/>
  <c r="K626" i="14"/>
  <c r="H626" i="14"/>
  <c r="M626" i="14"/>
  <c r="Q721" i="14"/>
  <c r="Q657" i="14"/>
  <c r="O583" i="14"/>
  <c r="Q584" i="14"/>
  <c r="O519" i="14"/>
  <c r="Q520" i="14"/>
  <c r="Q580" i="14"/>
  <c r="O515" i="14"/>
  <c r="Q516" i="14"/>
  <c r="Q572" i="14"/>
  <c r="Q508" i="14"/>
  <c r="Q568" i="14"/>
  <c r="Q504" i="14"/>
  <c r="Q512" i="14"/>
  <c r="O563" i="14"/>
  <c r="Q564" i="14"/>
  <c r="Q588" i="14"/>
  <c r="O559" i="14"/>
  <c r="Q560" i="14"/>
  <c r="M518" i="14"/>
  <c r="K518" i="14"/>
  <c r="H518" i="14"/>
  <c r="Q576" i="14"/>
  <c r="O555" i="14"/>
  <c r="Q556" i="14"/>
  <c r="M514" i="14"/>
  <c r="K514" i="14"/>
  <c r="H514" i="14"/>
  <c r="Q552" i="14"/>
  <c r="O523" i="14"/>
  <c r="Q524" i="14"/>
  <c r="Q611" i="14"/>
  <c r="Q548" i="14"/>
  <c r="Q608" i="14"/>
  <c r="Q604" i="14"/>
  <c r="Q540" i="14"/>
  <c r="Q600" i="14"/>
  <c r="Q536" i="14"/>
  <c r="M558" i="14"/>
  <c r="K558" i="14"/>
  <c r="H558" i="14"/>
  <c r="Q544" i="14"/>
  <c r="Q596" i="14"/>
  <c r="Q532" i="14"/>
  <c r="M554" i="14"/>
  <c r="K554" i="14"/>
  <c r="H554" i="14"/>
  <c r="Q592" i="14"/>
  <c r="Q528" i="14"/>
  <c r="Q434" i="14"/>
  <c r="Q482" i="14"/>
  <c r="Q402" i="14"/>
  <c r="Q466" i="14"/>
  <c r="Q431" i="14"/>
  <c r="Q415" i="14"/>
  <c r="Q474" i="14"/>
  <c r="Q418" i="14"/>
  <c r="Q399" i="14"/>
  <c r="Q458" i="14"/>
  <c r="Q479" i="14"/>
  <c r="Q450" i="14"/>
  <c r="Q442" i="14"/>
  <c r="Q463" i="14"/>
  <c r="Q447" i="14"/>
  <c r="I426" i="2"/>
  <c r="R8" i="21"/>
  <c r="H23" i="21"/>
  <c r="H8" i="21"/>
  <c r="M23" i="21"/>
  <c r="M8" i="21"/>
  <c r="R23" i="21"/>
  <c r="H420" i="2"/>
  <c r="H428" i="2"/>
  <c r="H418" i="2"/>
  <c r="I423" i="2"/>
  <c r="H421" i="2"/>
  <c r="H424" i="2"/>
  <c r="H16" i="21"/>
  <c r="R16" i="21"/>
  <c r="H419" i="2"/>
  <c r="I425" i="2"/>
  <c r="M16" i="21"/>
  <c r="I427" i="2"/>
  <c r="W25" i="21"/>
  <c r="I491" i="14" s="1"/>
  <c r="H10" i="21"/>
  <c r="W10" i="21"/>
  <c r="R41" i="21"/>
  <c r="H51" i="21"/>
  <c r="M88" i="21"/>
  <c r="I728" i="14" s="1"/>
  <c r="M728" i="14" s="1"/>
  <c r="Z88" i="21"/>
  <c r="M33" i="21"/>
  <c r="Y104" i="21"/>
  <c r="H39" i="21"/>
  <c r="M74" i="21"/>
  <c r="R62" i="21"/>
  <c r="M22" i="21"/>
  <c r="H74" i="21"/>
  <c r="M96" i="21"/>
  <c r="I768" i="14" s="1"/>
  <c r="K768" i="14" s="1"/>
  <c r="H102" i="21"/>
  <c r="I799" i="14" s="1"/>
  <c r="M799" i="14" s="1"/>
  <c r="H88" i="21"/>
  <c r="I727" i="14" s="1"/>
  <c r="H727" i="14" s="1"/>
  <c r="H97" i="21"/>
  <c r="I771" i="14" s="1"/>
  <c r="H771" i="14" s="1"/>
  <c r="H92" i="21"/>
  <c r="I751" i="14" s="1"/>
  <c r="M751" i="14" s="1"/>
  <c r="M480" i="2"/>
  <c r="R18" i="21"/>
  <c r="R24" i="21"/>
  <c r="M92" i="21"/>
  <c r="I752" i="14" s="1"/>
  <c r="M752" i="14" s="1"/>
  <c r="M481" i="2"/>
  <c r="M482" i="2"/>
  <c r="M478" i="2"/>
  <c r="H18" i="21"/>
  <c r="W95" i="21"/>
  <c r="I766" i="14" s="1"/>
  <c r="R93" i="21"/>
  <c r="I757" i="14" s="1"/>
  <c r="H24" i="21"/>
  <c r="M24" i="21"/>
  <c r="R74" i="21"/>
  <c r="M71" i="21"/>
  <c r="W24" i="21"/>
  <c r="R80" i="21"/>
  <c r="R101" i="21"/>
  <c r="I797" i="14" s="1"/>
  <c r="M5" i="21"/>
  <c r="H5" i="21"/>
  <c r="W109" i="21"/>
  <c r="I830" i="14" s="1"/>
  <c r="I471" i="2"/>
  <c r="H95" i="21"/>
  <c r="I763" i="14" s="1"/>
  <c r="H763" i="14" s="1"/>
  <c r="W50" i="21"/>
  <c r="H25" i="21"/>
  <c r="I488" i="14" s="1"/>
  <c r="M90" i="21"/>
  <c r="I736" i="14" s="1"/>
  <c r="M736" i="14" s="1"/>
  <c r="H35" i="21"/>
  <c r="H82" i="21"/>
  <c r="M89" i="21"/>
  <c r="I732" i="14" s="1"/>
  <c r="M732" i="14" s="1"/>
  <c r="R13" i="21"/>
  <c r="M20" i="21"/>
  <c r="M32" i="21"/>
  <c r="M72" i="21"/>
  <c r="R67" i="21"/>
  <c r="R110" i="21"/>
  <c r="I833" i="14" s="1"/>
  <c r="H13" i="21"/>
  <c r="M55" i="21"/>
  <c r="W78" i="21"/>
  <c r="H41" i="21"/>
  <c r="M13" i="21"/>
  <c r="M82" i="21"/>
  <c r="W38" i="21"/>
  <c r="M91" i="21"/>
  <c r="I748" i="14" s="1"/>
  <c r="M748" i="14" s="1"/>
  <c r="M14" i="21"/>
  <c r="M35" i="21"/>
  <c r="R25" i="21"/>
  <c r="I490" i="14" s="1"/>
  <c r="H14" i="21"/>
  <c r="M25" i="21"/>
  <c r="I489" i="14" s="1"/>
  <c r="R14" i="21"/>
  <c r="R72" i="21"/>
  <c r="H43" i="21"/>
  <c r="K43" i="21" s="1"/>
  <c r="H108" i="21"/>
  <c r="I823" i="14" s="1"/>
  <c r="M823" i="14" s="1"/>
  <c r="H19" i="21"/>
  <c r="R75" i="21"/>
  <c r="H15" i="21"/>
  <c r="M15" i="21"/>
  <c r="R45" i="21"/>
  <c r="M97" i="21"/>
  <c r="I772" i="14" s="1"/>
  <c r="H772" i="14" s="1"/>
  <c r="R34" i="21"/>
  <c r="M18" i="21"/>
  <c r="M64" i="21"/>
  <c r="M98" i="21"/>
  <c r="I776" i="14" s="1"/>
  <c r="H776" i="14" s="1"/>
  <c r="H53" i="21"/>
  <c r="M47" i="21"/>
  <c r="M53" i="21"/>
  <c r="M38" i="21"/>
  <c r="H47" i="21"/>
  <c r="R78" i="21"/>
  <c r="H80" i="21"/>
  <c r="H34" i="21"/>
  <c r="M27" i="21"/>
  <c r="I497" i="14" s="1"/>
  <c r="R27" i="21"/>
  <c r="I498" i="14" s="1"/>
  <c r="M60" i="21"/>
  <c r="R53" i="21"/>
  <c r="H50" i="21"/>
  <c r="H17" i="21"/>
  <c r="M104" i="21"/>
  <c r="I808" i="14" s="1"/>
  <c r="M808" i="14" s="1"/>
  <c r="M103" i="21"/>
  <c r="I804" i="14" s="1"/>
  <c r="M804" i="14" s="1"/>
  <c r="U43" i="21"/>
  <c r="M17" i="21"/>
  <c r="Z41" i="21"/>
  <c r="M106" i="21"/>
  <c r="I816" i="14" s="1"/>
  <c r="M816" i="14" s="1"/>
  <c r="H106" i="21"/>
  <c r="I815" i="14" s="1"/>
  <c r="K815" i="14" s="1"/>
  <c r="M79" i="21"/>
  <c r="W39" i="21"/>
  <c r="R81" i="21"/>
  <c r="H22" i="21"/>
  <c r="R37" i="21"/>
  <c r="H46" i="21"/>
  <c r="M73" i="21"/>
  <c r="H72" i="21"/>
  <c r="H38" i="21"/>
  <c r="Z72" i="21"/>
  <c r="H20" i="21"/>
  <c r="H61" i="21"/>
  <c r="U71" i="21"/>
  <c r="Y33" i="21"/>
  <c r="M62" i="21"/>
  <c r="R46" i="21"/>
  <c r="R9" i="21"/>
  <c r="H63" i="21"/>
  <c r="R49" i="21"/>
  <c r="M111" i="21"/>
  <c r="I836" i="14" s="1"/>
  <c r="H48" i="21"/>
  <c r="H65" i="21"/>
  <c r="H70" i="21"/>
  <c r="M83" i="21"/>
  <c r="M52" i="21"/>
  <c r="M19" i="21"/>
  <c r="H9" i="21"/>
  <c r="R70" i="21"/>
  <c r="M46" i="21"/>
  <c r="M63" i="21"/>
  <c r="H36" i="21"/>
  <c r="H81" i="21"/>
  <c r="R22" i="21"/>
  <c r="H104" i="21"/>
  <c r="I807" i="14" s="1"/>
  <c r="K807" i="14" s="1"/>
  <c r="M9" i="21"/>
  <c r="M110" i="21"/>
  <c r="I832" i="14" s="1"/>
  <c r="H832" i="14" s="1"/>
  <c r="Z91" i="21"/>
  <c r="T32" i="21"/>
  <c r="M49" i="21"/>
  <c r="R19" i="21"/>
  <c r="W22" i="21"/>
  <c r="R42" i="21"/>
  <c r="H49" i="21"/>
  <c r="Z51" i="21"/>
  <c r="M48" i="21"/>
  <c r="H26" i="21"/>
  <c r="I492" i="14" s="1"/>
  <c r="W11" i="21"/>
  <c r="W110" i="21"/>
  <c r="I834" i="14" s="1"/>
  <c r="M26" i="21"/>
  <c r="I493" i="14" s="1"/>
  <c r="R52" i="21"/>
  <c r="W26" i="21"/>
  <c r="I495" i="14" s="1"/>
  <c r="R11" i="21"/>
  <c r="R36" i="21"/>
  <c r="U63" i="21"/>
  <c r="H69" i="21"/>
  <c r="R83" i="21"/>
  <c r="M65" i="21"/>
  <c r="H11" i="21"/>
  <c r="Z37" i="21"/>
  <c r="M81" i="21"/>
  <c r="M77" i="21"/>
  <c r="M11" i="21"/>
  <c r="R69" i="21"/>
  <c r="H103" i="21"/>
  <c r="I803" i="14" s="1"/>
  <c r="H803" i="14" s="1"/>
  <c r="M75" i="21"/>
  <c r="R77" i="21"/>
  <c r="H77" i="21"/>
  <c r="M44" i="21"/>
  <c r="H32" i="21"/>
  <c r="R44" i="21"/>
  <c r="H89" i="21"/>
  <c r="I731" i="14" s="1"/>
  <c r="K731" i="14" s="1"/>
  <c r="Z89" i="21"/>
  <c r="W81" i="21"/>
  <c r="M99" i="21"/>
  <c r="I788" i="14" s="1"/>
  <c r="M788" i="14" s="1"/>
  <c r="H75" i="21"/>
  <c r="Z107" i="21"/>
  <c r="M42" i="21"/>
  <c r="R90" i="21"/>
  <c r="I737" i="14" s="1"/>
  <c r="T35" i="21"/>
  <c r="U35" i="21"/>
  <c r="R95" i="21"/>
  <c r="I765" i="14" s="1"/>
  <c r="Z103" i="21"/>
  <c r="Y103" i="21"/>
  <c r="Y49" i="21"/>
  <c r="Z49" i="21"/>
  <c r="Z105" i="21"/>
  <c r="Y105" i="21"/>
  <c r="T48" i="21"/>
  <c r="U48" i="21"/>
  <c r="Z99" i="21"/>
  <c r="Y99" i="21"/>
  <c r="Y46" i="21"/>
  <c r="Z46" i="21"/>
  <c r="H78" i="21"/>
  <c r="H90" i="21"/>
  <c r="I735" i="14" s="1"/>
  <c r="K735" i="14" s="1"/>
  <c r="M105" i="21"/>
  <c r="I812" i="14" s="1"/>
  <c r="M812" i="14" s="1"/>
  <c r="H105" i="21"/>
  <c r="I811" i="14" s="1"/>
  <c r="H811" i="14" s="1"/>
  <c r="Z42" i="21"/>
  <c r="Y42" i="21"/>
  <c r="Z62" i="21"/>
  <c r="Y62" i="21"/>
  <c r="M69" i="21"/>
  <c r="R103" i="21"/>
  <c r="I805" i="14" s="1"/>
  <c r="M41" i="21"/>
  <c r="R47" i="21"/>
  <c r="R105" i="21"/>
  <c r="I813" i="14" s="1"/>
  <c r="Z47" i="21"/>
  <c r="Y47" i="21"/>
  <c r="T91" i="21"/>
  <c r="U91" i="21"/>
  <c r="H98" i="21"/>
  <c r="I775" i="14" s="1"/>
  <c r="H775" i="14" s="1"/>
  <c r="T33" i="21"/>
  <c r="U33" i="21"/>
  <c r="Y75" i="21"/>
  <c r="Z75" i="21"/>
  <c r="R111" i="21"/>
  <c r="I837" i="14" s="1"/>
  <c r="M78" i="21"/>
  <c r="Z32" i="21"/>
  <c r="Y32" i="21"/>
  <c r="W108" i="21"/>
  <c r="I826" i="14" s="1"/>
  <c r="Z79" i="21"/>
  <c r="Y79" i="21"/>
  <c r="Z35" i="21"/>
  <c r="Y35" i="21"/>
  <c r="Y92" i="21"/>
  <c r="Z92" i="21"/>
  <c r="H62" i="21"/>
  <c r="H33" i="21"/>
  <c r="R79" i="21"/>
  <c r="Z90" i="21"/>
  <c r="Y90" i="21"/>
  <c r="H99" i="21"/>
  <c r="I787" i="14" s="1"/>
  <c r="H787" i="14" s="1"/>
  <c r="H79" i="21"/>
  <c r="Y48" i="21"/>
  <c r="Z48" i="21"/>
  <c r="H42" i="21"/>
  <c r="Y63" i="21"/>
  <c r="Z63" i="21"/>
  <c r="U61" i="21"/>
  <c r="T61" i="21"/>
  <c r="Z71" i="21"/>
  <c r="U89" i="21"/>
  <c r="T89" i="21"/>
  <c r="R108" i="21"/>
  <c r="I825" i="14" s="1"/>
  <c r="U96" i="21"/>
  <c r="W66" i="21"/>
  <c r="H93" i="21"/>
  <c r="I755" i="14" s="1"/>
  <c r="H755" i="14" s="1"/>
  <c r="H76" i="21"/>
  <c r="H67" i="21"/>
  <c r="Z100" i="21"/>
  <c r="Z61" i="21"/>
  <c r="H66" i="21"/>
  <c r="M80" i="21"/>
  <c r="U76" i="21"/>
  <c r="R102" i="21"/>
  <c r="I801" i="14" s="1"/>
  <c r="Z76" i="21"/>
  <c r="Z60" i="21"/>
  <c r="R94" i="21"/>
  <c r="I761" i="14" s="1"/>
  <c r="R100" i="21"/>
  <c r="I793" i="14" s="1"/>
  <c r="H101" i="21"/>
  <c r="I795" i="14" s="1"/>
  <c r="H795" i="14" s="1"/>
  <c r="M76" i="21"/>
  <c r="Z74" i="21"/>
  <c r="M101" i="21"/>
  <c r="I796" i="14" s="1"/>
  <c r="K796" i="14" s="1"/>
  <c r="R65" i="21"/>
  <c r="H73" i="21"/>
  <c r="Z102" i="21"/>
  <c r="Z97" i="21"/>
  <c r="H110" i="21"/>
  <c r="I831" i="14" s="1"/>
  <c r="K831" i="14" s="1"/>
  <c r="M109" i="21"/>
  <c r="I828" i="14" s="1"/>
  <c r="M828" i="14" s="1"/>
  <c r="R97" i="21"/>
  <c r="I773" i="14" s="1"/>
  <c r="Z68" i="21"/>
  <c r="M68" i="21"/>
  <c r="W82" i="21"/>
  <c r="Z93" i="21"/>
  <c r="M102" i="21"/>
  <c r="I800" i="14" s="1"/>
  <c r="M800" i="14" s="1"/>
  <c r="W80" i="21"/>
  <c r="U104" i="21"/>
  <c r="Z70" i="21"/>
  <c r="Z65" i="21"/>
  <c r="R109" i="21"/>
  <c r="I829" i="14" s="1"/>
  <c r="H94" i="21"/>
  <c r="I759" i="14" s="1"/>
  <c r="K759" i="14" s="1"/>
  <c r="U68" i="21"/>
  <c r="R107" i="21"/>
  <c r="I821" i="14" s="1"/>
  <c r="M107" i="21"/>
  <c r="I820" i="14" s="1"/>
  <c r="M820" i="14" s="1"/>
  <c r="R82" i="21"/>
  <c r="Z101" i="21"/>
  <c r="W67" i="21"/>
  <c r="M94" i="21"/>
  <c r="I760" i="14" s="1"/>
  <c r="H760" i="14" s="1"/>
  <c r="M66" i="21"/>
  <c r="M100" i="21"/>
  <c r="I792" i="14" s="1"/>
  <c r="K792" i="14" s="1"/>
  <c r="Z96" i="21"/>
  <c r="M93" i="21"/>
  <c r="I756" i="14" s="1"/>
  <c r="K756" i="14" s="1"/>
  <c r="H109" i="21"/>
  <c r="I827" i="14" s="1"/>
  <c r="H827" i="14" s="1"/>
  <c r="M67" i="21"/>
  <c r="H68" i="21"/>
  <c r="H91" i="21"/>
  <c r="I747" i="14" s="1"/>
  <c r="H747" i="14" s="1"/>
  <c r="H71" i="21"/>
  <c r="Z64" i="21"/>
  <c r="Z73" i="21"/>
  <c r="Z77" i="21"/>
  <c r="R66" i="21"/>
  <c r="H107" i="21"/>
  <c r="I819" i="14" s="1"/>
  <c r="M819" i="14" s="1"/>
  <c r="U60" i="21"/>
  <c r="R64" i="21"/>
  <c r="H64" i="21"/>
  <c r="U88" i="21"/>
  <c r="H96" i="21"/>
  <c r="I767" i="14" s="1"/>
  <c r="H767" i="14" s="1"/>
  <c r="M39" i="21"/>
  <c r="R51" i="21"/>
  <c r="M36" i="21"/>
  <c r="Z44" i="21"/>
  <c r="Z43" i="21"/>
  <c r="Z40" i="21"/>
  <c r="R54" i="21"/>
  <c r="M51" i="21"/>
  <c r="R39" i="21"/>
  <c r="M37" i="21"/>
  <c r="Z34" i="21"/>
  <c r="W54" i="21"/>
  <c r="Z36" i="21"/>
  <c r="M45" i="21"/>
  <c r="H52" i="21"/>
  <c r="U40" i="21"/>
  <c r="M54" i="21"/>
  <c r="R38" i="21"/>
  <c r="M50" i="21"/>
  <c r="Z45" i="21"/>
  <c r="M40" i="21"/>
  <c r="W53" i="21"/>
  <c r="H40" i="21"/>
  <c r="R55" i="21"/>
  <c r="R50" i="21"/>
  <c r="H37" i="21"/>
  <c r="U4" i="21"/>
  <c r="O616" i="14" s="1"/>
  <c r="Z4" i="21"/>
  <c r="Z20" i="21"/>
  <c r="Z18" i="21"/>
  <c r="U21" i="21"/>
  <c r="K21" i="21"/>
  <c r="Z16" i="21"/>
  <c r="P12" i="21"/>
  <c r="Z23" i="21"/>
  <c r="P21" i="21"/>
  <c r="Z14" i="21"/>
  <c r="U20" i="21"/>
  <c r="O809" i="14" s="1"/>
  <c r="Z7" i="21"/>
  <c r="U7" i="21"/>
  <c r="Z12" i="21"/>
  <c r="Z17" i="21"/>
  <c r="Z5" i="21"/>
  <c r="U5" i="21"/>
  <c r="O620" i="14" s="1"/>
  <c r="U15" i="21"/>
  <c r="Z8" i="21"/>
  <c r="Z6" i="21"/>
  <c r="U12" i="21"/>
  <c r="O656" i="14" s="1"/>
  <c r="Z9" i="21"/>
  <c r="P7" i="21"/>
  <c r="K7" i="21"/>
  <c r="Z15" i="21"/>
  <c r="P4" i="21"/>
  <c r="U23" i="21"/>
  <c r="Z21" i="21"/>
  <c r="Z19" i="21"/>
  <c r="Z13" i="21"/>
  <c r="K4" i="21"/>
  <c r="L317" i="14"/>
  <c r="W5" i="19"/>
  <c r="O333" i="14"/>
  <c r="W9" i="19"/>
  <c r="L349" i="14"/>
  <c r="W13" i="19"/>
  <c r="O365" i="14"/>
  <c r="W17" i="19"/>
  <c r="L381" i="14"/>
  <c r="W21" i="19"/>
  <c r="L382" i="14"/>
  <c r="L367" i="14"/>
  <c r="J380" i="14"/>
  <c r="L350" i="14"/>
  <c r="L335" i="14"/>
  <c r="L351" i="14"/>
  <c r="M14" i="19"/>
  <c r="L320" i="14"/>
  <c r="R6" i="19"/>
  <c r="L352" i="14"/>
  <c r="R14" i="19"/>
  <c r="L384" i="14"/>
  <c r="P9" i="19"/>
  <c r="R9" i="19"/>
  <c r="L318" i="14"/>
  <c r="L319" i="14"/>
  <c r="L383" i="14"/>
  <c r="L336" i="14"/>
  <c r="R10" i="19"/>
  <c r="L368" i="14"/>
  <c r="R18" i="19"/>
  <c r="I321" i="14"/>
  <c r="W6" i="19"/>
  <c r="O337" i="14"/>
  <c r="W10" i="19"/>
  <c r="L353" i="14"/>
  <c r="W14" i="19"/>
  <c r="O369" i="14"/>
  <c r="W18" i="19"/>
  <c r="I385" i="14"/>
  <c r="W22" i="19"/>
  <c r="K11" i="19"/>
  <c r="I339" i="14" s="1"/>
  <c r="J355" i="14"/>
  <c r="J371" i="14"/>
  <c r="L316" i="14"/>
  <c r="R5" i="19"/>
  <c r="F3" i="19"/>
  <c r="X3" i="19" s="1"/>
  <c r="J323" i="14"/>
  <c r="O308" i="14"/>
  <c r="R3" i="19"/>
  <c r="O340" i="14"/>
  <c r="R11" i="19"/>
  <c r="O356" i="14"/>
  <c r="R15" i="19"/>
  <c r="O372" i="14"/>
  <c r="R19" i="19"/>
  <c r="I309" i="14"/>
  <c r="W3" i="19"/>
  <c r="L325" i="14"/>
  <c r="W7" i="19"/>
  <c r="I341" i="14"/>
  <c r="W11" i="19"/>
  <c r="U15" i="19"/>
  <c r="W15" i="19"/>
  <c r="I373" i="14"/>
  <c r="W19" i="19"/>
  <c r="J310" i="14"/>
  <c r="L364" i="14"/>
  <c r="J322" i="14"/>
  <c r="L326" i="14"/>
  <c r="J343" i="14"/>
  <c r="K16" i="19"/>
  <c r="I359" i="14" s="1"/>
  <c r="K20" i="19"/>
  <c r="I375" i="14" s="1"/>
  <c r="F16" i="19"/>
  <c r="I358" i="14" s="1"/>
  <c r="H358" i="14" s="1"/>
  <c r="J311" i="14"/>
  <c r="P8" i="19"/>
  <c r="R8" i="19"/>
  <c r="I360" i="14"/>
  <c r="R16" i="19"/>
  <c r="L376" i="14"/>
  <c r="L348" i="14"/>
  <c r="R13" i="19"/>
  <c r="J338" i="14"/>
  <c r="J327" i="14"/>
  <c r="P4" i="19"/>
  <c r="R4" i="19"/>
  <c r="O313" i="14"/>
  <c r="W4" i="19"/>
  <c r="O329" i="14"/>
  <c r="W8" i="19"/>
  <c r="J361" i="14"/>
  <c r="W16" i="19"/>
  <c r="U20" i="19"/>
  <c r="W20" i="19"/>
  <c r="J370" i="14"/>
  <c r="J374" i="14"/>
  <c r="J314" i="14"/>
  <c r="L330" i="14"/>
  <c r="J346" i="14"/>
  <c r="J362" i="14"/>
  <c r="L378" i="14"/>
  <c r="J354" i="14"/>
  <c r="J342" i="14"/>
  <c r="J315" i="14"/>
  <c r="K9" i="19"/>
  <c r="I331" i="14" s="1"/>
  <c r="J347" i="14"/>
  <c r="K17" i="19"/>
  <c r="I363" i="14" s="1"/>
  <c r="J379" i="14"/>
  <c r="K21" i="19"/>
  <c r="I379" i="14" s="1"/>
  <c r="F20" i="19"/>
  <c r="I374" i="14" s="1"/>
  <c r="H374" i="14" s="1"/>
  <c r="U13" i="19"/>
  <c r="L361" i="14"/>
  <c r="K188" i="15"/>
  <c r="L371" i="14"/>
  <c r="U18" i="19"/>
  <c r="J326" i="14"/>
  <c r="E215" i="15"/>
  <c r="P5" i="19"/>
  <c r="U3" i="19"/>
  <c r="J375" i="14"/>
  <c r="U19" i="19"/>
  <c r="U16" i="19"/>
  <c r="I307" i="14"/>
  <c r="I337" i="14"/>
  <c r="L308" i="14"/>
  <c r="I317" i="14"/>
  <c r="J337" i="14"/>
  <c r="L313" i="14"/>
  <c r="L362" i="14"/>
  <c r="K187" i="15"/>
  <c r="E216" i="15"/>
  <c r="I308" i="14"/>
  <c r="J317" i="14"/>
  <c r="I348" i="14"/>
  <c r="O357" i="14"/>
  <c r="L314" i="14"/>
  <c r="L363" i="14"/>
  <c r="K186" i="15"/>
  <c r="F4" i="19"/>
  <c r="I310" i="14" s="1"/>
  <c r="H310" i="14" s="1"/>
  <c r="J308" i="14"/>
  <c r="L315" i="14"/>
  <c r="E182" i="15"/>
  <c r="I349" i="14"/>
  <c r="I369" i="14"/>
  <c r="J378" i="14"/>
  <c r="L323" i="14"/>
  <c r="L372" i="14"/>
  <c r="E183" i="15"/>
  <c r="J309" i="14"/>
  <c r="J330" i="14"/>
  <c r="I340" i="14"/>
  <c r="J349" i="14"/>
  <c r="J369" i="14"/>
  <c r="L324" i="14"/>
  <c r="L377" i="14"/>
  <c r="E184" i="15"/>
  <c r="O309" i="14"/>
  <c r="J340" i="14"/>
  <c r="J359" i="14"/>
  <c r="L329" i="14"/>
  <c r="K220" i="15"/>
  <c r="E192" i="15"/>
  <c r="J321" i="14"/>
  <c r="L379" i="14"/>
  <c r="K219" i="15"/>
  <c r="E193" i="15"/>
  <c r="U7" i="19"/>
  <c r="O321" i="14"/>
  <c r="J341" i="14"/>
  <c r="J381" i="14"/>
  <c r="L331" i="14"/>
  <c r="K218" i="15"/>
  <c r="E194" i="15"/>
  <c r="J332" i="14"/>
  <c r="O341" i="14"/>
  <c r="I372" i="14"/>
  <c r="O381" i="14"/>
  <c r="L339" i="14"/>
  <c r="K214" i="15"/>
  <c r="E198" i="15"/>
  <c r="O332" i="14"/>
  <c r="I353" i="14"/>
  <c r="J372" i="14"/>
  <c r="L340" i="14"/>
  <c r="K213" i="15"/>
  <c r="E199" i="15"/>
  <c r="F8" i="19"/>
  <c r="I326" i="14" s="1"/>
  <c r="J353" i="14"/>
  <c r="L345" i="14"/>
  <c r="K204" i="15"/>
  <c r="E200" i="15"/>
  <c r="O353" i="14"/>
  <c r="J373" i="14"/>
  <c r="L346" i="14"/>
  <c r="K203" i="15"/>
  <c r="E208" i="15"/>
  <c r="O373" i="14"/>
  <c r="L347" i="14"/>
  <c r="K202" i="15"/>
  <c r="E209" i="15"/>
  <c r="P17" i="19"/>
  <c r="I364" i="14" s="1"/>
  <c r="J364" i="14"/>
  <c r="J385" i="14"/>
  <c r="L355" i="14"/>
  <c r="E210" i="15"/>
  <c r="I316" i="14"/>
  <c r="L307" i="14"/>
  <c r="L356" i="14"/>
  <c r="K197" i="15"/>
  <c r="I325" i="14"/>
  <c r="J307" i="14"/>
  <c r="J316" i="14"/>
  <c r="J325" i="14"/>
  <c r="J334" i="14"/>
  <c r="J348" i="14"/>
  <c r="O352" i="14"/>
  <c r="I357" i="14"/>
  <c r="O361" i="14"/>
  <c r="J366" i="14"/>
  <c r="O385" i="14"/>
  <c r="L321" i="14"/>
  <c r="L337" i="14"/>
  <c r="L369" i="14"/>
  <c r="L385" i="14"/>
  <c r="K222" i="15"/>
  <c r="K206" i="15"/>
  <c r="K190" i="15"/>
  <c r="J350" i="14"/>
  <c r="I328" i="14"/>
  <c r="J383" i="14"/>
  <c r="O307" i="14"/>
  <c r="I312" i="14"/>
  <c r="O316" i="14"/>
  <c r="O325" i="14"/>
  <c r="J339" i="14"/>
  <c r="I344" i="14"/>
  <c r="O348" i="14"/>
  <c r="J357" i="14"/>
  <c r="I381" i="14"/>
  <c r="L306" i="14"/>
  <c r="L322" i="14"/>
  <c r="L338" i="14"/>
  <c r="L354" i="14"/>
  <c r="L370" i="14"/>
  <c r="K221" i="15"/>
  <c r="K205" i="15"/>
  <c r="K189" i="15"/>
  <c r="E191" i="15"/>
  <c r="E207" i="15"/>
  <c r="E223" i="15"/>
  <c r="J376" i="14"/>
  <c r="I377" i="14"/>
  <c r="L373" i="14"/>
  <c r="O312" i="14"/>
  <c r="O344" i="14"/>
  <c r="L309" i="14"/>
  <c r="L357" i="14"/>
  <c r="I313" i="14"/>
  <c r="O317" i="14"/>
  <c r="J331" i="14"/>
  <c r="I336" i="14"/>
  <c r="I345" i="14"/>
  <c r="O349" i="14"/>
  <c r="J358" i="14"/>
  <c r="I368" i="14"/>
  <c r="J377" i="14"/>
  <c r="L310" i="14"/>
  <c r="L342" i="14"/>
  <c r="L358" i="14"/>
  <c r="L374" i="14"/>
  <c r="K217" i="15"/>
  <c r="K201" i="15"/>
  <c r="K185" i="15"/>
  <c r="E195" i="15"/>
  <c r="E211" i="15"/>
  <c r="J335" i="14"/>
  <c r="L341" i="14"/>
  <c r="P16" i="19"/>
  <c r="J313" i="14"/>
  <c r="J336" i="14"/>
  <c r="J345" i="14"/>
  <c r="J363" i="14"/>
  <c r="J368" i="14"/>
  <c r="O377" i="14"/>
  <c r="J382" i="14"/>
  <c r="L311" i="14"/>
  <c r="L327" i="14"/>
  <c r="L343" i="14"/>
  <c r="L359" i="14"/>
  <c r="L375" i="14"/>
  <c r="E196" i="15"/>
  <c r="E212" i="15"/>
  <c r="J344" i="14"/>
  <c r="J367" i="14"/>
  <c r="K4" i="19"/>
  <c r="I311" i="14" s="1"/>
  <c r="K8" i="19"/>
  <c r="F12" i="19"/>
  <c r="I342" i="14" s="1"/>
  <c r="H342" i="14" s="1"/>
  <c r="P20" i="19"/>
  <c r="I332" i="14"/>
  <c r="O336" i="14"/>
  <c r="O345" i="14"/>
  <c r="O368" i="14"/>
  <c r="L312" i="14"/>
  <c r="L328" i="14"/>
  <c r="L344" i="14"/>
  <c r="L360" i="14"/>
  <c r="K5" i="19"/>
  <c r="I315" i="14" s="1"/>
  <c r="J319" i="14"/>
  <c r="I324" i="14"/>
  <c r="O328" i="14"/>
  <c r="I333" i="14"/>
  <c r="J351" i="14"/>
  <c r="J360" i="14"/>
  <c r="I365" i="14"/>
  <c r="L332" i="14"/>
  <c r="L380" i="14"/>
  <c r="U12" i="19"/>
  <c r="J328" i="14"/>
  <c r="I351" i="14"/>
  <c r="M351" i="14" s="1"/>
  <c r="J324" i="14"/>
  <c r="J333" i="14"/>
  <c r="O351" i="14"/>
  <c r="I356" i="14"/>
  <c r="O360" i="14"/>
  <c r="J365" i="14"/>
  <c r="J384" i="14"/>
  <c r="L333" i="14"/>
  <c r="L365" i="14"/>
  <c r="J318" i="14"/>
  <c r="J306" i="14"/>
  <c r="I320" i="14"/>
  <c r="O324" i="14"/>
  <c r="I329" i="14"/>
  <c r="J356" i="14"/>
  <c r="L334" i="14"/>
  <c r="L366" i="14"/>
  <c r="U8" i="19"/>
  <c r="F9" i="19"/>
  <c r="I330" i="14" s="1"/>
  <c r="J320" i="14"/>
  <c r="J329" i="14"/>
  <c r="I352" i="14"/>
  <c r="I361" i="14"/>
  <c r="J312" i="14"/>
  <c r="P12" i="19"/>
  <c r="O320" i="14"/>
  <c r="J352" i="14"/>
  <c r="P311" i="14"/>
  <c r="P327" i="14"/>
  <c r="P343" i="14"/>
  <c r="P359" i="14"/>
  <c r="P375" i="14"/>
  <c r="P307" i="14"/>
  <c r="P323" i="14"/>
  <c r="P339" i="14"/>
  <c r="P355" i="14"/>
  <c r="P371" i="14"/>
  <c r="P331" i="14"/>
  <c r="P347" i="14"/>
  <c r="P363" i="14"/>
  <c r="P379" i="14"/>
  <c r="P315" i="14"/>
  <c r="F14" i="19"/>
  <c r="I350" i="14" s="1"/>
  <c r="F19" i="19"/>
  <c r="I370" i="14" s="1"/>
  <c r="F17" i="19"/>
  <c r="I362" i="14" s="1"/>
  <c r="F11" i="19"/>
  <c r="F15" i="19"/>
  <c r="K15" i="19"/>
  <c r="I355" i="14" s="1"/>
  <c r="P7" i="19"/>
  <c r="U5" i="19"/>
  <c r="F21" i="19"/>
  <c r="F5" i="19"/>
  <c r="U9" i="19"/>
  <c r="P13" i="19"/>
  <c r="F6" i="19"/>
  <c r="I318" i="14" s="1"/>
  <c r="F22" i="19"/>
  <c r="K6" i="19"/>
  <c r="I319" i="14" s="1"/>
  <c r="K12" i="19"/>
  <c r="U10" i="19"/>
  <c r="P14" i="19"/>
  <c r="K18" i="19"/>
  <c r="I367" i="14" s="1"/>
  <c r="M367" i="14" s="1"/>
  <c r="K3" i="19"/>
  <c r="U11" i="19"/>
  <c r="P15" i="19"/>
  <c r="K19" i="19"/>
  <c r="F7" i="19"/>
  <c r="I322" i="14" s="1"/>
  <c r="K22" i="19"/>
  <c r="I383" i="14" s="1"/>
  <c r="M383" i="14" s="1"/>
  <c r="F10" i="19"/>
  <c r="I334" i="14" s="1"/>
  <c r="U14" i="19"/>
  <c r="P18" i="19"/>
  <c r="P3" i="19"/>
  <c r="K7" i="19"/>
  <c r="I323" i="14" s="1"/>
  <c r="P21" i="19"/>
  <c r="I380" i="14" s="1"/>
  <c r="F13" i="19"/>
  <c r="I346" i="14" s="1"/>
  <c r="U17" i="19"/>
  <c r="P6" i="19"/>
  <c r="K10" i="19"/>
  <c r="I335" i="14" s="1"/>
  <c r="M335" i="14" s="1"/>
  <c r="P22" i="19"/>
  <c r="I384" i="14" s="1"/>
  <c r="U4" i="19"/>
  <c r="K13" i="19"/>
  <c r="I347" i="14" s="1"/>
  <c r="U21" i="19"/>
  <c r="U22" i="19"/>
  <c r="U6" i="19"/>
  <c r="P10" i="19"/>
  <c r="K14" i="19"/>
  <c r="F18" i="19"/>
  <c r="I15" i="14"/>
  <c r="H15" i="14" s="1"/>
  <c r="X5" i="17"/>
  <c r="W5" i="17"/>
  <c r="S5" i="17"/>
  <c r="N5" i="17"/>
  <c r="I5" i="17"/>
  <c r="O15" i="14" s="1"/>
  <c r="L15" i="14"/>
  <c r="P16" i="14"/>
  <c r="J15" i="14"/>
  <c r="D174" i="2"/>
  <c r="D184" i="2" s="1"/>
  <c r="D189" i="2" s="1"/>
  <c r="D175" i="2"/>
  <c r="D185" i="2" s="1"/>
  <c r="D190" i="2" s="1"/>
  <c r="D176" i="2"/>
  <c r="D186" i="2" s="1"/>
  <c r="D191" i="2" s="1"/>
  <c r="D177" i="2"/>
  <c r="D187" i="2" s="1"/>
  <c r="D192" i="2" s="1"/>
  <c r="D178" i="2"/>
  <c r="D188" i="2" s="1"/>
  <c r="D193" i="2" s="1"/>
  <c r="I106" i="14" l="1"/>
  <c r="I390" i="14"/>
  <c r="I398" i="14"/>
  <c r="I114" i="14"/>
  <c r="O399" i="14"/>
  <c r="O115" i="14"/>
  <c r="O455" i="14"/>
  <c r="O171" i="14"/>
  <c r="I695" i="14"/>
  <c r="I582" i="14"/>
  <c r="I595" i="14"/>
  <c r="I708" i="14"/>
  <c r="I691" i="14"/>
  <c r="I578" i="14"/>
  <c r="K493" i="14"/>
  <c r="H493" i="14"/>
  <c r="M493" i="14"/>
  <c r="I478" i="14"/>
  <c r="I194" i="14"/>
  <c r="I418" i="14"/>
  <c r="I134" i="14"/>
  <c r="I707" i="14"/>
  <c r="I594" i="14"/>
  <c r="I704" i="14"/>
  <c r="I591" i="14"/>
  <c r="I432" i="14"/>
  <c r="I148" i="14"/>
  <c r="I392" i="14"/>
  <c r="I108" i="14"/>
  <c r="I486" i="14"/>
  <c r="I202" i="14"/>
  <c r="H788" i="14"/>
  <c r="K747" i="14"/>
  <c r="H751" i="14"/>
  <c r="H756" i="14"/>
  <c r="K775" i="14"/>
  <c r="M772" i="14"/>
  <c r="M776" i="14"/>
  <c r="I395" i="14"/>
  <c r="I111" i="14"/>
  <c r="I725" i="14"/>
  <c r="I612" i="14"/>
  <c r="I649" i="14"/>
  <c r="I536" i="14"/>
  <c r="I464" i="14"/>
  <c r="I180" i="14"/>
  <c r="O450" i="14"/>
  <c r="O166" i="14"/>
  <c r="O474" i="14"/>
  <c r="O190" i="14"/>
  <c r="I622" i="14"/>
  <c r="I509" i="14"/>
  <c r="I660" i="14"/>
  <c r="I547" i="14"/>
  <c r="I427" i="14"/>
  <c r="I143" i="14"/>
  <c r="I623" i="14"/>
  <c r="I510" i="14"/>
  <c r="I680" i="14"/>
  <c r="I567" i="14"/>
  <c r="I652" i="14"/>
  <c r="I539" i="14"/>
  <c r="M539" i="14" s="1"/>
  <c r="I482" i="14"/>
  <c r="I198" i="14"/>
  <c r="O676" i="14"/>
  <c r="M815" i="14"/>
  <c r="M827" i="14"/>
  <c r="M756" i="14"/>
  <c r="I391" i="14"/>
  <c r="I107" i="14"/>
  <c r="I564" i="14"/>
  <c r="I677" i="14"/>
  <c r="I617" i="14"/>
  <c r="I504" i="14"/>
  <c r="I471" i="14"/>
  <c r="I187" i="14"/>
  <c r="I696" i="14"/>
  <c r="I583" i="14"/>
  <c r="M583" i="14" s="1"/>
  <c r="I459" i="14"/>
  <c r="I175" i="14"/>
  <c r="I144" i="14"/>
  <c r="I428" i="14"/>
  <c r="I474" i="14"/>
  <c r="I190" i="14"/>
  <c r="I609" i="14"/>
  <c r="I722" i="14"/>
  <c r="O463" i="14"/>
  <c r="O179" i="14"/>
  <c r="I702" i="14"/>
  <c r="I589" i="14"/>
  <c r="I425" i="14"/>
  <c r="I141" i="14"/>
  <c r="K492" i="14"/>
  <c r="M492" i="14"/>
  <c r="H492" i="14"/>
  <c r="I635" i="14"/>
  <c r="I522" i="14"/>
  <c r="I154" i="14"/>
  <c r="I438" i="14"/>
  <c r="I566" i="14"/>
  <c r="I679" i="14"/>
  <c r="I712" i="14"/>
  <c r="I599" i="14"/>
  <c r="I423" i="14"/>
  <c r="I139" i="14"/>
  <c r="I413" i="14"/>
  <c r="I129" i="14"/>
  <c r="O507" i="14"/>
  <c r="H815" i="14"/>
  <c r="K827" i="14"/>
  <c r="H820" i="14"/>
  <c r="I409" i="14"/>
  <c r="I125" i="14"/>
  <c r="I681" i="14"/>
  <c r="I568" i="14"/>
  <c r="I410" i="14"/>
  <c r="I126" i="14"/>
  <c r="I451" i="14"/>
  <c r="I167" i="14"/>
  <c r="O769" i="14"/>
  <c r="I429" i="14"/>
  <c r="I145" i="14"/>
  <c r="O727" i="14"/>
  <c r="O501" i="14"/>
  <c r="O388" i="14"/>
  <c r="O614" i="14"/>
  <c r="O104" i="14"/>
  <c r="O435" i="14"/>
  <c r="O151" i="14"/>
  <c r="O471" i="14"/>
  <c r="O187" i="14"/>
  <c r="I638" i="14"/>
  <c r="I525" i="14"/>
  <c r="I721" i="14"/>
  <c r="I608" i="14"/>
  <c r="I586" i="14"/>
  <c r="I699" i="14"/>
  <c r="I457" i="14"/>
  <c r="I173" i="14"/>
  <c r="K489" i="14"/>
  <c r="H489" i="14"/>
  <c r="M489" i="14"/>
  <c r="I203" i="14"/>
  <c r="I487" i="14"/>
  <c r="I420" i="14"/>
  <c r="I136" i="14"/>
  <c r="I197" i="14"/>
  <c r="I481" i="14"/>
  <c r="M811" i="14"/>
  <c r="K820" i="14"/>
  <c r="O813" i="14"/>
  <c r="K494" i="14"/>
  <c r="H494" i="14"/>
  <c r="M494" i="14"/>
  <c r="I419" i="14"/>
  <c r="I135" i="14"/>
  <c r="I619" i="14"/>
  <c r="I506" i="14"/>
  <c r="K501" i="14"/>
  <c r="H501" i="14"/>
  <c r="M501" i="14"/>
  <c r="I430" i="14"/>
  <c r="I146" i="14"/>
  <c r="I641" i="14"/>
  <c r="I528" i="14"/>
  <c r="I580" i="14"/>
  <c r="I693" i="14"/>
  <c r="P6" i="21"/>
  <c r="O394" i="14"/>
  <c r="O110" i="14"/>
  <c r="I647" i="14"/>
  <c r="I534" i="14"/>
  <c r="O467" i="14"/>
  <c r="O183" i="14"/>
  <c r="O395" i="14"/>
  <c r="O111" i="14"/>
  <c r="K12" i="21"/>
  <c r="I640" i="14"/>
  <c r="I527" i="14"/>
  <c r="I655" i="14"/>
  <c r="I542" i="14"/>
  <c r="I715" i="14"/>
  <c r="I602" i="14"/>
  <c r="I664" i="14"/>
  <c r="I551" i="14"/>
  <c r="K61" i="21"/>
  <c r="I618" i="14"/>
  <c r="I505" i="14"/>
  <c r="I436" i="14"/>
  <c r="I152" i="14"/>
  <c r="I469" i="14"/>
  <c r="I185" i="14"/>
  <c r="I675" i="14"/>
  <c r="I562" i="14"/>
  <c r="K491" i="14"/>
  <c r="H491" i="14"/>
  <c r="M491" i="14"/>
  <c r="K8" i="21"/>
  <c r="I412" i="14"/>
  <c r="I128" i="14"/>
  <c r="M807" i="14"/>
  <c r="H748" i="14"/>
  <c r="I394" i="14"/>
  <c r="I110" i="14"/>
  <c r="I421" i="14"/>
  <c r="I137" i="14"/>
  <c r="I616" i="14"/>
  <c r="I503" i="14"/>
  <c r="H503" i="14" s="1"/>
  <c r="I563" i="14"/>
  <c r="I676" i="14"/>
  <c r="I587" i="14"/>
  <c r="I700" i="14"/>
  <c r="I462" i="14"/>
  <c r="I178" i="14"/>
  <c r="O191" i="14"/>
  <c r="O475" i="14"/>
  <c r="O459" i="14"/>
  <c r="O175" i="14"/>
  <c r="O391" i="14"/>
  <c r="O107" i="14"/>
  <c r="I653" i="14"/>
  <c r="I540" i="14"/>
  <c r="I690" i="14"/>
  <c r="I577" i="14"/>
  <c r="I416" i="14"/>
  <c r="I132" i="14"/>
  <c r="I468" i="14"/>
  <c r="I184" i="14"/>
  <c r="K490" i="14"/>
  <c r="H490" i="14"/>
  <c r="M490" i="14"/>
  <c r="I434" i="14"/>
  <c r="I150" i="14"/>
  <c r="I688" i="14"/>
  <c r="I575" i="14"/>
  <c r="K23" i="21"/>
  <c r="I480" i="14"/>
  <c r="I196" i="14"/>
  <c r="H807" i="14"/>
  <c r="K748" i="14"/>
  <c r="H752" i="14"/>
  <c r="I625" i="14"/>
  <c r="I512" i="14"/>
  <c r="I415" i="14"/>
  <c r="I131" i="14"/>
  <c r="I408" i="14"/>
  <c r="I124" i="14"/>
  <c r="I621" i="14"/>
  <c r="I508" i="14"/>
  <c r="I571" i="14"/>
  <c r="I684" i="14"/>
  <c r="I411" i="14"/>
  <c r="I127" i="14"/>
  <c r="I689" i="14"/>
  <c r="I576" i="14"/>
  <c r="I596" i="14"/>
  <c r="I709" i="14"/>
  <c r="O482" i="14"/>
  <c r="O198" i="14"/>
  <c r="O390" i="14"/>
  <c r="O106" i="14"/>
  <c r="I424" i="14"/>
  <c r="I140" i="14"/>
  <c r="I465" i="14"/>
  <c r="I181" i="14"/>
  <c r="I453" i="14"/>
  <c r="I169" i="14"/>
  <c r="I414" i="14"/>
  <c r="I130" i="14"/>
  <c r="O595" i="14"/>
  <c r="O587" i="14"/>
  <c r="K799" i="14"/>
  <c r="K803" i="14"/>
  <c r="H808" i="14"/>
  <c r="K752" i="14"/>
  <c r="O733" i="14"/>
  <c r="M787" i="14"/>
  <c r="I435" i="14"/>
  <c r="I151" i="14"/>
  <c r="I475" i="14"/>
  <c r="I191" i="14"/>
  <c r="I473" i="14"/>
  <c r="I189" i="14"/>
  <c r="I463" i="14"/>
  <c r="I179" i="14"/>
  <c r="I645" i="14"/>
  <c r="I532" i="14"/>
  <c r="I661" i="14"/>
  <c r="I548" i="14"/>
  <c r="I634" i="14"/>
  <c r="I521" i="14"/>
  <c r="I455" i="14"/>
  <c r="I171" i="14"/>
  <c r="O431" i="14"/>
  <c r="O147" i="14"/>
  <c r="I639" i="14"/>
  <c r="I526" i="14"/>
  <c r="I201" i="14"/>
  <c r="I485" i="14"/>
  <c r="O389" i="14"/>
  <c r="O502" i="14"/>
  <c r="O105" i="14"/>
  <c r="O728" i="14"/>
  <c r="O615" i="14"/>
  <c r="O410" i="14"/>
  <c r="O126" i="14"/>
  <c r="I648" i="14"/>
  <c r="I535" i="14"/>
  <c r="I607" i="14"/>
  <c r="I720" i="14"/>
  <c r="I711" i="14"/>
  <c r="I598" i="14"/>
  <c r="I717" i="14"/>
  <c r="I604" i="14"/>
  <c r="I643" i="14"/>
  <c r="I530" i="14"/>
  <c r="I479" i="14"/>
  <c r="I195" i="14"/>
  <c r="I456" i="14"/>
  <c r="I172" i="14"/>
  <c r="I461" i="14"/>
  <c r="I177" i="14"/>
  <c r="I437" i="14"/>
  <c r="I153" i="14"/>
  <c r="I718" i="14"/>
  <c r="I605" i="14"/>
  <c r="I484" i="14"/>
  <c r="I200" i="14"/>
  <c r="I686" i="14"/>
  <c r="I573" i="14"/>
  <c r="M803" i="14"/>
  <c r="H736" i="14"/>
  <c r="K808" i="14"/>
  <c r="H812" i="14"/>
  <c r="I701" i="14"/>
  <c r="I588" i="14"/>
  <c r="I663" i="14"/>
  <c r="I550" i="14"/>
  <c r="I597" i="14"/>
  <c r="I710" i="14"/>
  <c r="I399" i="14"/>
  <c r="I115" i="14"/>
  <c r="I723" i="14"/>
  <c r="I610" i="14"/>
  <c r="I477" i="14"/>
  <c r="I193" i="14"/>
  <c r="O543" i="14"/>
  <c r="O503" i="14"/>
  <c r="H804" i="14"/>
  <c r="K812" i="14"/>
  <c r="H816" i="14"/>
  <c r="I665" i="14"/>
  <c r="I552" i="14"/>
  <c r="I724" i="14"/>
  <c r="I611" i="14"/>
  <c r="O451" i="14"/>
  <c r="O167" i="14"/>
  <c r="O186" i="14"/>
  <c r="O470" i="14"/>
  <c r="I658" i="14"/>
  <c r="I545" i="14"/>
  <c r="I662" i="14"/>
  <c r="I549" i="14"/>
  <c r="I570" i="14"/>
  <c r="I683" i="14"/>
  <c r="I624" i="14"/>
  <c r="K624" i="14" s="1"/>
  <c r="I511" i="14"/>
  <c r="I170" i="14"/>
  <c r="I454" i="14"/>
  <c r="O700" i="14"/>
  <c r="M795" i="14"/>
  <c r="H728" i="14"/>
  <c r="H732" i="14"/>
  <c r="K804" i="14"/>
  <c r="K816" i="14"/>
  <c r="M767" i="14"/>
  <c r="M771" i="14"/>
  <c r="I389" i="14"/>
  <c r="I105" i="14"/>
  <c r="I397" i="14"/>
  <c r="I113" i="14"/>
  <c r="I450" i="14"/>
  <c r="I166" i="14"/>
  <c r="H496" i="14"/>
  <c r="M496" i="14"/>
  <c r="K496" i="14"/>
  <c r="K499" i="14"/>
  <c r="H499" i="14"/>
  <c r="M499" i="14"/>
  <c r="O542" i="14"/>
  <c r="O429" i="14"/>
  <c r="O145" i="14"/>
  <c r="O655" i="14"/>
  <c r="O768" i="14"/>
  <c r="O415" i="14"/>
  <c r="O131" i="14"/>
  <c r="I697" i="14"/>
  <c r="I584" i="14"/>
  <c r="I646" i="14"/>
  <c r="I533" i="14"/>
  <c r="I466" i="14"/>
  <c r="I182" i="14"/>
  <c r="O747" i="14"/>
  <c r="O634" i="14"/>
  <c r="O521" i="14"/>
  <c r="O408" i="14"/>
  <c r="O124" i="14"/>
  <c r="O439" i="14"/>
  <c r="O155" i="14"/>
  <c r="I546" i="14"/>
  <c r="I659" i="14"/>
  <c r="I642" i="14"/>
  <c r="I529" i="14"/>
  <c r="K60" i="21"/>
  <c r="I615" i="14"/>
  <c r="I502" i="14"/>
  <c r="I719" i="14"/>
  <c r="I606" i="14"/>
  <c r="K488" i="14"/>
  <c r="H488" i="14"/>
  <c r="M488" i="14"/>
  <c r="I460" i="14"/>
  <c r="I176" i="14"/>
  <c r="I687" i="14"/>
  <c r="I574" i="14"/>
  <c r="I452" i="14"/>
  <c r="I168" i="14"/>
  <c r="K795" i="14"/>
  <c r="K728" i="14"/>
  <c r="K732" i="14"/>
  <c r="H800" i="14"/>
  <c r="K767" i="14"/>
  <c r="K771" i="14"/>
  <c r="K727" i="14"/>
  <c r="I467" i="14"/>
  <c r="I183" i="14"/>
  <c r="I396" i="14"/>
  <c r="I112" i="14"/>
  <c r="I656" i="14"/>
  <c r="H656" i="14" s="1"/>
  <c r="I543" i="14"/>
  <c r="I651" i="14"/>
  <c r="I538" i="14"/>
  <c r="O811" i="14"/>
  <c r="O698" i="14"/>
  <c r="O585" i="14"/>
  <c r="O472" i="14"/>
  <c r="O188" i="14"/>
  <c r="I713" i="14"/>
  <c r="I600" i="14"/>
  <c r="I714" i="14"/>
  <c r="I601" i="14"/>
  <c r="I393" i="14"/>
  <c r="I109" i="14"/>
  <c r="P23" i="21"/>
  <c r="O586" i="14"/>
  <c r="O473" i="14"/>
  <c r="O189" i="14"/>
  <c r="O812" i="14"/>
  <c r="O699" i="14"/>
  <c r="I674" i="14"/>
  <c r="I561" i="14"/>
  <c r="I682" i="14"/>
  <c r="I569" i="14"/>
  <c r="I650" i="14"/>
  <c r="I537" i="14"/>
  <c r="I593" i="14"/>
  <c r="I706" i="14"/>
  <c r="I703" i="14"/>
  <c r="I590" i="14"/>
  <c r="H498" i="14"/>
  <c r="K498" i="14"/>
  <c r="M498" i="14"/>
  <c r="I165" i="14"/>
  <c r="I449" i="14"/>
  <c r="I149" i="14"/>
  <c r="I433" i="14"/>
  <c r="O636" i="14"/>
  <c r="K800" i="14"/>
  <c r="M755" i="14"/>
  <c r="O789" i="14"/>
  <c r="M727" i="14"/>
  <c r="I431" i="14"/>
  <c r="I147" i="14"/>
  <c r="I685" i="14"/>
  <c r="I572" i="14"/>
  <c r="I483" i="14"/>
  <c r="I199" i="14"/>
  <c r="O430" i="14"/>
  <c r="O146" i="14"/>
  <c r="O411" i="14"/>
  <c r="O127" i="14"/>
  <c r="O522" i="14"/>
  <c r="O409" i="14"/>
  <c r="O125" i="14"/>
  <c r="O635" i="14"/>
  <c r="O748" i="14"/>
  <c r="O483" i="14"/>
  <c r="O199" i="14"/>
  <c r="I644" i="14"/>
  <c r="I531" i="14"/>
  <c r="I581" i="14"/>
  <c r="I694" i="14"/>
  <c r="I426" i="14"/>
  <c r="I142" i="14"/>
  <c r="I192" i="14"/>
  <c r="I476" i="14"/>
  <c r="K497" i="14"/>
  <c r="H497" i="14"/>
  <c r="M497" i="14"/>
  <c r="I448" i="14"/>
  <c r="I164" i="14"/>
  <c r="M735" i="14"/>
  <c r="H792" i="14"/>
  <c r="H796" i="14"/>
  <c r="K755" i="14"/>
  <c r="M759" i="14"/>
  <c r="O729" i="14"/>
  <c r="M831" i="14"/>
  <c r="H768" i="14"/>
  <c r="O821" i="14"/>
  <c r="I458" i="14"/>
  <c r="I174" i="14"/>
  <c r="I636" i="14"/>
  <c r="I523" i="14"/>
  <c r="I470" i="14"/>
  <c r="I186" i="14"/>
  <c r="I422" i="14"/>
  <c r="I138" i="14"/>
  <c r="U6" i="21"/>
  <c r="I565" i="14"/>
  <c r="I678" i="14"/>
  <c r="O419" i="14"/>
  <c r="O135" i="14"/>
  <c r="K6" i="21"/>
  <c r="I654" i="14"/>
  <c r="I541" i="14"/>
  <c r="I698" i="14"/>
  <c r="I585" i="14"/>
  <c r="K495" i="14"/>
  <c r="H495" i="14"/>
  <c r="M495" i="14"/>
  <c r="I417" i="14"/>
  <c r="I133" i="14"/>
  <c r="I603" i="14"/>
  <c r="M603" i="14" s="1"/>
  <c r="I716" i="14"/>
  <c r="I579" i="14"/>
  <c r="I692" i="14"/>
  <c r="I705" i="14"/>
  <c r="I592" i="14"/>
  <c r="I657" i="14"/>
  <c r="I544" i="14"/>
  <c r="I620" i="14"/>
  <c r="M620" i="14" s="1"/>
  <c r="I507" i="14"/>
  <c r="K507" i="14" s="1"/>
  <c r="I439" i="14"/>
  <c r="I155" i="14"/>
  <c r="I388" i="14"/>
  <c r="I104" i="14"/>
  <c r="I472" i="14"/>
  <c r="I188" i="14"/>
  <c r="M793" i="14"/>
  <c r="K793" i="14"/>
  <c r="H793" i="14"/>
  <c r="M817" i="14"/>
  <c r="K817" i="14"/>
  <c r="H817" i="14"/>
  <c r="M773" i="14"/>
  <c r="K773" i="14"/>
  <c r="H773" i="14"/>
  <c r="M797" i="14"/>
  <c r="K797" i="14"/>
  <c r="H797" i="14"/>
  <c r="M761" i="14"/>
  <c r="K761" i="14"/>
  <c r="H761" i="14"/>
  <c r="M777" i="14"/>
  <c r="K777" i="14"/>
  <c r="H777" i="14"/>
  <c r="M737" i="14"/>
  <c r="K737" i="14"/>
  <c r="H737" i="14"/>
  <c r="O806" i="14"/>
  <c r="O810" i="14"/>
  <c r="O774" i="14"/>
  <c r="M781" i="14"/>
  <c r="K781" i="14"/>
  <c r="H781" i="14"/>
  <c r="O794" i="14"/>
  <c r="O798" i="14"/>
  <c r="O778" i="14"/>
  <c r="M785" i="14"/>
  <c r="K785" i="14"/>
  <c r="H785" i="14"/>
  <c r="O738" i="14"/>
  <c r="O782" i="14"/>
  <c r="M749" i="14"/>
  <c r="K749" i="14"/>
  <c r="H749" i="14"/>
  <c r="Q838" i="14"/>
  <c r="O786" i="14"/>
  <c r="M836" i="14"/>
  <c r="K836" i="14"/>
  <c r="H836" i="14"/>
  <c r="M825" i="14"/>
  <c r="K825" i="14"/>
  <c r="H825" i="14"/>
  <c r="M801" i="14"/>
  <c r="K801" i="14"/>
  <c r="H801" i="14"/>
  <c r="O750" i="14"/>
  <c r="M765" i="14"/>
  <c r="K765" i="14"/>
  <c r="H765" i="14"/>
  <c r="M789" i="14"/>
  <c r="K789" i="14"/>
  <c r="H789" i="14"/>
  <c r="M757" i="14"/>
  <c r="K757" i="14"/>
  <c r="H757" i="14"/>
  <c r="M833" i="14"/>
  <c r="K833" i="14"/>
  <c r="H833" i="14"/>
  <c r="O802" i="14"/>
  <c r="M809" i="14"/>
  <c r="K809" i="14"/>
  <c r="H809" i="14"/>
  <c r="O790" i="14"/>
  <c r="O758" i="14"/>
  <c r="M813" i="14"/>
  <c r="K813" i="14"/>
  <c r="H813" i="14"/>
  <c r="M769" i="14"/>
  <c r="K769" i="14"/>
  <c r="H769" i="14"/>
  <c r="M741" i="14"/>
  <c r="K741" i="14"/>
  <c r="H741" i="14"/>
  <c r="M745" i="14"/>
  <c r="K745" i="14"/>
  <c r="H745" i="14"/>
  <c r="M753" i="14"/>
  <c r="K753" i="14"/>
  <c r="H753" i="14"/>
  <c r="M805" i="14"/>
  <c r="K805" i="14"/>
  <c r="H805" i="14"/>
  <c r="M729" i="14"/>
  <c r="K729" i="14"/>
  <c r="H729" i="14"/>
  <c r="M733" i="14"/>
  <c r="K733" i="14"/>
  <c r="H733" i="14"/>
  <c r="O814" i="14"/>
  <c r="M829" i="14"/>
  <c r="K829" i="14"/>
  <c r="H829" i="14"/>
  <c r="O770" i="14"/>
  <c r="O742" i="14"/>
  <c r="O746" i="14"/>
  <c r="M821" i="14"/>
  <c r="K821" i="14"/>
  <c r="H821" i="14"/>
  <c r="O754" i="14"/>
  <c r="O730" i="14"/>
  <c r="O734" i="14"/>
  <c r="O822" i="14"/>
  <c r="M660" i="14"/>
  <c r="K660" i="14"/>
  <c r="H660" i="14"/>
  <c r="M723" i="14"/>
  <c r="K723" i="14"/>
  <c r="H723" i="14"/>
  <c r="M652" i="14"/>
  <c r="K652" i="14"/>
  <c r="H652" i="14"/>
  <c r="M664" i="14"/>
  <c r="K664" i="14"/>
  <c r="H664" i="14"/>
  <c r="O677" i="14"/>
  <c r="M692" i="14"/>
  <c r="K692" i="14"/>
  <c r="H692" i="14"/>
  <c r="O709" i="14"/>
  <c r="O661" i="14"/>
  <c r="O621" i="14"/>
  <c r="M632" i="14"/>
  <c r="K632" i="14"/>
  <c r="H632" i="14"/>
  <c r="M712" i="14"/>
  <c r="K712" i="14"/>
  <c r="H712" i="14"/>
  <c r="O665" i="14"/>
  <c r="O693" i="14"/>
  <c r="O633" i="14"/>
  <c r="M656" i="14"/>
  <c r="K656" i="14"/>
  <c r="M616" i="14"/>
  <c r="K616" i="14"/>
  <c r="H616" i="14"/>
  <c r="M640" i="14"/>
  <c r="K640" i="14"/>
  <c r="H640" i="14"/>
  <c r="M716" i="14"/>
  <c r="K716" i="14"/>
  <c r="H716" i="14"/>
  <c r="M624" i="14"/>
  <c r="H624" i="14"/>
  <c r="M668" i="14"/>
  <c r="K668" i="14"/>
  <c r="H668" i="14"/>
  <c r="M684" i="14"/>
  <c r="K684" i="14"/>
  <c r="H684" i="14"/>
  <c r="O657" i="14"/>
  <c r="O673" i="14"/>
  <c r="O669" i="14"/>
  <c r="O617" i="14"/>
  <c r="O637" i="14"/>
  <c r="O685" i="14"/>
  <c r="M696" i="14"/>
  <c r="K696" i="14"/>
  <c r="H696" i="14"/>
  <c r="O641" i="14"/>
  <c r="O625" i="14"/>
  <c r="M672" i="14"/>
  <c r="K672" i="14"/>
  <c r="H672" i="14"/>
  <c r="M636" i="14"/>
  <c r="K636" i="14"/>
  <c r="H636" i="14"/>
  <c r="O697" i="14"/>
  <c r="M720" i="14"/>
  <c r="K720" i="14"/>
  <c r="H720" i="14"/>
  <c r="M680" i="14"/>
  <c r="K680" i="14"/>
  <c r="H680" i="14"/>
  <c r="M644" i="14"/>
  <c r="K644" i="14"/>
  <c r="H644" i="14"/>
  <c r="M700" i="14"/>
  <c r="K700" i="14"/>
  <c r="H700" i="14"/>
  <c r="M688" i="14"/>
  <c r="K688" i="14"/>
  <c r="H688" i="14"/>
  <c r="O701" i="14"/>
  <c r="O681" i="14"/>
  <c r="M628" i="14"/>
  <c r="K628" i="14"/>
  <c r="H628" i="14"/>
  <c r="O645" i="14"/>
  <c r="O689" i="14"/>
  <c r="M648" i="14"/>
  <c r="K648" i="14"/>
  <c r="H648" i="14"/>
  <c r="O629" i="14"/>
  <c r="M704" i="14"/>
  <c r="K704" i="14"/>
  <c r="H704" i="14"/>
  <c r="M676" i="14"/>
  <c r="K676" i="14"/>
  <c r="H676" i="14"/>
  <c r="Q725" i="14"/>
  <c r="M708" i="14"/>
  <c r="K708" i="14"/>
  <c r="H708" i="14"/>
  <c r="O649" i="14"/>
  <c r="M607" i="14"/>
  <c r="K607" i="14"/>
  <c r="H607" i="14"/>
  <c r="Q612" i="14"/>
  <c r="O611" i="14"/>
  <c r="M551" i="14"/>
  <c r="K551" i="14"/>
  <c r="H551" i="14"/>
  <c r="M575" i="14"/>
  <c r="K575" i="14"/>
  <c r="H575" i="14"/>
  <c r="M587" i="14"/>
  <c r="K587" i="14"/>
  <c r="H587" i="14"/>
  <c r="M511" i="14"/>
  <c r="K511" i="14"/>
  <c r="H511" i="14"/>
  <c r="M567" i="14"/>
  <c r="K567" i="14"/>
  <c r="H567" i="14"/>
  <c r="M571" i="14"/>
  <c r="K571" i="14"/>
  <c r="H571" i="14"/>
  <c r="M610" i="14"/>
  <c r="K610" i="14"/>
  <c r="H610" i="14"/>
  <c r="M515" i="14"/>
  <c r="K515" i="14"/>
  <c r="H515" i="14"/>
  <c r="M519" i="14"/>
  <c r="K519" i="14"/>
  <c r="H519" i="14"/>
  <c r="O552" i="14"/>
  <c r="O576" i="14"/>
  <c r="O588" i="14"/>
  <c r="O512" i="14"/>
  <c r="O568" i="14"/>
  <c r="O572" i="14"/>
  <c r="O516" i="14"/>
  <c r="O520" i="14"/>
  <c r="H603" i="14"/>
  <c r="M523" i="14"/>
  <c r="K523" i="14"/>
  <c r="H523" i="14"/>
  <c r="M595" i="14"/>
  <c r="K595" i="14"/>
  <c r="H595" i="14"/>
  <c r="M579" i="14"/>
  <c r="K579" i="14"/>
  <c r="H579" i="14"/>
  <c r="M531" i="14"/>
  <c r="K531" i="14"/>
  <c r="H531" i="14"/>
  <c r="O528" i="14"/>
  <c r="O524" i="14"/>
  <c r="O532" i="14"/>
  <c r="O596" i="14"/>
  <c r="M599" i="14"/>
  <c r="K599" i="14"/>
  <c r="H599" i="14"/>
  <c r="O580" i="14"/>
  <c r="O584" i="14"/>
  <c r="M535" i="14"/>
  <c r="K535" i="14"/>
  <c r="H535" i="14"/>
  <c r="M591" i="14"/>
  <c r="K591" i="14"/>
  <c r="H591" i="14"/>
  <c r="O600" i="14"/>
  <c r="M547" i="14"/>
  <c r="K547" i="14"/>
  <c r="H547" i="14"/>
  <c r="M555" i="14"/>
  <c r="K555" i="14"/>
  <c r="H555" i="14"/>
  <c r="M559" i="14"/>
  <c r="K559" i="14"/>
  <c r="H559" i="14"/>
  <c r="M563" i="14"/>
  <c r="K563" i="14"/>
  <c r="H563" i="14"/>
  <c r="K503" i="14"/>
  <c r="M507" i="14"/>
  <c r="M527" i="14"/>
  <c r="K527" i="14"/>
  <c r="H527" i="14"/>
  <c r="M543" i="14"/>
  <c r="K543" i="14"/>
  <c r="H543" i="14"/>
  <c r="O544" i="14"/>
  <c r="O548" i="14"/>
  <c r="O556" i="14"/>
  <c r="O560" i="14"/>
  <c r="O564" i="14"/>
  <c r="O504" i="14"/>
  <c r="O508" i="14"/>
  <c r="Q483" i="14"/>
  <c r="Q467" i="14"/>
  <c r="Q451" i="14"/>
  <c r="Q403" i="14"/>
  <c r="Q475" i="14"/>
  <c r="Q435" i="14"/>
  <c r="Q459" i="14"/>
  <c r="Q419" i="14"/>
  <c r="Q443" i="14"/>
  <c r="U8" i="21"/>
  <c r="P8" i="21"/>
  <c r="K16" i="21"/>
  <c r="P16" i="21"/>
  <c r="K10" i="21"/>
  <c r="U10" i="21"/>
  <c r="U16" i="21"/>
  <c r="Z10" i="21"/>
  <c r="O536" i="14" s="1"/>
  <c r="P10" i="21"/>
  <c r="P92" i="21"/>
  <c r="P88" i="21"/>
  <c r="P5" i="21"/>
  <c r="P74" i="21"/>
  <c r="P27" i="21"/>
  <c r="P15" i="21"/>
  <c r="K92" i="21"/>
  <c r="K5" i="21"/>
  <c r="P25" i="21"/>
  <c r="K88" i="21"/>
  <c r="P35" i="21"/>
  <c r="I472" i="2"/>
  <c r="P18" i="21"/>
  <c r="K14" i="21"/>
  <c r="U92" i="21"/>
  <c r="P34" i="21"/>
  <c r="Z25" i="21"/>
  <c r="O491" i="14" s="1"/>
  <c r="P24" i="21"/>
  <c r="U18" i="21"/>
  <c r="U24" i="21"/>
  <c r="D472" i="2"/>
  <c r="D471" i="2" s="1"/>
  <c r="P20" i="21"/>
  <c r="U14" i="21"/>
  <c r="K74" i="21"/>
  <c r="K24" i="21"/>
  <c r="K18" i="21"/>
  <c r="K27" i="21"/>
  <c r="U74" i="21"/>
  <c r="Z24" i="21"/>
  <c r="O826" i="14" s="1"/>
  <c r="Z27" i="21"/>
  <c r="O499" i="14" s="1"/>
  <c r="U72" i="21"/>
  <c r="U27" i="21"/>
  <c r="O498" i="14" s="1"/>
  <c r="P95" i="21"/>
  <c r="U25" i="21"/>
  <c r="P13" i="21"/>
  <c r="Z95" i="21"/>
  <c r="U34" i="21"/>
  <c r="K25" i="21"/>
  <c r="K95" i="21"/>
  <c r="P14" i="21"/>
  <c r="K34" i="21"/>
  <c r="P32" i="21"/>
  <c r="K48" i="21"/>
  <c r="K13" i="21"/>
  <c r="K20" i="21"/>
  <c r="K45" i="21"/>
  <c r="P89" i="21"/>
  <c r="P111" i="21"/>
  <c r="K35" i="21"/>
  <c r="P43" i="21"/>
  <c r="P41" i="21"/>
  <c r="U13" i="21"/>
  <c r="P99" i="21"/>
  <c r="K47" i="21"/>
  <c r="K15" i="21"/>
  <c r="K106" i="21"/>
  <c r="P110" i="21"/>
  <c r="P60" i="21"/>
  <c r="K72" i="21"/>
  <c r="K42" i="21"/>
  <c r="K22" i="21"/>
  <c r="K17" i="21"/>
  <c r="U19" i="21"/>
  <c r="K41" i="21"/>
  <c r="K104" i="21"/>
  <c r="U17" i="21"/>
  <c r="K108" i="21"/>
  <c r="P38" i="21"/>
  <c r="K32" i="21"/>
  <c r="P36" i="21"/>
  <c r="P98" i="21"/>
  <c r="P22" i="21"/>
  <c r="Z106" i="21"/>
  <c r="U78" i="21"/>
  <c r="P79" i="21"/>
  <c r="P17" i="21"/>
  <c r="P53" i="21"/>
  <c r="P70" i="21"/>
  <c r="U106" i="21"/>
  <c r="P106" i="21"/>
  <c r="P44" i="21"/>
  <c r="P62" i="21"/>
  <c r="U22" i="21"/>
  <c r="Z22" i="21"/>
  <c r="O705" i="14" s="1"/>
  <c r="U46" i="21"/>
  <c r="P104" i="21"/>
  <c r="P48" i="21"/>
  <c r="U44" i="21"/>
  <c r="P46" i="21"/>
  <c r="P72" i="21"/>
  <c r="U77" i="21"/>
  <c r="U41" i="21"/>
  <c r="U95" i="21"/>
  <c r="P19" i="21"/>
  <c r="K19" i="21"/>
  <c r="Z111" i="21"/>
  <c r="K73" i="21"/>
  <c r="K46" i="21"/>
  <c r="K44" i="21"/>
  <c r="Z81" i="21"/>
  <c r="U26" i="21"/>
  <c r="U69" i="21"/>
  <c r="U11" i="21"/>
  <c r="U9" i="21"/>
  <c r="P83" i="21"/>
  <c r="P50" i="21"/>
  <c r="K68" i="21"/>
  <c r="U81" i="21"/>
  <c r="P108" i="21"/>
  <c r="P77" i="21"/>
  <c r="U42" i="21"/>
  <c r="P81" i="21"/>
  <c r="K63" i="21"/>
  <c r="K103" i="21"/>
  <c r="K77" i="21"/>
  <c r="K81" i="21"/>
  <c r="K69" i="21"/>
  <c r="P61" i="21"/>
  <c r="U90" i="21"/>
  <c r="K82" i="21"/>
  <c r="K9" i="21"/>
  <c r="P63" i="21"/>
  <c r="U70" i="21"/>
  <c r="K76" i="21"/>
  <c r="Z11" i="21"/>
  <c r="O540" i="14" s="1"/>
  <c r="Z26" i="21"/>
  <c r="O495" i="14" s="1"/>
  <c r="U47" i="21"/>
  <c r="P47" i="21"/>
  <c r="K26" i="21"/>
  <c r="K111" i="21"/>
  <c r="U49" i="21"/>
  <c r="K49" i="21"/>
  <c r="P49" i="21"/>
  <c r="K11" i="21"/>
  <c r="U111" i="21"/>
  <c r="P9" i="21"/>
  <c r="U108" i="21"/>
  <c r="P26" i="21"/>
  <c r="K99" i="21"/>
  <c r="K70" i="21"/>
  <c r="Z83" i="21"/>
  <c r="U98" i="21"/>
  <c r="U103" i="21"/>
  <c r="P102" i="21"/>
  <c r="P11" i="21"/>
  <c r="Z108" i="21"/>
  <c r="P39" i="21"/>
  <c r="Z78" i="21"/>
  <c r="P103" i="21"/>
  <c r="U102" i="21"/>
  <c r="K90" i="21"/>
  <c r="U83" i="21"/>
  <c r="K83" i="21"/>
  <c r="U94" i="21"/>
  <c r="K101" i="21"/>
  <c r="P67" i="21"/>
  <c r="P69" i="21"/>
  <c r="P42" i="21"/>
  <c r="P75" i="21"/>
  <c r="K75" i="21"/>
  <c r="U75" i="21"/>
  <c r="K89" i="21"/>
  <c r="Z39" i="21"/>
  <c r="P78" i="21"/>
  <c r="K105" i="21"/>
  <c r="U105" i="21"/>
  <c r="P105" i="21"/>
  <c r="U53" i="21"/>
  <c r="Z109" i="21"/>
  <c r="U101" i="21"/>
  <c r="K110" i="21"/>
  <c r="K79" i="21"/>
  <c r="U79" i="21"/>
  <c r="P90" i="21"/>
  <c r="K39" i="21"/>
  <c r="U110" i="21"/>
  <c r="K78" i="21"/>
  <c r="P65" i="21"/>
  <c r="K98" i="21"/>
  <c r="P93" i="21"/>
  <c r="K33" i="21"/>
  <c r="P33" i="21"/>
  <c r="K62" i="21"/>
  <c r="U62" i="21"/>
  <c r="K38" i="21"/>
  <c r="U51" i="21"/>
  <c r="U38" i="21"/>
  <c r="U82" i="21"/>
  <c r="U39" i="21"/>
  <c r="P96" i="21"/>
  <c r="Z94" i="21"/>
  <c r="P109" i="21"/>
  <c r="P101" i="21"/>
  <c r="U80" i="21"/>
  <c r="U73" i="21"/>
  <c r="Z80" i="21"/>
  <c r="P76" i="21"/>
  <c r="K67" i="21"/>
  <c r="P82" i="21"/>
  <c r="U65" i="21"/>
  <c r="P73" i="21"/>
  <c r="Z53" i="21"/>
  <c r="K54" i="21"/>
  <c r="P55" i="21"/>
  <c r="Z54" i="21"/>
  <c r="Z52" i="21"/>
  <c r="Z55" i="21"/>
  <c r="U45" i="21"/>
  <c r="K40" i="21"/>
  <c r="K96" i="21"/>
  <c r="K109" i="21"/>
  <c r="P64" i="21"/>
  <c r="K64" i="21"/>
  <c r="P100" i="21"/>
  <c r="Z110" i="21"/>
  <c r="Z67" i="21"/>
  <c r="K91" i="21"/>
  <c r="P91" i="21"/>
  <c r="U64" i="21"/>
  <c r="P97" i="21"/>
  <c r="U93" i="21"/>
  <c r="U109" i="21"/>
  <c r="K100" i="21"/>
  <c r="Z82" i="21"/>
  <c r="K102" i="21"/>
  <c r="P66" i="21"/>
  <c r="K94" i="21"/>
  <c r="K93" i="21"/>
  <c r="P68" i="21"/>
  <c r="U66" i="21"/>
  <c r="U97" i="21"/>
  <c r="K80" i="21"/>
  <c r="K66" i="21"/>
  <c r="P94" i="21"/>
  <c r="P80" i="21"/>
  <c r="U67" i="21"/>
  <c r="Z66" i="21"/>
  <c r="K65" i="21"/>
  <c r="K97" i="21"/>
  <c r="K107" i="21"/>
  <c r="U107" i="21"/>
  <c r="P107" i="21"/>
  <c r="K71" i="21"/>
  <c r="P71" i="21"/>
  <c r="U100" i="21"/>
  <c r="U55" i="21"/>
  <c r="P40" i="21"/>
  <c r="K53" i="21"/>
  <c r="P54" i="21"/>
  <c r="U52" i="21"/>
  <c r="U54" i="21"/>
  <c r="K50" i="21"/>
  <c r="P52" i="21"/>
  <c r="U50" i="21"/>
  <c r="K52" i="21"/>
  <c r="K55" i="21"/>
  <c r="K51" i="21"/>
  <c r="Z38" i="21"/>
  <c r="P45" i="21"/>
  <c r="P51" i="21"/>
  <c r="Z50" i="21"/>
  <c r="U37" i="21"/>
  <c r="K37" i="21"/>
  <c r="P37" i="21"/>
  <c r="K36" i="21"/>
  <c r="U36" i="21"/>
  <c r="S16" i="19"/>
  <c r="I16" i="19"/>
  <c r="O358" i="14" s="1"/>
  <c r="X16" i="19"/>
  <c r="N16" i="19"/>
  <c r="O359" i="14" s="1"/>
  <c r="N11" i="19"/>
  <c r="O339" i="14" s="1"/>
  <c r="S3" i="19"/>
  <c r="I306" i="14"/>
  <c r="M306" i="14" s="1"/>
  <c r="N3" i="19"/>
  <c r="I3" i="19"/>
  <c r="O306" i="14" s="1"/>
  <c r="X9" i="19"/>
  <c r="I9" i="19"/>
  <c r="O330" i="14" s="1"/>
  <c r="I15" i="19"/>
  <c r="O354" i="14" s="1"/>
  <c r="I20" i="19"/>
  <c r="O374" i="14" s="1"/>
  <c r="I12" i="19"/>
  <c r="O342" i="14" s="1"/>
  <c r="K310" i="14"/>
  <c r="X8" i="19"/>
  <c r="N4" i="19"/>
  <c r="O311" i="14" s="1"/>
  <c r="S4" i="19"/>
  <c r="I4" i="19"/>
  <c r="O310" i="14" s="1"/>
  <c r="I8" i="19"/>
  <c r="O326" i="14" s="1"/>
  <c r="S8" i="19"/>
  <c r="M310" i="14"/>
  <c r="X5" i="19"/>
  <c r="M358" i="14"/>
  <c r="I18" i="19"/>
  <c r="O366" i="14" s="1"/>
  <c r="K358" i="14"/>
  <c r="X15" i="19"/>
  <c r="N9" i="19"/>
  <c r="O331" i="14" s="1"/>
  <c r="H326" i="14"/>
  <c r="K326" i="14"/>
  <c r="M326" i="14"/>
  <c r="N5" i="19"/>
  <c r="O315" i="14" s="1"/>
  <c r="I354" i="14"/>
  <c r="M354" i="14" s="1"/>
  <c r="N8" i="19"/>
  <c r="O327" i="14" s="1"/>
  <c r="S22" i="19"/>
  <c r="O384" i="14" s="1"/>
  <c r="K335" i="14"/>
  <c r="I338" i="14"/>
  <c r="M338" i="14" s="1"/>
  <c r="M374" i="14"/>
  <c r="N10" i="19"/>
  <c r="O335" i="14" s="1"/>
  <c r="S19" i="19"/>
  <c r="M342" i="14"/>
  <c r="H383" i="14"/>
  <c r="H351" i="14"/>
  <c r="K350" i="14"/>
  <c r="H350" i="14"/>
  <c r="M350" i="14"/>
  <c r="M334" i="14"/>
  <c r="K334" i="14"/>
  <c r="H334" i="14"/>
  <c r="M319" i="14"/>
  <c r="K319" i="14"/>
  <c r="H319" i="14"/>
  <c r="M318" i="14"/>
  <c r="H318" i="14"/>
  <c r="K318" i="14"/>
  <c r="X20" i="19"/>
  <c r="X4" i="19"/>
  <c r="S9" i="19"/>
  <c r="I382" i="14"/>
  <c r="S17" i="19"/>
  <c r="O364" i="14" s="1"/>
  <c r="I5" i="19"/>
  <c r="O314" i="14" s="1"/>
  <c r="I314" i="14"/>
  <c r="K314" i="14" s="1"/>
  <c r="I327" i="14"/>
  <c r="I376" i="14"/>
  <c r="N21" i="19"/>
  <c r="O379" i="14" s="1"/>
  <c r="I378" i="14"/>
  <c r="K378" i="14" s="1"/>
  <c r="N20" i="19"/>
  <c r="O375" i="14" s="1"/>
  <c r="K383" i="14"/>
  <c r="K374" i="14"/>
  <c r="N17" i="19"/>
  <c r="O363" i="14" s="1"/>
  <c r="H367" i="14"/>
  <c r="K367" i="14"/>
  <c r="I366" i="14"/>
  <c r="X17" i="19"/>
  <c r="S20" i="19"/>
  <c r="O376" i="14" s="1"/>
  <c r="I17" i="19"/>
  <c r="O362" i="14" s="1"/>
  <c r="K351" i="14"/>
  <c r="K342" i="14"/>
  <c r="H335" i="14"/>
  <c r="I371" i="14"/>
  <c r="I343" i="14"/>
  <c r="M369" i="14"/>
  <c r="K369" i="14"/>
  <c r="H369" i="14"/>
  <c r="K362" i="14"/>
  <c r="H362" i="14"/>
  <c r="M362" i="14"/>
  <c r="M370" i="14"/>
  <c r="K370" i="14"/>
  <c r="H370" i="14"/>
  <c r="M385" i="14"/>
  <c r="K385" i="14"/>
  <c r="H385" i="14"/>
  <c r="H320" i="14"/>
  <c r="M320" i="14"/>
  <c r="K320" i="14"/>
  <c r="P380" i="14"/>
  <c r="P372" i="14"/>
  <c r="P328" i="14"/>
  <c r="P316" i="14"/>
  <c r="K330" i="14"/>
  <c r="H330" i="14"/>
  <c r="M330" i="14"/>
  <c r="K353" i="14"/>
  <c r="M353" i="14"/>
  <c r="H353" i="14"/>
  <c r="H384" i="14"/>
  <c r="M384" i="14"/>
  <c r="K384" i="14"/>
  <c r="P356" i="14"/>
  <c r="P348" i="14"/>
  <c r="P332" i="14"/>
  <c r="P340" i="14"/>
  <c r="K321" i="14"/>
  <c r="M321" i="14"/>
  <c r="H321" i="14"/>
  <c r="K337" i="14"/>
  <c r="M337" i="14"/>
  <c r="H337" i="14"/>
  <c r="K346" i="14"/>
  <c r="H346" i="14"/>
  <c r="M346" i="14"/>
  <c r="P308" i="14"/>
  <c r="H322" i="14"/>
  <c r="M322" i="14"/>
  <c r="K322" i="14"/>
  <c r="H368" i="14"/>
  <c r="M368" i="14"/>
  <c r="K368" i="14"/>
  <c r="P344" i="14"/>
  <c r="H336" i="14"/>
  <c r="M336" i="14"/>
  <c r="K336" i="14"/>
  <c r="P376" i="14"/>
  <c r="P360" i="14"/>
  <c r="H352" i="14"/>
  <c r="M352" i="14"/>
  <c r="K352" i="14"/>
  <c r="P364" i="14"/>
  <c r="P312" i="14"/>
  <c r="P324" i="14"/>
  <c r="S12" i="19"/>
  <c r="X12" i="19"/>
  <c r="X14" i="19"/>
  <c r="N22" i="19"/>
  <c r="O383" i="14" s="1"/>
  <c r="S5" i="19"/>
  <c r="N15" i="19"/>
  <c r="O355" i="14" s="1"/>
  <c r="I11" i="19"/>
  <c r="O338" i="14" s="1"/>
  <c r="S14" i="19"/>
  <c r="X11" i="19"/>
  <c r="S11" i="19"/>
  <c r="N19" i="19"/>
  <c r="O371" i="14" s="1"/>
  <c r="S6" i="19"/>
  <c r="S21" i="19"/>
  <c r="O380" i="14" s="1"/>
  <c r="I22" i="19"/>
  <c r="O382" i="14" s="1"/>
  <c r="S15" i="19"/>
  <c r="I14" i="19"/>
  <c r="O350" i="14" s="1"/>
  <c r="X13" i="19"/>
  <c r="N18" i="19"/>
  <c r="O367" i="14" s="1"/>
  <c r="S10" i="19"/>
  <c r="X10" i="19"/>
  <c r="I13" i="19"/>
  <c r="O346" i="14" s="1"/>
  <c r="I6" i="19"/>
  <c r="O318" i="14" s="1"/>
  <c r="X22" i="19"/>
  <c r="N14" i="19"/>
  <c r="I7" i="19"/>
  <c r="O322" i="14" s="1"/>
  <c r="N7" i="19"/>
  <c r="O323" i="14" s="1"/>
  <c r="X21" i="19"/>
  <c r="S7" i="19"/>
  <c r="I19" i="19"/>
  <c r="O370" i="14" s="1"/>
  <c r="N13" i="19"/>
  <c r="O347" i="14" s="1"/>
  <c r="X18" i="19"/>
  <c r="I10" i="19"/>
  <c r="O334" i="14" s="1"/>
  <c r="I21" i="19"/>
  <c r="O378" i="14" s="1"/>
  <c r="X7" i="19"/>
  <c r="S18" i="19"/>
  <c r="N6" i="19"/>
  <c r="O319" i="14" s="1"/>
  <c r="S13" i="19"/>
  <c r="X6" i="19"/>
  <c r="X19" i="19"/>
  <c r="N12" i="19"/>
  <c r="O343" i="14" s="1"/>
  <c r="M15" i="14"/>
  <c r="K15" i="14"/>
  <c r="L16" i="14"/>
  <c r="O16" i="14"/>
  <c r="I16" i="14"/>
  <c r="J16" i="14"/>
  <c r="P17" i="14"/>
  <c r="M577" i="14" l="1"/>
  <c r="H577" i="14"/>
  <c r="K577" i="14"/>
  <c r="O835" i="14"/>
  <c r="O722" i="14"/>
  <c r="O496" i="14"/>
  <c r="O609" i="14"/>
  <c r="O453" i="14"/>
  <c r="O566" i="14"/>
  <c r="O169" i="14"/>
  <c r="O679" i="14"/>
  <c r="O792" i="14"/>
  <c r="M503" i="14"/>
  <c r="K603" i="14"/>
  <c r="O830" i="14"/>
  <c r="O834" i="14"/>
  <c r="H422" i="14"/>
  <c r="K422" i="14"/>
  <c r="M422" i="14"/>
  <c r="K569" i="14"/>
  <c r="H569" i="14"/>
  <c r="M569" i="14"/>
  <c r="M615" i="14"/>
  <c r="K615" i="14"/>
  <c r="H615" i="14"/>
  <c r="H646" i="14"/>
  <c r="K646" i="14"/>
  <c r="M646" i="14"/>
  <c r="K456" i="14"/>
  <c r="M456" i="14"/>
  <c r="H456" i="14"/>
  <c r="H690" i="14"/>
  <c r="K690" i="14"/>
  <c r="M690" i="14"/>
  <c r="H469" i="14"/>
  <c r="K469" i="14"/>
  <c r="M469" i="14"/>
  <c r="H459" i="14"/>
  <c r="K459" i="14"/>
  <c r="M459" i="14"/>
  <c r="H482" i="14"/>
  <c r="K482" i="14"/>
  <c r="M482" i="14"/>
  <c r="K472" i="14"/>
  <c r="H472" i="14"/>
  <c r="M472" i="14"/>
  <c r="K506" i="14"/>
  <c r="M506" i="14"/>
  <c r="H506" i="14"/>
  <c r="M578" i="14"/>
  <c r="K578" i="14"/>
  <c r="H578" i="14"/>
  <c r="O755" i="14"/>
  <c r="O416" i="14"/>
  <c r="O132" i="14"/>
  <c r="O642" i="14"/>
  <c r="O529" i="14"/>
  <c r="O823" i="14"/>
  <c r="O597" i="14"/>
  <c r="O484" i="14"/>
  <c r="O710" i="14"/>
  <c r="O200" i="14"/>
  <c r="O602" i="14"/>
  <c r="O489" i="14"/>
  <c r="O828" i="14"/>
  <c r="O715" i="14"/>
  <c r="O526" i="14"/>
  <c r="O413" i="14"/>
  <c r="O129" i="14"/>
  <c r="O752" i="14"/>
  <c r="O639" i="14"/>
  <c r="O724" i="14"/>
  <c r="O653" i="14"/>
  <c r="H470" i="14"/>
  <c r="K470" i="14"/>
  <c r="M470" i="14"/>
  <c r="H561" i="14"/>
  <c r="M561" i="14"/>
  <c r="K561" i="14"/>
  <c r="H529" i="14"/>
  <c r="K529" i="14"/>
  <c r="M529" i="14"/>
  <c r="M683" i="14"/>
  <c r="K683" i="14"/>
  <c r="H683" i="14"/>
  <c r="H479" i="14"/>
  <c r="M479" i="14"/>
  <c r="K479" i="14"/>
  <c r="K480" i="14"/>
  <c r="H480" i="14"/>
  <c r="M480" i="14"/>
  <c r="H421" i="14"/>
  <c r="K421" i="14"/>
  <c r="M421" i="14"/>
  <c r="K436" i="14"/>
  <c r="H436" i="14"/>
  <c r="M436" i="14"/>
  <c r="M619" i="14"/>
  <c r="K619" i="14"/>
  <c r="H619" i="14"/>
  <c r="K464" i="14"/>
  <c r="H464" i="14"/>
  <c r="M464" i="14"/>
  <c r="M691" i="14"/>
  <c r="K691" i="14"/>
  <c r="H691" i="14"/>
  <c r="O570" i="14"/>
  <c r="O457" i="14"/>
  <c r="O173" i="14"/>
  <c r="O683" i="14"/>
  <c r="O796" i="14"/>
  <c r="O799" i="14"/>
  <c r="O686" i="14"/>
  <c r="O573" i="14"/>
  <c r="O460" i="14"/>
  <c r="O176" i="14"/>
  <c r="K448" i="14"/>
  <c r="M448" i="14"/>
  <c r="H448" i="14"/>
  <c r="O530" i="14"/>
  <c r="O417" i="14"/>
  <c r="O133" i="14"/>
  <c r="O756" i="14"/>
  <c r="O643" i="14"/>
  <c r="O418" i="14"/>
  <c r="O134" i="14"/>
  <c r="O644" i="14"/>
  <c r="O757" i="14"/>
  <c r="O531" i="14"/>
  <c r="O590" i="14"/>
  <c r="O477" i="14"/>
  <c r="O193" i="14"/>
  <c r="O816" i="14"/>
  <c r="O703" i="14"/>
  <c r="O437" i="14"/>
  <c r="O550" i="14"/>
  <c r="O153" i="14"/>
  <c r="O663" i="14"/>
  <c r="O776" i="14"/>
  <c r="O618" i="14"/>
  <c r="O731" i="14"/>
  <c r="O505" i="14"/>
  <c r="O392" i="14"/>
  <c r="O108" i="14"/>
  <c r="O414" i="14"/>
  <c r="O130" i="14"/>
  <c r="O527" i="14"/>
  <c r="O640" i="14"/>
  <c r="O753" i="14"/>
  <c r="H583" i="14"/>
  <c r="M388" i="14"/>
  <c r="H388" i="14"/>
  <c r="K388" i="14"/>
  <c r="H433" i="14"/>
  <c r="K433" i="14"/>
  <c r="M433" i="14"/>
  <c r="K674" i="14"/>
  <c r="H674" i="14"/>
  <c r="M674" i="14"/>
  <c r="K642" i="14"/>
  <c r="H642" i="14"/>
  <c r="M642" i="14"/>
  <c r="H397" i="14"/>
  <c r="K397" i="14"/>
  <c r="M397" i="14"/>
  <c r="M570" i="14"/>
  <c r="K570" i="14"/>
  <c r="H570" i="14"/>
  <c r="M530" i="14"/>
  <c r="K530" i="14"/>
  <c r="H530" i="14"/>
  <c r="H463" i="14"/>
  <c r="M463" i="14"/>
  <c r="K463" i="14"/>
  <c r="H414" i="14"/>
  <c r="M414" i="14"/>
  <c r="K414" i="14"/>
  <c r="H411" i="14"/>
  <c r="K411" i="14"/>
  <c r="M411" i="14"/>
  <c r="O819" i="14"/>
  <c r="O706" i="14"/>
  <c r="O196" i="14"/>
  <c r="O480" i="14"/>
  <c r="O593" i="14"/>
  <c r="H505" i="14"/>
  <c r="K505" i="14"/>
  <c r="M505" i="14"/>
  <c r="M534" i="14"/>
  <c r="K534" i="14"/>
  <c r="H534" i="14"/>
  <c r="K392" i="14"/>
  <c r="M392" i="14"/>
  <c r="H392" i="14"/>
  <c r="H486" i="14"/>
  <c r="K486" i="14"/>
  <c r="M486" i="14"/>
  <c r="O426" i="14"/>
  <c r="O142" i="14"/>
  <c r="O652" i="14"/>
  <c r="O539" i="14"/>
  <c r="O765" i="14"/>
  <c r="O787" i="14"/>
  <c r="O674" i="14"/>
  <c r="O561" i="14"/>
  <c r="O164" i="14"/>
  <c r="O448" i="14"/>
  <c r="O438" i="14"/>
  <c r="O154" i="14"/>
  <c r="O664" i="14"/>
  <c r="O777" i="14"/>
  <c r="O551" i="14"/>
  <c r="K583" i="14"/>
  <c r="M659" i="14"/>
  <c r="K659" i="14"/>
  <c r="H659" i="14"/>
  <c r="H549" i="14"/>
  <c r="M549" i="14"/>
  <c r="K549" i="14"/>
  <c r="K643" i="14"/>
  <c r="H643" i="14"/>
  <c r="M643" i="14"/>
  <c r="H485" i="14"/>
  <c r="M485" i="14"/>
  <c r="K485" i="14"/>
  <c r="H394" i="14"/>
  <c r="K394" i="14"/>
  <c r="M394" i="14"/>
  <c r="M618" i="14"/>
  <c r="K618" i="14"/>
  <c r="H618" i="14"/>
  <c r="K647" i="14"/>
  <c r="H647" i="14"/>
  <c r="M647" i="14"/>
  <c r="H419" i="14"/>
  <c r="K419" i="14"/>
  <c r="M419" i="14"/>
  <c r="H425" i="14"/>
  <c r="M425" i="14"/>
  <c r="K425" i="14"/>
  <c r="H471" i="14"/>
  <c r="M471" i="14"/>
  <c r="K471" i="14"/>
  <c r="H650" i="14"/>
  <c r="M650" i="14"/>
  <c r="K650" i="14"/>
  <c r="O763" i="14"/>
  <c r="O537" i="14"/>
  <c r="O424" i="14"/>
  <c r="O650" i="14"/>
  <c r="O140" i="14"/>
  <c r="O827" i="14"/>
  <c r="O601" i="14"/>
  <c r="O714" i="14"/>
  <c r="O488" i="14"/>
  <c r="O469" i="14"/>
  <c r="O582" i="14"/>
  <c r="O185" i="14"/>
  <c r="O695" i="14"/>
  <c r="O808" i="14"/>
  <c r="O562" i="14"/>
  <c r="O449" i="14"/>
  <c r="O165" i="14"/>
  <c r="O788" i="14"/>
  <c r="O675" i="14"/>
  <c r="H439" i="14"/>
  <c r="M439" i="14"/>
  <c r="K439" i="14"/>
  <c r="H585" i="14"/>
  <c r="K585" i="14"/>
  <c r="M585" i="14"/>
  <c r="K476" i="14"/>
  <c r="H476" i="14"/>
  <c r="M476" i="14"/>
  <c r="H449" i="14"/>
  <c r="M449" i="14"/>
  <c r="K449" i="14"/>
  <c r="M538" i="14"/>
  <c r="K538" i="14"/>
  <c r="H538" i="14"/>
  <c r="K452" i="14"/>
  <c r="M452" i="14"/>
  <c r="H452" i="14"/>
  <c r="K546" i="14"/>
  <c r="M546" i="14"/>
  <c r="H546" i="14"/>
  <c r="H389" i="14"/>
  <c r="K389" i="14"/>
  <c r="M389" i="14"/>
  <c r="H662" i="14"/>
  <c r="K662" i="14"/>
  <c r="M662" i="14"/>
  <c r="H573" i="14"/>
  <c r="K573" i="14"/>
  <c r="M573" i="14"/>
  <c r="H473" i="14"/>
  <c r="K473" i="14"/>
  <c r="M473" i="14"/>
  <c r="H453" i="14"/>
  <c r="K453" i="14"/>
  <c r="M453" i="14"/>
  <c r="H457" i="14"/>
  <c r="K457" i="14"/>
  <c r="M457" i="14"/>
  <c r="H413" i="14"/>
  <c r="K413" i="14"/>
  <c r="M413" i="14"/>
  <c r="K589" i="14"/>
  <c r="H589" i="14"/>
  <c r="M589" i="14"/>
  <c r="M510" i="14"/>
  <c r="K510" i="14"/>
  <c r="H510" i="14"/>
  <c r="K432" i="14"/>
  <c r="H432" i="14"/>
  <c r="M432" i="14"/>
  <c r="M582" i="14"/>
  <c r="K582" i="14"/>
  <c r="H582" i="14"/>
  <c r="O494" i="14"/>
  <c r="O720" i="14"/>
  <c r="O833" i="14"/>
  <c r="O607" i="14"/>
  <c r="O497" i="14"/>
  <c r="O610" i="14"/>
  <c r="O836" i="14"/>
  <c r="O723" i="14"/>
  <c r="O721" i="14"/>
  <c r="O837" i="14"/>
  <c r="K698" i="14"/>
  <c r="M698" i="14"/>
  <c r="H698" i="14"/>
  <c r="H458" i="14"/>
  <c r="K458" i="14"/>
  <c r="M458" i="14"/>
  <c r="K651" i="14"/>
  <c r="H651" i="14"/>
  <c r="M651" i="14"/>
  <c r="H574" i="14"/>
  <c r="M574" i="14"/>
  <c r="K574" i="14"/>
  <c r="K545" i="14"/>
  <c r="M545" i="14"/>
  <c r="H545" i="14"/>
  <c r="H477" i="14"/>
  <c r="K477" i="14"/>
  <c r="M477" i="14"/>
  <c r="M686" i="14"/>
  <c r="H686" i="14"/>
  <c r="K686" i="14"/>
  <c r="M526" i="14"/>
  <c r="K526" i="14"/>
  <c r="H526" i="14"/>
  <c r="H699" i="14"/>
  <c r="K699" i="14"/>
  <c r="M699" i="14"/>
  <c r="H429" i="14"/>
  <c r="K429" i="14"/>
  <c r="M429" i="14"/>
  <c r="H702" i="14"/>
  <c r="K702" i="14"/>
  <c r="M702" i="14"/>
  <c r="M623" i="14"/>
  <c r="K623" i="14"/>
  <c r="H623" i="14"/>
  <c r="H695" i="14"/>
  <c r="M695" i="14"/>
  <c r="K695" i="14"/>
  <c r="H487" i="14"/>
  <c r="M487" i="14"/>
  <c r="K487" i="14"/>
  <c r="O479" i="14"/>
  <c r="O195" i="14"/>
  <c r="O434" i="14"/>
  <c r="O150" i="14"/>
  <c r="O660" i="14"/>
  <c r="O547" i="14"/>
  <c r="O773" i="14"/>
  <c r="O486" i="14"/>
  <c r="O202" i="14"/>
  <c r="O712" i="14"/>
  <c r="O825" i="14"/>
  <c r="O599" i="14"/>
  <c r="O818" i="14"/>
  <c r="H541" i="14"/>
  <c r="K541" i="14"/>
  <c r="M541" i="14"/>
  <c r="M687" i="14"/>
  <c r="K687" i="14"/>
  <c r="H687" i="14"/>
  <c r="H658" i="14"/>
  <c r="M658" i="14"/>
  <c r="K658" i="14"/>
  <c r="M598" i="14"/>
  <c r="K598" i="14"/>
  <c r="H598" i="14"/>
  <c r="M639" i="14"/>
  <c r="K639" i="14"/>
  <c r="H639" i="14"/>
  <c r="H475" i="14"/>
  <c r="K475" i="14"/>
  <c r="M475" i="14"/>
  <c r="H465" i="14"/>
  <c r="M465" i="14"/>
  <c r="K465" i="14"/>
  <c r="H434" i="14"/>
  <c r="K434" i="14"/>
  <c r="M434" i="14"/>
  <c r="O510" i="14"/>
  <c r="O397" i="14"/>
  <c r="O113" i="14"/>
  <c r="O623" i="14"/>
  <c r="O736" i="14"/>
  <c r="M586" i="14"/>
  <c r="K586" i="14"/>
  <c r="H586" i="14"/>
  <c r="H423" i="14"/>
  <c r="M423" i="14"/>
  <c r="K423" i="14"/>
  <c r="O771" i="14"/>
  <c r="O658" i="14"/>
  <c r="O148" i="14"/>
  <c r="O432" i="14"/>
  <c r="O545" i="14"/>
  <c r="H409" i="14"/>
  <c r="M409" i="14"/>
  <c r="K409" i="14"/>
  <c r="O606" i="14"/>
  <c r="O493" i="14"/>
  <c r="O719" i="14"/>
  <c r="O832" i="14"/>
  <c r="K682" i="14"/>
  <c r="H682" i="14"/>
  <c r="M682" i="14"/>
  <c r="O478" i="14"/>
  <c r="O194" i="14"/>
  <c r="O817" i="14"/>
  <c r="O704" i="14"/>
  <c r="O591" i="14"/>
  <c r="O546" i="14"/>
  <c r="O433" i="14"/>
  <c r="O149" i="14"/>
  <c r="O659" i="14"/>
  <c r="O772" i="14"/>
  <c r="O462" i="14"/>
  <c r="O178" i="14"/>
  <c r="O575" i="14"/>
  <c r="O801" i="14"/>
  <c r="O688" i="14"/>
  <c r="O506" i="14"/>
  <c r="O393" i="14"/>
  <c r="O109" i="14"/>
  <c r="O732" i="14"/>
  <c r="O619" i="14"/>
  <c r="O766" i="14"/>
  <c r="H654" i="14"/>
  <c r="M654" i="14"/>
  <c r="K654" i="14"/>
  <c r="H426" i="14"/>
  <c r="K426" i="14"/>
  <c r="M426" i="14"/>
  <c r="M484" i="14"/>
  <c r="K484" i="14"/>
  <c r="H484" i="14"/>
  <c r="K711" i="14"/>
  <c r="M711" i="14"/>
  <c r="H711" i="14"/>
  <c r="K412" i="14"/>
  <c r="M412" i="14"/>
  <c r="H412" i="14"/>
  <c r="H602" i="14"/>
  <c r="M602" i="14"/>
  <c r="K602" i="14"/>
  <c r="H427" i="14"/>
  <c r="K427" i="14"/>
  <c r="M427" i="14"/>
  <c r="H395" i="14"/>
  <c r="K395" i="14"/>
  <c r="M395" i="14"/>
  <c r="H594" i="14"/>
  <c r="M594" i="14"/>
  <c r="K594" i="14"/>
  <c r="O759" i="14"/>
  <c r="O533" i="14"/>
  <c r="O420" i="14"/>
  <c r="O646" i="14"/>
  <c r="O136" i="14"/>
  <c r="M635" i="14"/>
  <c r="K635" i="14"/>
  <c r="H635" i="14"/>
  <c r="O458" i="14"/>
  <c r="O174" i="14"/>
  <c r="O797" i="14"/>
  <c r="O684" i="14"/>
  <c r="O571" i="14"/>
  <c r="O490" i="14"/>
  <c r="O716" i="14"/>
  <c r="O603" i="14"/>
  <c r="O829" i="14"/>
  <c r="O201" i="14"/>
  <c r="O598" i="14"/>
  <c r="O485" i="14"/>
  <c r="O711" i="14"/>
  <c r="O824" i="14"/>
  <c r="O735" i="14"/>
  <c r="O622" i="14"/>
  <c r="O509" i="14"/>
  <c r="O112" i="14"/>
  <c r="O396" i="14"/>
  <c r="H694" i="14"/>
  <c r="K694" i="14"/>
  <c r="M694" i="14"/>
  <c r="H483" i="14"/>
  <c r="K483" i="14"/>
  <c r="M483" i="14"/>
  <c r="O594" i="14"/>
  <c r="O481" i="14"/>
  <c r="O197" i="14"/>
  <c r="O820" i="14"/>
  <c r="O707" i="14"/>
  <c r="K460" i="14"/>
  <c r="H460" i="14"/>
  <c r="M460" i="14"/>
  <c r="K605" i="14"/>
  <c r="H605" i="14"/>
  <c r="M605" i="14"/>
  <c r="H435" i="14"/>
  <c r="M435" i="14"/>
  <c r="K435" i="14"/>
  <c r="K424" i="14"/>
  <c r="M424" i="14"/>
  <c r="H424" i="14"/>
  <c r="K408" i="14"/>
  <c r="H408" i="14"/>
  <c r="M408" i="14"/>
  <c r="O638" i="14"/>
  <c r="O525" i="14"/>
  <c r="O412" i="14"/>
  <c r="O128" i="14"/>
  <c r="O751" i="14"/>
  <c r="K715" i="14"/>
  <c r="M715" i="14"/>
  <c r="H715" i="14"/>
  <c r="H451" i="14"/>
  <c r="M451" i="14"/>
  <c r="K451" i="14"/>
  <c r="H722" i="14"/>
  <c r="M722" i="14"/>
  <c r="K722" i="14"/>
  <c r="K707" i="14"/>
  <c r="M707" i="14"/>
  <c r="H707" i="14"/>
  <c r="O538" i="14"/>
  <c r="O425" i="14"/>
  <c r="O141" i="14"/>
  <c r="O764" i="14"/>
  <c r="O651" i="14"/>
  <c r="O492" i="14"/>
  <c r="O605" i="14"/>
  <c r="O718" i="14"/>
  <c r="O831" i="14"/>
  <c r="H581" i="14"/>
  <c r="K581" i="14"/>
  <c r="M581" i="14"/>
  <c r="M590" i="14"/>
  <c r="K590" i="14"/>
  <c r="H590" i="14"/>
  <c r="K396" i="14"/>
  <c r="H396" i="14"/>
  <c r="M396" i="14"/>
  <c r="H399" i="14"/>
  <c r="M399" i="14"/>
  <c r="K399" i="14"/>
  <c r="H718" i="14"/>
  <c r="K718" i="14"/>
  <c r="M718" i="14"/>
  <c r="H462" i="14"/>
  <c r="K462" i="14"/>
  <c r="M462" i="14"/>
  <c r="M542" i="14"/>
  <c r="K542" i="14"/>
  <c r="H542" i="14"/>
  <c r="H525" i="14"/>
  <c r="M525" i="14"/>
  <c r="K525" i="14"/>
  <c r="M679" i="14"/>
  <c r="K679" i="14"/>
  <c r="H679" i="14"/>
  <c r="K609" i="14"/>
  <c r="H609" i="14"/>
  <c r="M609" i="14"/>
  <c r="H391" i="14"/>
  <c r="M391" i="14"/>
  <c r="K391" i="14"/>
  <c r="O421" i="14"/>
  <c r="O534" i="14"/>
  <c r="O137" i="14"/>
  <c r="O647" i="14"/>
  <c r="O760" i="14"/>
  <c r="H507" i="14"/>
  <c r="H539" i="14"/>
  <c r="H620" i="14"/>
  <c r="H703" i="14"/>
  <c r="K703" i="14"/>
  <c r="M703" i="14"/>
  <c r="H393" i="14"/>
  <c r="K393" i="14"/>
  <c r="M393" i="14"/>
  <c r="H710" i="14"/>
  <c r="K710" i="14"/>
  <c r="M710" i="14"/>
  <c r="H455" i="14"/>
  <c r="M455" i="14"/>
  <c r="K455" i="14"/>
  <c r="H415" i="14"/>
  <c r="M415" i="14"/>
  <c r="K415" i="14"/>
  <c r="K655" i="14"/>
  <c r="H655" i="14"/>
  <c r="M655" i="14"/>
  <c r="H481" i="14"/>
  <c r="K481" i="14"/>
  <c r="M481" i="14"/>
  <c r="H638" i="14"/>
  <c r="K638" i="14"/>
  <c r="M638" i="14"/>
  <c r="H410" i="14"/>
  <c r="K410" i="14"/>
  <c r="M410" i="14"/>
  <c r="M566" i="14"/>
  <c r="K566" i="14"/>
  <c r="H566" i="14"/>
  <c r="M509" i="14"/>
  <c r="K509" i="14"/>
  <c r="H509" i="14"/>
  <c r="H418" i="14"/>
  <c r="K418" i="14"/>
  <c r="M418" i="14"/>
  <c r="O791" i="14"/>
  <c r="O565" i="14"/>
  <c r="O452" i="14"/>
  <c r="O678" i="14"/>
  <c r="O168" i="14"/>
  <c r="H417" i="14"/>
  <c r="M417" i="14"/>
  <c r="K417" i="14"/>
  <c r="H450" i="14"/>
  <c r="K450" i="14"/>
  <c r="M450" i="14"/>
  <c r="O803" i="14"/>
  <c r="O690" i="14"/>
  <c r="O464" i="14"/>
  <c r="O180" i="14"/>
  <c r="O577" i="14"/>
  <c r="O466" i="14"/>
  <c r="O182" i="14"/>
  <c r="O805" i="14"/>
  <c r="O692" i="14"/>
  <c r="O579" i="14"/>
  <c r="O423" i="14"/>
  <c r="O139" i="14"/>
  <c r="K539" i="14"/>
  <c r="K620" i="14"/>
  <c r="H678" i="14"/>
  <c r="K678" i="14"/>
  <c r="M678" i="14"/>
  <c r="H706" i="14"/>
  <c r="K706" i="14"/>
  <c r="M706" i="14"/>
  <c r="H601" i="14"/>
  <c r="K601" i="14"/>
  <c r="M601" i="14"/>
  <c r="K467" i="14"/>
  <c r="H467" i="14"/>
  <c r="M467" i="14"/>
  <c r="H597" i="14"/>
  <c r="K597" i="14"/>
  <c r="M597" i="14"/>
  <c r="H437" i="14"/>
  <c r="K437" i="14"/>
  <c r="M437" i="14"/>
  <c r="M521" i="14"/>
  <c r="H521" i="14"/>
  <c r="K521" i="14"/>
  <c r="M468" i="14"/>
  <c r="H468" i="14"/>
  <c r="K468" i="14"/>
  <c r="H438" i="14"/>
  <c r="K438" i="14"/>
  <c r="M438" i="14"/>
  <c r="H474" i="14"/>
  <c r="K474" i="14"/>
  <c r="M474" i="14"/>
  <c r="H622" i="14"/>
  <c r="K622" i="14"/>
  <c r="M622" i="14"/>
  <c r="H398" i="14"/>
  <c r="K398" i="14"/>
  <c r="M398" i="14"/>
  <c r="H533" i="14"/>
  <c r="K533" i="14"/>
  <c r="M533" i="14"/>
  <c r="O578" i="14"/>
  <c r="O465" i="14"/>
  <c r="O181" i="14"/>
  <c r="O804" i="14"/>
  <c r="O691" i="14"/>
  <c r="O682" i="14"/>
  <c r="O569" i="14"/>
  <c r="O456" i="14"/>
  <c r="O795" i="14"/>
  <c r="O172" i="14"/>
  <c r="O549" i="14"/>
  <c r="O436" i="14"/>
  <c r="O662" i="14"/>
  <c r="O775" i="14"/>
  <c r="O152" i="14"/>
  <c r="O454" i="14"/>
  <c r="O170" i="14"/>
  <c r="O567" i="14"/>
  <c r="O793" i="14"/>
  <c r="O680" i="14"/>
  <c r="O592" i="14"/>
  <c r="H565" i="14"/>
  <c r="K565" i="14"/>
  <c r="M565" i="14"/>
  <c r="H431" i="14"/>
  <c r="M431" i="14"/>
  <c r="K431" i="14"/>
  <c r="M593" i="14"/>
  <c r="H593" i="14"/>
  <c r="K593" i="14"/>
  <c r="H714" i="14"/>
  <c r="K714" i="14"/>
  <c r="M714" i="14"/>
  <c r="M606" i="14"/>
  <c r="K606" i="14"/>
  <c r="H606" i="14"/>
  <c r="M550" i="14"/>
  <c r="K550" i="14"/>
  <c r="H550" i="14"/>
  <c r="K634" i="14"/>
  <c r="H634" i="14"/>
  <c r="M634" i="14"/>
  <c r="H562" i="14"/>
  <c r="M562" i="14"/>
  <c r="K562" i="14"/>
  <c r="H430" i="14"/>
  <c r="M430" i="14"/>
  <c r="K430" i="14"/>
  <c r="K428" i="14"/>
  <c r="M428" i="14"/>
  <c r="H428" i="14"/>
  <c r="H478" i="14"/>
  <c r="M478" i="14"/>
  <c r="K478" i="14"/>
  <c r="H390" i="14"/>
  <c r="K390" i="14"/>
  <c r="M390" i="14"/>
  <c r="M502" i="14"/>
  <c r="K502" i="14"/>
  <c r="H502" i="14"/>
  <c r="O143" i="14"/>
  <c r="O427" i="14"/>
  <c r="O815" i="14"/>
  <c r="O702" i="14"/>
  <c r="O589" i="14"/>
  <c r="O476" i="14"/>
  <c r="O192" i="14"/>
  <c r="O807" i="14"/>
  <c r="O694" i="14"/>
  <c r="O581" i="14"/>
  <c r="O468" i="14"/>
  <c r="O184" i="14"/>
  <c r="O203" i="14"/>
  <c r="O487" i="14"/>
  <c r="O574" i="14"/>
  <c r="O461" i="14"/>
  <c r="O177" i="14"/>
  <c r="O687" i="14"/>
  <c r="O800" i="14"/>
  <c r="O138" i="14"/>
  <c r="O422" i="14"/>
  <c r="O535" i="14"/>
  <c r="O648" i="14"/>
  <c r="O761" i="14"/>
  <c r="O608" i="14"/>
  <c r="O604" i="14"/>
  <c r="O717" i="14"/>
  <c r="O713" i="14"/>
  <c r="O762" i="14"/>
  <c r="O398" i="14"/>
  <c r="O114" i="14"/>
  <c r="O511" i="14"/>
  <c r="O737" i="14"/>
  <c r="O624" i="14"/>
  <c r="H537" i="14"/>
  <c r="M537" i="14"/>
  <c r="K537" i="14"/>
  <c r="K719" i="14"/>
  <c r="M719" i="14"/>
  <c r="H719" i="14"/>
  <c r="H466" i="14"/>
  <c r="K466" i="14"/>
  <c r="M466" i="14"/>
  <c r="H454" i="14"/>
  <c r="K454" i="14"/>
  <c r="M454" i="14"/>
  <c r="K663" i="14"/>
  <c r="H663" i="14"/>
  <c r="M663" i="14"/>
  <c r="H461" i="14"/>
  <c r="K461" i="14"/>
  <c r="M461" i="14"/>
  <c r="M416" i="14"/>
  <c r="H416" i="14"/>
  <c r="K416" i="14"/>
  <c r="M675" i="14"/>
  <c r="K675" i="14"/>
  <c r="H675" i="14"/>
  <c r="O767" i="14"/>
  <c r="O541" i="14"/>
  <c r="O428" i="14"/>
  <c r="O144" i="14"/>
  <c r="O654" i="14"/>
  <c r="M420" i="14"/>
  <c r="H420" i="14"/>
  <c r="K420" i="14"/>
  <c r="M522" i="14"/>
  <c r="K522" i="14"/>
  <c r="H522" i="14"/>
  <c r="M794" i="14"/>
  <c r="K794" i="14"/>
  <c r="H794" i="14"/>
  <c r="M814" i="14"/>
  <c r="K814" i="14"/>
  <c r="H814" i="14"/>
  <c r="M790" i="14"/>
  <c r="K790" i="14"/>
  <c r="H790" i="14"/>
  <c r="M786" i="14"/>
  <c r="K786" i="14"/>
  <c r="H786" i="14"/>
  <c r="M738" i="14"/>
  <c r="K738" i="14"/>
  <c r="H738" i="14"/>
  <c r="M806" i="14"/>
  <c r="K806" i="14"/>
  <c r="H806" i="14"/>
  <c r="M826" i="14"/>
  <c r="K826" i="14"/>
  <c r="H826" i="14"/>
  <c r="M762" i="14"/>
  <c r="K762" i="14"/>
  <c r="H762" i="14"/>
  <c r="M750" i="14"/>
  <c r="K750" i="14"/>
  <c r="H750" i="14"/>
  <c r="M766" i="14"/>
  <c r="K766" i="14"/>
  <c r="H766" i="14"/>
  <c r="M742" i="14"/>
  <c r="K742" i="14"/>
  <c r="H742" i="14"/>
  <c r="H837" i="14"/>
  <c r="M837" i="14"/>
  <c r="K837" i="14"/>
  <c r="H734" i="14"/>
  <c r="M734" i="14"/>
  <c r="K734" i="14"/>
  <c r="M730" i="14"/>
  <c r="H730" i="14"/>
  <c r="K730" i="14"/>
  <c r="M774" i="14"/>
  <c r="K774" i="14"/>
  <c r="H774" i="14"/>
  <c r="M778" i="14"/>
  <c r="K778" i="14"/>
  <c r="H778" i="14"/>
  <c r="O838" i="14"/>
  <c r="M822" i="14"/>
  <c r="K822" i="14"/>
  <c r="H822" i="14"/>
  <c r="M754" i="14"/>
  <c r="K754" i="14"/>
  <c r="H754" i="14"/>
  <c r="M818" i="14"/>
  <c r="K818" i="14"/>
  <c r="H818" i="14"/>
  <c r="M770" i="14"/>
  <c r="K770" i="14"/>
  <c r="H770" i="14"/>
  <c r="M802" i="14"/>
  <c r="K802" i="14"/>
  <c r="H802" i="14"/>
  <c r="M798" i="14"/>
  <c r="K798" i="14"/>
  <c r="H798" i="14"/>
  <c r="M758" i="14"/>
  <c r="K758" i="14"/>
  <c r="H758" i="14"/>
  <c r="M782" i="14"/>
  <c r="K782" i="14"/>
  <c r="H782" i="14"/>
  <c r="M834" i="14"/>
  <c r="K834" i="14"/>
  <c r="H834" i="14"/>
  <c r="M746" i="14"/>
  <c r="K746" i="14"/>
  <c r="H746" i="14"/>
  <c r="M830" i="14"/>
  <c r="K830" i="14"/>
  <c r="H830" i="14"/>
  <c r="M810" i="14"/>
  <c r="K810" i="14"/>
  <c r="H810" i="14"/>
  <c r="M641" i="14"/>
  <c r="K641" i="14"/>
  <c r="H641" i="14"/>
  <c r="M665" i="14"/>
  <c r="K665" i="14"/>
  <c r="H665" i="14"/>
  <c r="M677" i="14"/>
  <c r="K677" i="14"/>
  <c r="H677" i="14"/>
  <c r="M661" i="14"/>
  <c r="K661" i="14"/>
  <c r="H661" i="14"/>
  <c r="M669" i="14"/>
  <c r="K669" i="14"/>
  <c r="H669" i="14"/>
  <c r="M689" i="14"/>
  <c r="K689" i="14"/>
  <c r="H689" i="14"/>
  <c r="M713" i="14"/>
  <c r="K713" i="14"/>
  <c r="H713" i="14"/>
  <c r="M653" i="14"/>
  <c r="K653" i="14"/>
  <c r="H653" i="14"/>
  <c r="O725" i="14"/>
  <c r="M701" i="14"/>
  <c r="K701" i="14"/>
  <c r="H701" i="14"/>
  <c r="M685" i="14"/>
  <c r="K685" i="14"/>
  <c r="H685" i="14"/>
  <c r="M673" i="14"/>
  <c r="K673" i="14"/>
  <c r="H673" i="14"/>
  <c r="M681" i="14"/>
  <c r="K681" i="14"/>
  <c r="H681" i="14"/>
  <c r="M645" i="14"/>
  <c r="K645" i="14"/>
  <c r="H645" i="14"/>
  <c r="M625" i="14"/>
  <c r="H625" i="14"/>
  <c r="K625" i="14"/>
  <c r="M633" i="14"/>
  <c r="K633" i="14"/>
  <c r="H633" i="14"/>
  <c r="H724" i="14"/>
  <c r="M724" i="14"/>
  <c r="K724" i="14"/>
  <c r="M709" i="14"/>
  <c r="K709" i="14"/>
  <c r="H709" i="14"/>
  <c r="M649" i="14"/>
  <c r="K649" i="14"/>
  <c r="H649" i="14"/>
  <c r="M637" i="14"/>
  <c r="K637" i="14"/>
  <c r="H637" i="14"/>
  <c r="M705" i="14"/>
  <c r="K705" i="14"/>
  <c r="H705" i="14"/>
  <c r="M717" i="14"/>
  <c r="K717" i="14"/>
  <c r="H717" i="14"/>
  <c r="M693" i="14"/>
  <c r="K693" i="14"/>
  <c r="H693" i="14"/>
  <c r="M629" i="14"/>
  <c r="K629" i="14"/>
  <c r="H629" i="14"/>
  <c r="M697" i="14"/>
  <c r="K697" i="14"/>
  <c r="H697" i="14"/>
  <c r="M621" i="14"/>
  <c r="H621" i="14"/>
  <c r="K621" i="14"/>
  <c r="M721" i="14"/>
  <c r="K721" i="14"/>
  <c r="H721" i="14"/>
  <c r="M657" i="14"/>
  <c r="K657" i="14"/>
  <c r="H657" i="14"/>
  <c r="H617" i="14"/>
  <c r="M617" i="14"/>
  <c r="K617" i="14"/>
  <c r="H596" i="14"/>
  <c r="M596" i="14"/>
  <c r="K596" i="14"/>
  <c r="H572" i="14"/>
  <c r="M572" i="14"/>
  <c r="K572" i="14"/>
  <c r="H576" i="14"/>
  <c r="M576" i="14"/>
  <c r="K576" i="14"/>
  <c r="M564" i="14"/>
  <c r="K564" i="14"/>
  <c r="H564" i="14"/>
  <c r="H544" i="14"/>
  <c r="M544" i="14"/>
  <c r="K544" i="14"/>
  <c r="H592" i="14"/>
  <c r="M592" i="14"/>
  <c r="K592" i="14"/>
  <c r="M532" i="14"/>
  <c r="H532" i="14"/>
  <c r="K532" i="14"/>
  <c r="M584" i="14"/>
  <c r="K584" i="14"/>
  <c r="H584" i="14"/>
  <c r="H536" i="14"/>
  <c r="M536" i="14"/>
  <c r="K536" i="14"/>
  <c r="H568" i="14"/>
  <c r="M568" i="14"/>
  <c r="K568" i="14"/>
  <c r="M552" i="14"/>
  <c r="K552" i="14"/>
  <c r="H552" i="14"/>
  <c r="M608" i="14"/>
  <c r="K608" i="14"/>
  <c r="H608" i="14"/>
  <c r="M524" i="14"/>
  <c r="K524" i="14"/>
  <c r="H524" i="14"/>
  <c r="H611" i="14"/>
  <c r="M611" i="14"/>
  <c r="K611" i="14"/>
  <c r="M580" i="14"/>
  <c r="K580" i="14"/>
  <c r="H580" i="14"/>
  <c r="O612" i="14"/>
  <c r="M520" i="14"/>
  <c r="K520" i="14"/>
  <c r="H520" i="14"/>
  <c r="M512" i="14"/>
  <c r="K512" i="14"/>
  <c r="H512" i="14"/>
  <c r="H560" i="14"/>
  <c r="M560" i="14"/>
  <c r="K560" i="14"/>
  <c r="H508" i="14"/>
  <c r="M508" i="14"/>
  <c r="K508" i="14"/>
  <c r="H556" i="14"/>
  <c r="M556" i="14"/>
  <c r="K556" i="14"/>
  <c r="M600" i="14"/>
  <c r="K600" i="14"/>
  <c r="H600" i="14"/>
  <c r="M604" i="14"/>
  <c r="K604" i="14"/>
  <c r="H604" i="14"/>
  <c r="H540" i="14"/>
  <c r="M540" i="14"/>
  <c r="K540" i="14"/>
  <c r="H516" i="14"/>
  <c r="M516" i="14"/>
  <c r="K516" i="14"/>
  <c r="H588" i="14"/>
  <c r="M588" i="14"/>
  <c r="K588" i="14"/>
  <c r="H528" i="14"/>
  <c r="M528" i="14"/>
  <c r="K528" i="14"/>
  <c r="M504" i="14"/>
  <c r="H504" i="14"/>
  <c r="K504" i="14"/>
  <c r="M548" i="14"/>
  <c r="H548" i="14"/>
  <c r="K548" i="14"/>
  <c r="K306" i="14"/>
  <c r="H306" i="14"/>
  <c r="K338" i="14"/>
  <c r="K354" i="14"/>
  <c r="H338" i="14"/>
  <c r="M378" i="14"/>
  <c r="H378" i="14"/>
  <c r="H354" i="14"/>
  <c r="M314" i="14"/>
  <c r="H314" i="14"/>
  <c r="M382" i="14"/>
  <c r="K382" i="14"/>
  <c r="H382" i="14"/>
  <c r="H366" i="14"/>
  <c r="M366" i="14"/>
  <c r="K366" i="14"/>
  <c r="M359" i="14"/>
  <c r="K359" i="14"/>
  <c r="H359" i="14"/>
  <c r="M331" i="14"/>
  <c r="K331" i="14"/>
  <c r="H331" i="14"/>
  <c r="P329" i="14"/>
  <c r="P349" i="14"/>
  <c r="P373" i="14"/>
  <c r="M311" i="14"/>
  <c r="K311" i="14"/>
  <c r="H311" i="14"/>
  <c r="M327" i="14"/>
  <c r="K327" i="14"/>
  <c r="H327" i="14"/>
  <c r="M363" i="14"/>
  <c r="K363" i="14"/>
  <c r="H363" i="14"/>
  <c r="P361" i="14"/>
  <c r="P365" i="14"/>
  <c r="M347" i="14"/>
  <c r="K347" i="14"/>
  <c r="H347" i="14"/>
  <c r="H371" i="14"/>
  <c r="M371" i="14"/>
  <c r="K371" i="14"/>
  <c r="P313" i="14"/>
  <c r="P381" i="14"/>
  <c r="P309" i="14"/>
  <c r="M343" i="14"/>
  <c r="K343" i="14"/>
  <c r="H343" i="14"/>
  <c r="P377" i="14"/>
  <c r="P341" i="14"/>
  <c r="H323" i="14"/>
  <c r="M323" i="14"/>
  <c r="K323" i="14"/>
  <c r="H307" i="14"/>
  <c r="M307" i="14"/>
  <c r="K307" i="14"/>
  <c r="H355" i="14"/>
  <c r="M355" i="14"/>
  <c r="K355" i="14"/>
  <c r="M315" i="14"/>
  <c r="K315" i="14"/>
  <c r="H315" i="14"/>
  <c r="P345" i="14"/>
  <c r="P325" i="14"/>
  <c r="M379" i="14"/>
  <c r="K379" i="14"/>
  <c r="H379" i="14"/>
  <c r="H339" i="14"/>
  <c r="M339" i="14"/>
  <c r="K339" i="14"/>
  <c r="M375" i="14"/>
  <c r="H375" i="14"/>
  <c r="K375" i="14"/>
  <c r="P357" i="14"/>
  <c r="P317" i="14"/>
  <c r="P333" i="14"/>
  <c r="I17" i="14"/>
  <c r="J17" i="14"/>
  <c r="P18" i="14"/>
  <c r="L17" i="14"/>
  <c r="O17" i="14"/>
  <c r="K16" i="14"/>
  <c r="M16" i="14"/>
  <c r="H16" i="14"/>
  <c r="E36" i="6"/>
  <c r="F36" i="6"/>
  <c r="E37" i="6"/>
  <c r="F37" i="6"/>
  <c r="E38" i="6"/>
  <c r="F38" i="6"/>
  <c r="P38" i="11"/>
  <c r="P37" i="11"/>
  <c r="P36" i="11"/>
  <c r="M838" i="14" l="1"/>
  <c r="K838" i="14"/>
  <c r="H838" i="14"/>
  <c r="M725" i="14"/>
  <c r="K725" i="14"/>
  <c r="H725" i="14"/>
  <c r="M612" i="14"/>
  <c r="K612" i="14"/>
  <c r="H612" i="14"/>
  <c r="M344" i="14"/>
  <c r="K344" i="14"/>
  <c r="H344" i="14"/>
  <c r="M328" i="14"/>
  <c r="K328" i="14"/>
  <c r="H328" i="14"/>
  <c r="M332" i="14"/>
  <c r="K332" i="14"/>
  <c r="H332" i="14"/>
  <c r="M380" i="14"/>
  <c r="K380" i="14"/>
  <c r="H380" i="14"/>
  <c r="M364" i="14"/>
  <c r="K364" i="14"/>
  <c r="H364" i="14"/>
  <c r="M308" i="14"/>
  <c r="K308" i="14"/>
  <c r="H308" i="14"/>
  <c r="M356" i="14"/>
  <c r="K356" i="14"/>
  <c r="H356" i="14"/>
  <c r="M348" i="14"/>
  <c r="K348" i="14"/>
  <c r="H348" i="14"/>
  <c r="M340" i="14"/>
  <c r="K340" i="14"/>
  <c r="H340" i="14"/>
  <c r="M316" i="14"/>
  <c r="K316" i="14"/>
  <c r="H316" i="14"/>
  <c r="M312" i="14"/>
  <c r="K312" i="14"/>
  <c r="H312" i="14"/>
  <c r="M360" i="14"/>
  <c r="K360" i="14"/>
  <c r="H360" i="14"/>
  <c r="M376" i="14"/>
  <c r="K376" i="14"/>
  <c r="H376" i="14"/>
  <c r="M324" i="14"/>
  <c r="K324" i="14"/>
  <c r="H324" i="14"/>
  <c r="M372" i="14"/>
  <c r="K372" i="14"/>
  <c r="H372" i="14"/>
  <c r="I18" i="14"/>
  <c r="J18" i="14"/>
  <c r="L18" i="14"/>
  <c r="O18" i="14"/>
  <c r="H17" i="14"/>
  <c r="K17" i="14"/>
  <c r="M17" i="14"/>
  <c r="P35" i="11"/>
  <c r="P34" i="11"/>
  <c r="P33" i="11"/>
  <c r="P32" i="11"/>
  <c r="P31" i="11"/>
  <c r="P30" i="11"/>
  <c r="K361" i="14" l="1"/>
  <c r="M361" i="14"/>
  <c r="H361" i="14"/>
  <c r="K329" i="14"/>
  <c r="M329" i="14"/>
  <c r="H329" i="14"/>
  <c r="M357" i="14"/>
  <c r="K357" i="14"/>
  <c r="H357" i="14"/>
  <c r="K381" i="14"/>
  <c r="H381" i="14"/>
  <c r="M381" i="14"/>
  <c r="K341" i="14"/>
  <c r="M341" i="14"/>
  <c r="H341" i="14"/>
  <c r="K333" i="14"/>
  <c r="H333" i="14"/>
  <c r="M333" i="14"/>
  <c r="M373" i="14"/>
  <c r="K373" i="14"/>
  <c r="H373" i="14"/>
  <c r="M377" i="14"/>
  <c r="K377" i="14"/>
  <c r="H377" i="14"/>
  <c r="K309" i="14"/>
  <c r="M309" i="14"/>
  <c r="H309" i="14"/>
  <c r="K317" i="14"/>
  <c r="H317" i="14"/>
  <c r="M317" i="14"/>
  <c r="H313" i="14"/>
  <c r="K313" i="14"/>
  <c r="M313" i="14"/>
  <c r="K325" i="14"/>
  <c r="M325" i="14"/>
  <c r="H325" i="14"/>
  <c r="K365" i="14"/>
  <c r="H365" i="14"/>
  <c r="M365" i="14"/>
  <c r="K349" i="14"/>
  <c r="H349" i="14"/>
  <c r="M349" i="14"/>
  <c r="M345" i="14"/>
  <c r="K345" i="14"/>
  <c r="H345" i="14"/>
  <c r="H18" i="14"/>
  <c r="K18" i="14"/>
  <c r="M18" i="14"/>
  <c r="E33" i="6"/>
  <c r="E34" i="6"/>
  <c r="E35" i="6"/>
  <c r="F29" i="6"/>
  <c r="F30" i="6"/>
  <c r="F31" i="6"/>
  <c r="F32" i="6"/>
  <c r="F33" i="6"/>
  <c r="F34" i="6"/>
  <c r="F35" i="6"/>
  <c r="E32" i="6"/>
  <c r="E31" i="6"/>
  <c r="E30" i="6"/>
  <c r="F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E17" i="6"/>
  <c r="E16" i="6"/>
  <c r="E15" i="6"/>
  <c r="E14" i="6"/>
  <c r="E13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K20" i="5" l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H11" i="5"/>
  <c r="H12" i="5"/>
  <c r="O36" i="7" s="1"/>
  <c r="H13" i="5"/>
  <c r="L8" i="5"/>
  <c r="H6" i="5"/>
  <c r="H5" i="5"/>
  <c r="K10" i="15"/>
  <c r="K9" i="15"/>
  <c r="K8" i="15"/>
  <c r="K7" i="15"/>
  <c r="E6" i="15"/>
  <c r="D8" i="14"/>
  <c r="D9" i="14"/>
  <c r="D10" i="14"/>
  <c r="D11" i="14"/>
  <c r="D12" i="14"/>
  <c r="D13" i="14"/>
  <c r="D14" i="14"/>
  <c r="D7" i="14"/>
  <c r="G14" i="14"/>
  <c r="F14" i="14"/>
  <c r="G13" i="14"/>
  <c r="F13" i="14"/>
  <c r="G12" i="14"/>
  <c r="F12" i="14"/>
  <c r="P11" i="14"/>
  <c r="G11" i="14"/>
  <c r="F11" i="14"/>
  <c r="G10" i="14"/>
  <c r="F10" i="14"/>
  <c r="G9" i="14"/>
  <c r="F9" i="14"/>
  <c r="G8" i="14"/>
  <c r="F8" i="14"/>
  <c r="P7" i="14"/>
  <c r="G7" i="14"/>
  <c r="F7" i="14"/>
  <c r="L6" i="12"/>
  <c r="I6" i="12"/>
  <c r="F6" i="12"/>
  <c r="T4" i="17"/>
  <c r="O4" i="17"/>
  <c r="R4" i="17" s="1"/>
  <c r="J4" i="17"/>
  <c r="E4" i="17"/>
  <c r="F4" i="17" s="1"/>
  <c r="T3" i="17"/>
  <c r="W3" i="17" s="1"/>
  <c r="O3" i="17"/>
  <c r="R3" i="17" s="1"/>
  <c r="J3" i="17"/>
  <c r="M3" i="17" s="1"/>
  <c r="E3" i="17"/>
  <c r="O30" i="7" l="1"/>
  <c r="O33" i="7"/>
  <c r="J7" i="14"/>
  <c r="L7" i="14"/>
  <c r="I11" i="14"/>
  <c r="H11" i="14" s="1"/>
  <c r="L11" i="14"/>
  <c r="J11" i="14"/>
  <c r="E7" i="15"/>
  <c r="E8" i="15"/>
  <c r="E9" i="15"/>
  <c r="E10" i="15"/>
  <c r="K6" i="15"/>
  <c r="P12" i="14"/>
  <c r="L12" i="14" s="1"/>
  <c r="P8" i="14"/>
  <c r="I8" i="14" s="1"/>
  <c r="N4" i="17"/>
  <c r="I4" i="17"/>
  <c r="O11" i="14" s="1"/>
  <c r="S4" i="17"/>
  <c r="W4" i="17"/>
  <c r="K3" i="17"/>
  <c r="K4" i="17"/>
  <c r="X4" i="17" s="1"/>
  <c r="P3" i="17"/>
  <c r="F3" i="17"/>
  <c r="P4" i="17"/>
  <c r="M4" i="17" s="1"/>
  <c r="U3" i="17"/>
  <c r="U4" i="17"/>
  <c r="G8" i="7"/>
  <c r="H8" i="7"/>
  <c r="L8" i="14" l="1"/>
  <c r="J12" i="14"/>
  <c r="O12" i="14"/>
  <c r="O8" i="14"/>
  <c r="J8" i="14"/>
  <c r="I12" i="14"/>
  <c r="K11" i="14"/>
  <c r="M11" i="14"/>
  <c r="N3" i="17"/>
  <c r="I7" i="14"/>
  <c r="M7" i="14" s="1"/>
  <c r="X3" i="17"/>
  <c r="I3" i="17"/>
  <c r="O7" i="14" s="1"/>
  <c r="S3" i="17"/>
  <c r="P13" i="14"/>
  <c r="P9" i="14"/>
  <c r="H3" i="3"/>
  <c r="H4" i="3"/>
  <c r="H5" i="3"/>
  <c r="H6" i="3"/>
  <c r="H7" i="3"/>
  <c r="H8" i="3"/>
  <c r="H9" i="3"/>
  <c r="H10" i="3"/>
  <c r="H11" i="3"/>
  <c r="H12" i="3"/>
  <c r="H13" i="3"/>
  <c r="H2" i="3"/>
  <c r="L13" i="14" l="1"/>
  <c r="J13" i="14"/>
  <c r="O13" i="14"/>
  <c r="I13" i="14"/>
  <c r="J9" i="14"/>
  <c r="O9" i="14"/>
  <c r="L9" i="14"/>
  <c r="I9" i="14"/>
  <c r="H7" i="14"/>
  <c r="K7" i="14"/>
  <c r="P14" i="14"/>
  <c r="M12" i="14"/>
  <c r="H12" i="14"/>
  <c r="K12" i="14"/>
  <c r="K8" i="14"/>
  <c r="M8" i="14"/>
  <c r="H8" i="14"/>
  <c r="P10" i="14"/>
  <c r="I10" i="14" l="1"/>
  <c r="L10" i="14"/>
  <c r="J10" i="14"/>
  <c r="O10" i="14"/>
  <c r="I14" i="14"/>
  <c r="L14" i="14"/>
  <c r="O14" i="14"/>
  <c r="J14" i="14"/>
  <c r="K13" i="14"/>
  <c r="H13" i="14"/>
  <c r="M13" i="14"/>
  <c r="K9" i="14"/>
  <c r="H9" i="14"/>
  <c r="M9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5" i="14"/>
  <c r="B206" i="14"/>
  <c r="B207" i="14"/>
  <c r="B209" i="14"/>
  <c r="B210" i="14"/>
  <c r="B211" i="14"/>
  <c r="B213" i="14"/>
  <c r="B214" i="14"/>
  <c r="B215" i="14"/>
  <c r="B217" i="14"/>
  <c r="B218" i="14"/>
  <c r="B219" i="14"/>
  <c r="B221" i="14"/>
  <c r="B222" i="14"/>
  <c r="B223" i="14"/>
  <c r="B225" i="14"/>
  <c r="B226" i="14"/>
  <c r="B227" i="14"/>
  <c r="B229" i="14"/>
  <c r="B230" i="14"/>
  <c r="B231" i="14"/>
  <c r="B233" i="14"/>
  <c r="B234" i="14"/>
  <c r="B235" i="14"/>
  <c r="B237" i="14"/>
  <c r="B238" i="14"/>
  <c r="B239" i="14"/>
  <c r="B241" i="14"/>
  <c r="B242" i="14"/>
  <c r="B243" i="14"/>
  <c r="B245" i="14"/>
  <c r="B246" i="14"/>
  <c r="B247" i="14"/>
  <c r="B249" i="14"/>
  <c r="B250" i="14"/>
  <c r="B251" i="14"/>
  <c r="B253" i="14"/>
  <c r="B254" i="14"/>
  <c r="B255" i="14"/>
  <c r="B257" i="14"/>
  <c r="B258" i="14"/>
  <c r="B259" i="14"/>
  <c r="B261" i="14"/>
  <c r="B262" i="14"/>
  <c r="B263" i="14"/>
  <c r="B265" i="14"/>
  <c r="B266" i="14"/>
  <c r="B267" i="14"/>
  <c r="B269" i="14"/>
  <c r="B270" i="14"/>
  <c r="B271" i="14"/>
  <c r="B273" i="14"/>
  <c r="B274" i="14"/>
  <c r="B275" i="14"/>
  <c r="B277" i="14"/>
  <c r="B278" i="14"/>
  <c r="B279" i="14"/>
  <c r="B281" i="14"/>
  <c r="B282" i="14"/>
  <c r="B283" i="14"/>
  <c r="B285" i="14"/>
  <c r="B286" i="14"/>
  <c r="B287" i="14"/>
  <c r="B289" i="14"/>
  <c r="B290" i="14"/>
  <c r="B291" i="14"/>
  <c r="B293" i="14"/>
  <c r="B294" i="14"/>
  <c r="B295" i="14"/>
  <c r="B297" i="14"/>
  <c r="B298" i="14"/>
  <c r="B299" i="14"/>
  <c r="B301" i="14"/>
  <c r="B302" i="14"/>
  <c r="B303" i="14"/>
  <c r="B105" i="14"/>
  <c r="B106" i="14"/>
  <c r="B107" i="14"/>
  <c r="B104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5" i="14"/>
  <c r="D206" i="14"/>
  <c r="D207" i="14"/>
  <c r="D209" i="14"/>
  <c r="D210" i="14"/>
  <c r="D211" i="14"/>
  <c r="D213" i="14"/>
  <c r="D214" i="14"/>
  <c r="D215" i="14"/>
  <c r="D217" i="14"/>
  <c r="D218" i="14"/>
  <c r="D219" i="14"/>
  <c r="D221" i="14"/>
  <c r="D222" i="14"/>
  <c r="D223" i="14"/>
  <c r="D225" i="14"/>
  <c r="D226" i="14"/>
  <c r="D227" i="14"/>
  <c r="D229" i="14"/>
  <c r="D230" i="14"/>
  <c r="D231" i="14"/>
  <c r="D233" i="14"/>
  <c r="D234" i="14"/>
  <c r="D235" i="14"/>
  <c r="D237" i="14"/>
  <c r="D238" i="14"/>
  <c r="D239" i="14"/>
  <c r="D241" i="14"/>
  <c r="D242" i="14"/>
  <c r="D243" i="14"/>
  <c r="D245" i="14"/>
  <c r="D246" i="14"/>
  <c r="D247" i="14"/>
  <c r="D249" i="14"/>
  <c r="D250" i="14"/>
  <c r="D251" i="14"/>
  <c r="D253" i="14"/>
  <c r="D254" i="14"/>
  <c r="D255" i="14"/>
  <c r="D257" i="14"/>
  <c r="D258" i="14"/>
  <c r="D259" i="14"/>
  <c r="D261" i="14"/>
  <c r="D262" i="14"/>
  <c r="D263" i="14"/>
  <c r="D265" i="14"/>
  <c r="D266" i="14"/>
  <c r="D267" i="14"/>
  <c r="D269" i="14"/>
  <c r="D270" i="14"/>
  <c r="D271" i="14"/>
  <c r="D273" i="14"/>
  <c r="D274" i="14"/>
  <c r="D275" i="14"/>
  <c r="D277" i="14"/>
  <c r="D278" i="14"/>
  <c r="D279" i="14"/>
  <c r="D281" i="14"/>
  <c r="D282" i="14"/>
  <c r="D283" i="14"/>
  <c r="D285" i="14"/>
  <c r="D286" i="14"/>
  <c r="D287" i="14"/>
  <c r="D289" i="14"/>
  <c r="D290" i="14"/>
  <c r="D291" i="14"/>
  <c r="D293" i="14"/>
  <c r="D294" i="14"/>
  <c r="D295" i="14"/>
  <c r="D297" i="14"/>
  <c r="D298" i="14"/>
  <c r="D299" i="14"/>
  <c r="D301" i="14"/>
  <c r="D302" i="14"/>
  <c r="D303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04" i="14"/>
  <c r="P205" i="14"/>
  <c r="P206" i="14"/>
  <c r="P207" i="14"/>
  <c r="P208" i="14"/>
  <c r="P209" i="14"/>
  <c r="P210" i="14"/>
  <c r="P211" i="14"/>
  <c r="P212" i="14"/>
  <c r="D212" i="14" s="1"/>
  <c r="P213" i="14"/>
  <c r="P214" i="14"/>
  <c r="P215" i="14"/>
  <c r="P216" i="14"/>
  <c r="D216" i="14" s="1"/>
  <c r="P217" i="14"/>
  <c r="P218" i="14"/>
  <c r="P219" i="14"/>
  <c r="P220" i="14"/>
  <c r="D220" i="14" s="1"/>
  <c r="P221" i="14"/>
  <c r="P222" i="14"/>
  <c r="P223" i="14"/>
  <c r="P224" i="14"/>
  <c r="P225" i="14"/>
  <c r="P226" i="14"/>
  <c r="P227" i="14"/>
  <c r="P228" i="14"/>
  <c r="B228" i="14" s="1"/>
  <c r="P229" i="14"/>
  <c r="P230" i="14"/>
  <c r="P231" i="14"/>
  <c r="P232" i="14"/>
  <c r="D232" i="14" s="1"/>
  <c r="P233" i="14"/>
  <c r="P234" i="14"/>
  <c r="P235" i="14"/>
  <c r="P236" i="14"/>
  <c r="D236" i="14" s="1"/>
  <c r="P237" i="14"/>
  <c r="P238" i="14"/>
  <c r="P239" i="14"/>
  <c r="P240" i="14"/>
  <c r="P241" i="14"/>
  <c r="P242" i="14"/>
  <c r="P243" i="14"/>
  <c r="P244" i="14"/>
  <c r="B244" i="14" s="1"/>
  <c r="P245" i="14"/>
  <c r="P246" i="14"/>
  <c r="P247" i="14"/>
  <c r="P248" i="14"/>
  <c r="D248" i="14" s="1"/>
  <c r="P249" i="14"/>
  <c r="P250" i="14"/>
  <c r="P251" i="14"/>
  <c r="P252" i="14"/>
  <c r="D252" i="14" s="1"/>
  <c r="P253" i="14"/>
  <c r="P254" i="14"/>
  <c r="P255" i="14"/>
  <c r="P256" i="14"/>
  <c r="P257" i="14"/>
  <c r="P258" i="14"/>
  <c r="P259" i="14"/>
  <c r="P260" i="14"/>
  <c r="B260" i="14" s="1"/>
  <c r="P261" i="14"/>
  <c r="P262" i="14"/>
  <c r="P263" i="14"/>
  <c r="P264" i="14"/>
  <c r="B264" i="14" s="1"/>
  <c r="P265" i="14"/>
  <c r="P266" i="14"/>
  <c r="P267" i="14"/>
  <c r="P268" i="14"/>
  <c r="D268" i="14" s="1"/>
  <c r="P269" i="14"/>
  <c r="P270" i="14"/>
  <c r="P271" i="14"/>
  <c r="P272" i="14"/>
  <c r="P273" i="14"/>
  <c r="P274" i="14"/>
  <c r="P275" i="14"/>
  <c r="P276" i="14"/>
  <c r="D276" i="14" s="1"/>
  <c r="P277" i="14"/>
  <c r="P278" i="14"/>
  <c r="P279" i="14"/>
  <c r="P280" i="14"/>
  <c r="B280" i="14" s="1"/>
  <c r="P281" i="14"/>
  <c r="P282" i="14"/>
  <c r="P283" i="14"/>
  <c r="P284" i="14"/>
  <c r="D284" i="14" s="1"/>
  <c r="P285" i="14"/>
  <c r="P286" i="14"/>
  <c r="P287" i="14"/>
  <c r="P288" i="14"/>
  <c r="P289" i="14"/>
  <c r="P290" i="14"/>
  <c r="P291" i="14"/>
  <c r="P292" i="14"/>
  <c r="B292" i="14" s="1"/>
  <c r="P293" i="14"/>
  <c r="P294" i="14"/>
  <c r="P295" i="14"/>
  <c r="P296" i="14"/>
  <c r="B296" i="14" s="1"/>
  <c r="P297" i="14"/>
  <c r="P298" i="14"/>
  <c r="P299" i="14"/>
  <c r="P300" i="14"/>
  <c r="D300" i="14" s="1"/>
  <c r="P301" i="14"/>
  <c r="P302" i="14"/>
  <c r="P303" i="14"/>
  <c r="P204" i="14"/>
  <c r="Q204" i="14"/>
  <c r="Q205" i="14" s="1"/>
  <c r="Q206" i="14" s="1"/>
  <c r="Q207" i="14" s="1"/>
  <c r="Q208" i="14"/>
  <c r="Q209" i="14" s="1"/>
  <c r="Q210" i="14" s="1"/>
  <c r="Q211" i="14" s="1"/>
  <c r="Q212" i="14"/>
  <c r="Q213" i="14" s="1"/>
  <c r="Q214" i="14" s="1"/>
  <c r="Q215" i="14" s="1"/>
  <c r="Q216" i="14"/>
  <c r="Q217" i="14" s="1"/>
  <c r="Q220" i="14"/>
  <c r="Q221" i="14" s="1"/>
  <c r="Q222" i="14" s="1"/>
  <c r="Q223" i="14" s="1"/>
  <c r="Q224" i="14"/>
  <c r="Q225" i="14" s="1"/>
  <c r="Q228" i="14"/>
  <c r="Q229" i="14" s="1"/>
  <c r="Q230" i="14" s="1"/>
  <c r="Q232" i="14"/>
  <c r="Q233" i="14" s="1"/>
  <c r="Q234" i="14" s="1"/>
  <c r="Q235" i="14" s="1"/>
  <c r="Q236" i="14"/>
  <c r="Q237" i="14" s="1"/>
  <c r="Q240" i="14"/>
  <c r="Q241" i="14" s="1"/>
  <c r="Q244" i="14"/>
  <c r="Q245" i="14" s="1"/>
  <c r="Q246" i="14" s="1"/>
  <c r="Q248" i="14"/>
  <c r="Q249" i="14" s="1"/>
  <c r="Q250" i="14" s="1"/>
  <c r="Q251" i="14" s="1"/>
  <c r="Q252" i="14"/>
  <c r="Q253" i="14" s="1"/>
  <c r="Q256" i="14"/>
  <c r="Q257" i="14" s="1"/>
  <c r="Q258" i="14" s="1"/>
  <c r="Q259" i="14" s="1"/>
  <c r="Q260" i="14"/>
  <c r="Q261" i="14" s="1"/>
  <c r="Q262" i="14" s="1"/>
  <c r="Q263" i="14" s="1"/>
  <c r="Q264" i="14"/>
  <c r="Q265" i="14" s="1"/>
  <c r="Q268" i="14"/>
  <c r="Q269" i="14" s="1"/>
  <c r="Q270" i="14" s="1"/>
  <c r="Q271" i="14" s="1"/>
  <c r="Q272" i="14"/>
  <c r="Q273" i="14" s="1"/>
  <c r="Q276" i="14"/>
  <c r="Q277" i="14" s="1"/>
  <c r="Q280" i="14"/>
  <c r="Q281" i="14" s="1"/>
  <c r="Q284" i="14"/>
  <c r="Q285" i="14" s="1"/>
  <c r="Q286" i="14" s="1"/>
  <c r="Q287" i="14" s="1"/>
  <c r="Q288" i="14"/>
  <c r="Q289" i="14" s="1"/>
  <c r="Q290" i="14" s="1"/>
  <c r="Q291" i="14" s="1"/>
  <c r="Q292" i="14"/>
  <c r="Q293" i="14" s="1"/>
  <c r="Q294" i="14" s="1"/>
  <c r="Q295" i="14" s="1"/>
  <c r="Q296" i="14"/>
  <c r="Q297" i="14" s="1"/>
  <c r="Q298" i="14" s="1"/>
  <c r="Q299" i="14" s="1"/>
  <c r="Q300" i="14"/>
  <c r="Q301" i="14" s="1"/>
  <c r="Q302" i="14" s="1"/>
  <c r="Q303" i="14" s="1"/>
  <c r="G303" i="14"/>
  <c r="F303" i="14"/>
  <c r="G302" i="14"/>
  <c r="F302" i="14"/>
  <c r="G301" i="14"/>
  <c r="F301" i="14"/>
  <c r="G300" i="14"/>
  <c r="F300" i="14"/>
  <c r="G299" i="14"/>
  <c r="F299" i="14"/>
  <c r="G298" i="14"/>
  <c r="F298" i="14"/>
  <c r="G297" i="14"/>
  <c r="F297" i="14"/>
  <c r="G296" i="14"/>
  <c r="F296" i="14"/>
  <c r="G295" i="14"/>
  <c r="F295" i="14"/>
  <c r="G294" i="14"/>
  <c r="F294" i="14"/>
  <c r="G293" i="14"/>
  <c r="F293" i="14"/>
  <c r="G292" i="14"/>
  <c r="F292" i="14"/>
  <c r="G291" i="14"/>
  <c r="F291" i="14"/>
  <c r="G290" i="14"/>
  <c r="F290" i="14"/>
  <c r="G289" i="14"/>
  <c r="F289" i="14"/>
  <c r="G288" i="14"/>
  <c r="F288" i="14"/>
  <c r="G287" i="14"/>
  <c r="F287" i="14"/>
  <c r="G286" i="14"/>
  <c r="F286" i="14"/>
  <c r="G285" i="14"/>
  <c r="F285" i="14"/>
  <c r="G284" i="14"/>
  <c r="F284" i="14"/>
  <c r="G283" i="14"/>
  <c r="F283" i="14"/>
  <c r="G282" i="14"/>
  <c r="F282" i="14"/>
  <c r="G281" i="14"/>
  <c r="F281" i="14"/>
  <c r="G280" i="14"/>
  <c r="F280" i="14"/>
  <c r="G279" i="14"/>
  <c r="F279" i="14"/>
  <c r="G278" i="14"/>
  <c r="F278" i="14"/>
  <c r="G277" i="14"/>
  <c r="F277" i="14"/>
  <c r="G276" i="14"/>
  <c r="F276" i="14"/>
  <c r="G275" i="14"/>
  <c r="F275" i="14"/>
  <c r="G274" i="14"/>
  <c r="F274" i="14"/>
  <c r="G273" i="14"/>
  <c r="F273" i="14"/>
  <c r="G272" i="14"/>
  <c r="F272" i="14"/>
  <c r="G271" i="14"/>
  <c r="F271" i="14"/>
  <c r="G270" i="14"/>
  <c r="F270" i="14"/>
  <c r="G269" i="14"/>
  <c r="F269" i="14"/>
  <c r="G268" i="14"/>
  <c r="F268" i="14"/>
  <c r="G267" i="14"/>
  <c r="F267" i="14"/>
  <c r="G266" i="14"/>
  <c r="F266" i="14"/>
  <c r="G265" i="14"/>
  <c r="F265" i="14"/>
  <c r="G264" i="14"/>
  <c r="F264" i="14"/>
  <c r="G263" i="14"/>
  <c r="F263" i="14"/>
  <c r="G262" i="14"/>
  <c r="F262" i="14"/>
  <c r="G261" i="14"/>
  <c r="F261" i="14"/>
  <c r="G260" i="14"/>
  <c r="F260" i="14"/>
  <c r="G259" i="14"/>
  <c r="F259" i="14"/>
  <c r="G258" i="14"/>
  <c r="F258" i="14"/>
  <c r="G257" i="14"/>
  <c r="F257" i="14"/>
  <c r="G256" i="14"/>
  <c r="F256" i="14"/>
  <c r="G255" i="14"/>
  <c r="F255" i="14"/>
  <c r="G254" i="14"/>
  <c r="F254" i="14"/>
  <c r="G253" i="14"/>
  <c r="F253" i="14"/>
  <c r="G252" i="14"/>
  <c r="F252" i="14"/>
  <c r="G251" i="14"/>
  <c r="F251" i="14"/>
  <c r="G250" i="14"/>
  <c r="F250" i="14"/>
  <c r="G249" i="14"/>
  <c r="F249" i="14"/>
  <c r="G248" i="14"/>
  <c r="F248" i="14"/>
  <c r="G247" i="14"/>
  <c r="F247" i="14"/>
  <c r="G246" i="14"/>
  <c r="F246" i="14"/>
  <c r="G245" i="14"/>
  <c r="F245" i="14"/>
  <c r="G244" i="14"/>
  <c r="F244" i="14"/>
  <c r="G243" i="14"/>
  <c r="F243" i="14"/>
  <c r="G242" i="14"/>
  <c r="F242" i="14"/>
  <c r="G241" i="14"/>
  <c r="F241" i="14"/>
  <c r="G240" i="14"/>
  <c r="F240" i="14"/>
  <c r="G239" i="14"/>
  <c r="F239" i="14"/>
  <c r="G238" i="14"/>
  <c r="F238" i="14"/>
  <c r="G237" i="14"/>
  <c r="F237" i="14"/>
  <c r="G236" i="14"/>
  <c r="F236" i="14"/>
  <c r="G235" i="14"/>
  <c r="F235" i="14"/>
  <c r="G234" i="14"/>
  <c r="F234" i="14"/>
  <c r="G233" i="14"/>
  <c r="F233" i="14"/>
  <c r="G232" i="14"/>
  <c r="F232" i="14"/>
  <c r="G231" i="14"/>
  <c r="F231" i="14"/>
  <c r="G230" i="14"/>
  <c r="F230" i="14"/>
  <c r="G229" i="14"/>
  <c r="F229" i="14"/>
  <c r="G228" i="14"/>
  <c r="F228" i="14"/>
  <c r="G227" i="14"/>
  <c r="F227" i="14"/>
  <c r="G226" i="14"/>
  <c r="F226" i="14"/>
  <c r="G225" i="14"/>
  <c r="F225" i="14"/>
  <c r="G224" i="14"/>
  <c r="F224" i="14"/>
  <c r="G223" i="14"/>
  <c r="F223" i="14"/>
  <c r="G222" i="14"/>
  <c r="F222" i="14"/>
  <c r="G221" i="14"/>
  <c r="F221" i="14"/>
  <c r="G220" i="14"/>
  <c r="F220" i="14"/>
  <c r="G219" i="14"/>
  <c r="F219" i="14"/>
  <c r="G218" i="14"/>
  <c r="F218" i="14"/>
  <c r="G217" i="14"/>
  <c r="F217" i="14"/>
  <c r="G216" i="14"/>
  <c r="F216" i="14"/>
  <c r="G215" i="14"/>
  <c r="F215" i="14"/>
  <c r="G214" i="14"/>
  <c r="F214" i="14"/>
  <c r="G213" i="14"/>
  <c r="F213" i="14"/>
  <c r="G212" i="14"/>
  <c r="F212" i="14"/>
  <c r="G211" i="14"/>
  <c r="F211" i="14"/>
  <c r="G210" i="14"/>
  <c r="F210" i="14"/>
  <c r="G209" i="14"/>
  <c r="F209" i="14"/>
  <c r="G208" i="14"/>
  <c r="F208" i="14"/>
  <c r="G207" i="14"/>
  <c r="F207" i="14"/>
  <c r="G206" i="14"/>
  <c r="F206" i="14"/>
  <c r="G205" i="14"/>
  <c r="F205" i="14"/>
  <c r="G204" i="14"/>
  <c r="F204" i="14"/>
  <c r="F15" i="12"/>
  <c r="J15" i="12"/>
  <c r="L15" i="12"/>
  <c r="F16" i="12"/>
  <c r="J16" i="12"/>
  <c r="L16" i="12"/>
  <c r="F17" i="12"/>
  <c r="J17" i="12"/>
  <c r="L17" i="12"/>
  <c r="F18" i="12"/>
  <c r="J18" i="12"/>
  <c r="L18" i="12"/>
  <c r="F19" i="12"/>
  <c r="J19" i="12"/>
  <c r="L19" i="12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B170" i="2"/>
  <c r="A170" i="2" s="1"/>
  <c r="B171" i="2"/>
  <c r="A171" i="2" s="1"/>
  <c r="B172" i="2"/>
  <c r="A172" i="2" s="1"/>
  <c r="B173" i="2"/>
  <c r="A173" i="2" s="1"/>
  <c r="B174" i="2"/>
  <c r="A174" i="2" s="1"/>
  <c r="B175" i="2"/>
  <c r="A175" i="2" s="1"/>
  <c r="B176" i="2"/>
  <c r="A176" i="2" s="1"/>
  <c r="B177" i="2"/>
  <c r="A177" i="2" s="1"/>
  <c r="B178" i="2"/>
  <c r="A178" i="2" s="1"/>
  <c r="B179" i="2"/>
  <c r="A179" i="2" s="1"/>
  <c r="B180" i="2"/>
  <c r="A180" i="2" s="1"/>
  <c r="B181" i="2"/>
  <c r="A181" i="2" s="1"/>
  <c r="B182" i="2"/>
  <c r="A182" i="2" s="1"/>
  <c r="B183" i="2"/>
  <c r="A183" i="2" s="1"/>
  <c r="B184" i="2"/>
  <c r="A184" i="2" s="1"/>
  <c r="B185" i="2"/>
  <c r="A185" i="2" s="1"/>
  <c r="B186" i="2"/>
  <c r="A186" i="2" s="1"/>
  <c r="B187" i="2"/>
  <c r="A187" i="2" s="1"/>
  <c r="B188" i="2"/>
  <c r="A188" i="2" s="1"/>
  <c r="B189" i="2"/>
  <c r="A189" i="2" s="1"/>
  <c r="B190" i="2"/>
  <c r="A190" i="2" s="1"/>
  <c r="B191" i="2"/>
  <c r="A191" i="2" s="1"/>
  <c r="B192" i="2"/>
  <c r="A192" i="2" s="1"/>
  <c r="B193" i="2"/>
  <c r="A193" i="2" s="1"/>
  <c r="B169" i="2"/>
  <c r="A169" i="2" s="1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23" i="14"/>
  <c r="K14" i="14" l="1"/>
  <c r="M14" i="14"/>
  <c r="H14" i="14"/>
  <c r="K10" i="14"/>
  <c r="M10" i="14"/>
  <c r="H10" i="14"/>
  <c r="D260" i="14"/>
  <c r="D292" i="14"/>
  <c r="D228" i="14"/>
  <c r="D264" i="14"/>
  <c r="D280" i="14"/>
  <c r="D244" i="14"/>
  <c r="D296" i="14"/>
  <c r="B276" i="14"/>
  <c r="B216" i="14"/>
  <c r="B232" i="14"/>
  <c r="B248" i="14"/>
  <c r="B212" i="14"/>
  <c r="Q226" i="14"/>
  <c r="Q227" i="14" s="1"/>
  <c r="Q274" i="14"/>
  <c r="Q275" i="14" s="1"/>
  <c r="D204" i="14"/>
  <c r="B204" i="14"/>
  <c r="B288" i="14"/>
  <c r="D288" i="14"/>
  <c r="B272" i="14"/>
  <c r="D272" i="14"/>
  <c r="B256" i="14"/>
  <c r="D256" i="14"/>
  <c r="B240" i="14"/>
  <c r="D240" i="14"/>
  <c r="B224" i="14"/>
  <c r="D224" i="14"/>
  <c r="B208" i="14"/>
  <c r="D208" i="14"/>
  <c r="Q242" i="14"/>
  <c r="Q243" i="14" s="1"/>
  <c r="B300" i="14"/>
  <c r="B284" i="14"/>
  <c r="B268" i="14"/>
  <c r="B252" i="14"/>
  <c r="B236" i="14"/>
  <c r="B220" i="14"/>
  <c r="Q231" i="14"/>
  <c r="Q254" i="14"/>
  <c r="Q247" i="14"/>
  <c r="Q238" i="14"/>
  <c r="Q282" i="14"/>
  <c r="Q266" i="14"/>
  <c r="Q218" i="14"/>
  <c r="Q219" i="14" s="1"/>
  <c r="Q278" i="14"/>
  <c r="Q279" i="14" s="1"/>
  <c r="Q239" i="14" l="1"/>
  <c r="Q267" i="14"/>
  <c r="Q255" i="14"/>
  <c r="Q283" i="14"/>
  <c r="Q108" i="14"/>
  <c r="Q112" i="14"/>
  <c r="Q116" i="14"/>
  <c r="Q120" i="14"/>
  <c r="Q124" i="14"/>
  <c r="Q125" i="14" s="1"/>
  <c r="Q126" i="14" s="1"/>
  <c r="Q128" i="14"/>
  <c r="Q132" i="14"/>
  <c r="Q136" i="14"/>
  <c r="Q137" i="14" s="1"/>
  <c r="Q140" i="14"/>
  <c r="Q141" i="14" s="1"/>
  <c r="Q144" i="14"/>
  <c r="Q145" i="14" s="1"/>
  <c r="Q148" i="14"/>
  <c r="Q152" i="14"/>
  <c r="Q153" i="14" s="1"/>
  <c r="Q156" i="14"/>
  <c r="Q160" i="14"/>
  <c r="Q164" i="14"/>
  <c r="Q168" i="14"/>
  <c r="Q169" i="14" s="1"/>
  <c r="Q172" i="14"/>
  <c r="Q176" i="14"/>
  <c r="Q177" i="14" s="1"/>
  <c r="Q178" i="14" s="1"/>
  <c r="Q180" i="14"/>
  <c r="Q184" i="14"/>
  <c r="Q188" i="14"/>
  <c r="Q189" i="14" s="1"/>
  <c r="Q192" i="14"/>
  <c r="Q196" i="14"/>
  <c r="Q200" i="14"/>
  <c r="Q201" i="14" s="1"/>
  <c r="Q104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4" i="14"/>
  <c r="F25" i="14"/>
  <c r="F26" i="14"/>
  <c r="F23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L11" i="12"/>
  <c r="L12" i="12"/>
  <c r="L13" i="12"/>
  <c r="L14" i="12"/>
  <c r="L10" i="12"/>
  <c r="J11" i="12"/>
  <c r="J12" i="12"/>
  <c r="J13" i="12"/>
  <c r="J14" i="12"/>
  <c r="J10" i="12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3" i="16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44" i="2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3" i="13"/>
  <c r="W18" i="13" l="1"/>
  <c r="W19" i="13"/>
  <c r="R13" i="13"/>
  <c r="W17" i="13"/>
  <c r="W6" i="13"/>
  <c r="R12" i="13"/>
  <c r="R18" i="13"/>
  <c r="R11" i="13"/>
  <c r="W15" i="13"/>
  <c r="R10" i="13"/>
  <c r="W14" i="13"/>
  <c r="W21" i="13"/>
  <c r="R9" i="13"/>
  <c r="W13" i="13"/>
  <c r="R8" i="13"/>
  <c r="W12" i="13"/>
  <c r="R3" i="13"/>
  <c r="R7" i="13"/>
  <c r="W11" i="13"/>
  <c r="M3" i="13"/>
  <c r="R6" i="13"/>
  <c r="W10" i="13"/>
  <c r="W20" i="13"/>
  <c r="R5" i="13"/>
  <c r="W9" i="13"/>
  <c r="R17" i="13"/>
  <c r="R16" i="13"/>
  <c r="R15" i="13"/>
  <c r="R20" i="13"/>
  <c r="R4" i="13"/>
  <c r="W8" i="13"/>
  <c r="W5" i="13"/>
  <c r="W4" i="13"/>
  <c r="R19" i="13"/>
  <c r="W3" i="13"/>
  <c r="W7" i="13"/>
  <c r="L28" i="16"/>
  <c r="L29" i="16"/>
  <c r="Q138" i="14"/>
  <c r="Q142" i="14"/>
  <c r="Q109" i="14"/>
  <c r="Q193" i="14"/>
  <c r="Q185" i="14"/>
  <c r="Q181" i="14"/>
  <c r="Q117" i="14"/>
  <c r="Q149" i="14"/>
  <c r="Q190" i="14"/>
  <c r="Q179" i="14"/>
  <c r="Q202" i="14"/>
  <c r="Q157" i="14"/>
  <c r="Q113" i="14"/>
  <c r="Q133" i="14"/>
  <c r="Q146" i="14"/>
  <c r="Q173" i="14"/>
  <c r="Q129" i="14"/>
  <c r="Q170" i="14"/>
  <c r="Q127" i="14"/>
  <c r="Q165" i="14"/>
  <c r="Q154" i="14"/>
  <c r="Q197" i="14"/>
  <c r="Q105" i="14"/>
  <c r="Q161" i="14"/>
  <c r="Q121" i="14"/>
  <c r="G28" i="16"/>
  <c r="Q29" i="16"/>
  <c r="Q32" i="16"/>
  <c r="V35" i="16"/>
  <c r="L37" i="16"/>
  <c r="X38" i="16"/>
  <c r="L40" i="16"/>
  <c r="S43" i="16"/>
  <c r="L46" i="16"/>
  <c r="X47" i="16"/>
  <c r="W47" i="16" s="1"/>
  <c r="L49" i="16"/>
  <c r="V50" i="16"/>
  <c r="L10" i="16"/>
  <c r="N13" i="16"/>
  <c r="M13" i="16" s="1"/>
  <c r="X14" i="16"/>
  <c r="W14" i="16" s="1"/>
  <c r="G16" i="16"/>
  <c r="L20" i="16"/>
  <c r="V21" i="16"/>
  <c r="L23" i="16"/>
  <c r="N24" i="16"/>
  <c r="M24" i="16" s="1"/>
  <c r="N27" i="16"/>
  <c r="M27" i="16" s="1"/>
  <c r="M201" i="14" s="1"/>
  <c r="I19" i="16"/>
  <c r="H19" i="16" s="1"/>
  <c r="S27" i="16"/>
  <c r="R27" i="16" s="1"/>
  <c r="L12" i="16"/>
  <c r="Q16" i="16"/>
  <c r="Q23" i="16"/>
  <c r="I46" i="16"/>
  <c r="S50" i="16"/>
  <c r="V25" i="16"/>
  <c r="I28" i="16"/>
  <c r="G31" i="16"/>
  <c r="S32" i="16"/>
  <c r="I34" i="16"/>
  <c r="N37" i="16"/>
  <c r="X41" i="16"/>
  <c r="X44" i="16"/>
  <c r="N46" i="16"/>
  <c r="X50" i="16"/>
  <c r="N52" i="16"/>
  <c r="V4" i="16"/>
  <c r="I6" i="16"/>
  <c r="H6" i="16" s="1"/>
  <c r="M116" i="14" s="1"/>
  <c r="V7" i="16"/>
  <c r="X8" i="16"/>
  <c r="W8" i="16" s="1"/>
  <c r="N10" i="16"/>
  <c r="M10" i="16" s="1"/>
  <c r="Q13" i="16"/>
  <c r="I16" i="16"/>
  <c r="H16" i="16" s="1"/>
  <c r="S17" i="16"/>
  <c r="R17" i="16" s="1"/>
  <c r="G19" i="16"/>
  <c r="N20" i="16"/>
  <c r="M20" i="16" s="1"/>
  <c r="N23" i="16"/>
  <c r="M23" i="16" s="1"/>
  <c r="Q24" i="16"/>
  <c r="X25" i="16"/>
  <c r="W25" i="16" s="1"/>
  <c r="Q27" i="16"/>
  <c r="V17" i="16"/>
  <c r="G26" i="16"/>
  <c r="S40" i="16"/>
  <c r="Q6" i="16"/>
  <c r="V13" i="16"/>
  <c r="I26" i="16"/>
  <c r="H26" i="16" s="1"/>
  <c r="K196" i="14" s="1"/>
  <c r="L52" i="16"/>
  <c r="S21" i="16"/>
  <c r="R21" i="16" s="1"/>
  <c r="M178" i="14" s="1"/>
  <c r="S29" i="16"/>
  <c r="I31" i="16"/>
  <c r="V32" i="16"/>
  <c r="L34" i="16"/>
  <c r="X35" i="16"/>
  <c r="Q37" i="16"/>
  <c r="N40" i="16"/>
  <c r="G42" i="16"/>
  <c r="G45" i="16"/>
  <c r="Q46" i="16"/>
  <c r="N49" i="16"/>
  <c r="G51" i="16"/>
  <c r="Q52" i="16"/>
  <c r="L6" i="16"/>
  <c r="X7" i="16"/>
  <c r="W7" i="16" s="1"/>
  <c r="G9" i="16"/>
  <c r="Q10" i="16"/>
  <c r="G12" i="16"/>
  <c r="L16" i="16"/>
  <c r="Q20" i="16"/>
  <c r="X21" i="16"/>
  <c r="W21" i="16" s="1"/>
  <c r="S24" i="16"/>
  <c r="R24" i="16" s="1"/>
  <c r="N19" i="16"/>
  <c r="M19" i="16" s="1"/>
  <c r="I40" i="16"/>
  <c r="Q17" i="16"/>
  <c r="N28" i="16"/>
  <c r="V29" i="16"/>
  <c r="L31" i="16"/>
  <c r="N34" i="16"/>
  <c r="G39" i="16"/>
  <c r="Q40" i="16"/>
  <c r="V43" i="16"/>
  <c r="I45" i="16"/>
  <c r="S46" i="16"/>
  <c r="G48" i="16"/>
  <c r="Q49" i="16"/>
  <c r="I51" i="16"/>
  <c r="S52" i="16"/>
  <c r="X4" i="16"/>
  <c r="W4" i="16" s="1"/>
  <c r="N6" i="16"/>
  <c r="M6" i="16" s="1"/>
  <c r="S10" i="16"/>
  <c r="R10" i="16" s="1"/>
  <c r="I12" i="16"/>
  <c r="H12" i="16" s="1"/>
  <c r="M140" i="14" s="1"/>
  <c r="S13" i="16"/>
  <c r="R13" i="16" s="1"/>
  <c r="G15" i="16"/>
  <c r="N16" i="16"/>
  <c r="M16" i="16" s="1"/>
  <c r="L19" i="16"/>
  <c r="S20" i="16"/>
  <c r="R20" i="16" s="1"/>
  <c r="G22" i="16"/>
  <c r="V27" i="16"/>
  <c r="X32" i="16"/>
  <c r="S37" i="16"/>
  <c r="I42" i="16"/>
  <c r="V46" i="16"/>
  <c r="L51" i="16"/>
  <c r="G5" i="16"/>
  <c r="I9" i="16"/>
  <c r="H9" i="16" s="1"/>
  <c r="I15" i="16"/>
  <c r="H15" i="16" s="1"/>
  <c r="K152" i="14" s="1"/>
  <c r="V24" i="16"/>
  <c r="S4" i="16"/>
  <c r="R4" i="16" s="1"/>
  <c r="Q28" i="16"/>
  <c r="N31" i="16"/>
  <c r="Q34" i="16"/>
  <c r="I39" i="16"/>
  <c r="L45" i="16"/>
  <c r="I48" i="16"/>
  <c r="V52" i="16"/>
  <c r="V10" i="16"/>
  <c r="X17" i="16"/>
  <c r="W17" i="16" s="1"/>
  <c r="V41" i="16"/>
  <c r="X11" i="16"/>
  <c r="W11" i="16" s="1"/>
  <c r="X29" i="16"/>
  <c r="Q31" i="16"/>
  <c r="G33" i="16"/>
  <c r="S34" i="16"/>
  <c r="G36" i="16"/>
  <c r="V37" i="16"/>
  <c r="L39" i="16"/>
  <c r="V40" i="16"/>
  <c r="L42" i="16"/>
  <c r="X43" i="16"/>
  <c r="W43" i="16" s="1"/>
  <c r="X46" i="16"/>
  <c r="L48" i="16"/>
  <c r="S49" i="16"/>
  <c r="N51" i="16"/>
  <c r="S6" i="16"/>
  <c r="R6" i="16" s="1"/>
  <c r="G8" i="16"/>
  <c r="L9" i="16"/>
  <c r="X10" i="16"/>
  <c r="W10" i="16" s="1"/>
  <c r="N12" i="16"/>
  <c r="M12" i="16" s="1"/>
  <c r="M141" i="14" s="1"/>
  <c r="L15" i="16"/>
  <c r="G18" i="16"/>
  <c r="Q19" i="16"/>
  <c r="V20" i="16"/>
  <c r="I22" i="16"/>
  <c r="H22" i="16" s="1"/>
  <c r="S23" i="16"/>
  <c r="R23" i="16" s="1"/>
  <c r="L26" i="16"/>
  <c r="X27" i="16"/>
  <c r="W27" i="16" s="1"/>
  <c r="Q33" i="16"/>
  <c r="I41" i="16"/>
  <c r="G50" i="16"/>
  <c r="I25" i="16"/>
  <c r="H25" i="16" s="1"/>
  <c r="I24" i="16"/>
  <c r="H24" i="16" s="1"/>
  <c r="I37" i="16"/>
  <c r="V8" i="16"/>
  <c r="L24" i="16"/>
  <c r="S28" i="16"/>
  <c r="G30" i="16"/>
  <c r="S31" i="16"/>
  <c r="I33" i="16"/>
  <c r="V34" i="16"/>
  <c r="I36" i="16"/>
  <c r="N39" i="16"/>
  <c r="N42" i="16"/>
  <c r="N45" i="16"/>
  <c r="V49" i="16"/>
  <c r="Q51" i="16"/>
  <c r="X52" i="16"/>
  <c r="I5" i="16"/>
  <c r="H5" i="16" s="1"/>
  <c r="V6" i="16"/>
  <c r="I8" i="16"/>
  <c r="H8" i="16" s="1"/>
  <c r="N9" i="16"/>
  <c r="M9" i="16" s="1"/>
  <c r="Q12" i="16"/>
  <c r="X13" i="16"/>
  <c r="W13" i="16" s="1"/>
  <c r="N15" i="16"/>
  <c r="M15" i="16" s="1"/>
  <c r="S16" i="16"/>
  <c r="R16" i="16" s="1"/>
  <c r="S19" i="16"/>
  <c r="R19" i="16" s="1"/>
  <c r="L22" i="16"/>
  <c r="X24" i="16"/>
  <c r="W24" i="16" s="1"/>
  <c r="N26" i="16"/>
  <c r="M26" i="16" s="1"/>
  <c r="X3" i="16"/>
  <c r="W3" i="16" s="1"/>
  <c r="V42" i="16"/>
  <c r="Q5" i="16"/>
  <c r="V12" i="16"/>
  <c r="N18" i="16"/>
  <c r="M18" i="16" s="1"/>
  <c r="V26" i="16"/>
  <c r="N32" i="16"/>
  <c r="V31" i="16"/>
  <c r="L33" i="16"/>
  <c r="X34" i="16"/>
  <c r="L36" i="16"/>
  <c r="X37" i="16"/>
  <c r="Q39" i="16"/>
  <c r="X40" i="16"/>
  <c r="W40" i="16" s="1"/>
  <c r="M255" i="14" s="1"/>
  <c r="Q42" i="16"/>
  <c r="Q45" i="16"/>
  <c r="N48" i="16"/>
  <c r="S51" i="16"/>
  <c r="G4" i="16"/>
  <c r="L5" i="16"/>
  <c r="X6" i="16"/>
  <c r="W6" i="16" s="1"/>
  <c r="L8" i="16"/>
  <c r="Q9" i="16"/>
  <c r="G11" i="16"/>
  <c r="G14" i="16"/>
  <c r="Q15" i="16"/>
  <c r="V16" i="16"/>
  <c r="I18" i="16"/>
  <c r="H18" i="16" s="1"/>
  <c r="X20" i="16"/>
  <c r="W20" i="16" s="1"/>
  <c r="N22" i="16"/>
  <c r="M22" i="16" s="1"/>
  <c r="G25" i="16"/>
  <c r="Q26" i="16"/>
  <c r="V3" i="16"/>
  <c r="X31" i="16"/>
  <c r="I44" i="16"/>
  <c r="S48" i="16"/>
  <c r="G7" i="16"/>
  <c r="L11" i="16"/>
  <c r="X16" i="16"/>
  <c r="W16" i="16" s="1"/>
  <c r="S22" i="16"/>
  <c r="R22" i="16" s="1"/>
  <c r="Q3" i="16"/>
  <c r="S35" i="16"/>
  <c r="V28" i="16"/>
  <c r="I30" i="16"/>
  <c r="N33" i="16"/>
  <c r="G38" i="16"/>
  <c r="S39" i="16"/>
  <c r="G41" i="16"/>
  <c r="S42" i="16"/>
  <c r="G44" i="16"/>
  <c r="G47" i="16"/>
  <c r="Q48" i="16"/>
  <c r="X49" i="16"/>
  <c r="V51" i="16"/>
  <c r="I4" i="16"/>
  <c r="H4" i="16" s="1"/>
  <c r="M108" i="14" s="1"/>
  <c r="N5" i="16"/>
  <c r="M5" i="16" s="1"/>
  <c r="N8" i="16"/>
  <c r="M8" i="16" s="1"/>
  <c r="K125" i="14" s="1"/>
  <c r="I11" i="16"/>
  <c r="H11" i="16" s="1"/>
  <c r="M136" i="14" s="1"/>
  <c r="S12" i="16"/>
  <c r="R12" i="16" s="1"/>
  <c r="S15" i="16"/>
  <c r="R15" i="16" s="1"/>
  <c r="L18" i="16"/>
  <c r="G21" i="16"/>
  <c r="Q22" i="16"/>
  <c r="V23" i="16"/>
  <c r="S26" i="16"/>
  <c r="R26" i="16" s="1"/>
  <c r="S3" i="16"/>
  <c r="R3" i="16" s="1"/>
  <c r="L30" i="16"/>
  <c r="I47" i="16"/>
  <c r="L4" i="16"/>
  <c r="I14" i="16"/>
  <c r="H14" i="16" s="1"/>
  <c r="N29" i="16"/>
  <c r="N36" i="16"/>
  <c r="V39" i="16"/>
  <c r="S45" i="16"/>
  <c r="S9" i="16"/>
  <c r="R9" i="16" s="1"/>
  <c r="V19" i="16"/>
  <c r="I27" i="16"/>
  <c r="H27" i="16" s="1"/>
  <c r="M200" i="14" s="1"/>
  <c r="Q43" i="16"/>
  <c r="I10" i="16"/>
  <c r="H10" i="16" s="1"/>
  <c r="I23" i="16"/>
  <c r="H23" i="16" s="1"/>
  <c r="X28" i="16"/>
  <c r="N30" i="16"/>
  <c r="G35" i="16"/>
  <c r="Q36" i="16"/>
  <c r="I38" i="16"/>
  <c r="L41" i="16"/>
  <c r="X42" i="16"/>
  <c r="L44" i="16"/>
  <c r="V45" i="16"/>
  <c r="L47" i="16"/>
  <c r="X51" i="16"/>
  <c r="N4" i="16"/>
  <c r="M4" i="16" s="1"/>
  <c r="I7" i="16"/>
  <c r="H7" i="16" s="1"/>
  <c r="V9" i="16"/>
  <c r="N11" i="16"/>
  <c r="M11" i="16" s="1"/>
  <c r="L14" i="16"/>
  <c r="G17" i="16"/>
  <c r="I21" i="16"/>
  <c r="H21" i="16" s="1"/>
  <c r="M176" i="14" s="1"/>
  <c r="V22" i="16"/>
  <c r="X23" i="16"/>
  <c r="W23" i="16" s="1"/>
  <c r="L25" i="16"/>
  <c r="X26" i="16"/>
  <c r="W26" i="16" s="1"/>
  <c r="N3" i="16"/>
  <c r="M3" i="16" s="1"/>
  <c r="L3" i="16"/>
  <c r="S44" i="16"/>
  <c r="S25" i="16"/>
  <c r="R25" i="16" s="1"/>
  <c r="V38" i="16"/>
  <c r="G6" i="16"/>
  <c r="L27" i="16"/>
  <c r="G29" i="16"/>
  <c r="Q30" i="16"/>
  <c r="S33" i="16"/>
  <c r="I35" i="16"/>
  <c r="S36" i="16"/>
  <c r="L38" i="16"/>
  <c r="X39" i="16"/>
  <c r="N41" i="16"/>
  <c r="G43" i="16"/>
  <c r="N47" i="16"/>
  <c r="V48" i="16"/>
  <c r="I50" i="16"/>
  <c r="S5" i="16"/>
  <c r="R5" i="16" s="1"/>
  <c r="L7" i="16"/>
  <c r="Q8" i="16"/>
  <c r="Q11" i="16"/>
  <c r="X12" i="16"/>
  <c r="W12" i="16" s="1"/>
  <c r="N14" i="16"/>
  <c r="M14" i="16" s="1"/>
  <c r="V15" i="16"/>
  <c r="Q18" i="16"/>
  <c r="X19" i="16"/>
  <c r="W19" i="16" s="1"/>
  <c r="L21" i="16"/>
  <c r="X22" i="16"/>
  <c r="W22" i="16" s="1"/>
  <c r="N25" i="16"/>
  <c r="M25" i="16" s="1"/>
  <c r="Q50" i="16"/>
  <c r="X18" i="16"/>
  <c r="W18" i="16" s="1"/>
  <c r="S30" i="16"/>
  <c r="G32" i="16"/>
  <c r="V33" i="16"/>
  <c r="L35" i="16"/>
  <c r="V36" i="16"/>
  <c r="N38" i="16"/>
  <c r="Q41" i="16"/>
  <c r="I43" i="16"/>
  <c r="N44" i="16"/>
  <c r="X45" i="16"/>
  <c r="Q47" i="16"/>
  <c r="L50" i="16"/>
  <c r="V5" i="16"/>
  <c r="N7" i="16"/>
  <c r="M7" i="16" s="1"/>
  <c r="X9" i="16"/>
  <c r="W9" i="16" s="1"/>
  <c r="S11" i="16"/>
  <c r="R11" i="16" s="1"/>
  <c r="G13" i="16"/>
  <c r="Q14" i="16"/>
  <c r="I17" i="16"/>
  <c r="H17" i="16" s="1"/>
  <c r="S18" i="16"/>
  <c r="R18" i="16" s="1"/>
  <c r="N21" i="16"/>
  <c r="M21" i="16" s="1"/>
  <c r="Q25" i="16"/>
  <c r="I3" i="16"/>
  <c r="L32" i="16"/>
  <c r="X33" i="16"/>
  <c r="Q35" i="16"/>
  <c r="S38" i="16"/>
  <c r="N43" i="16"/>
  <c r="V47" i="16"/>
  <c r="I52" i="16"/>
  <c r="S7" i="16"/>
  <c r="R7" i="16" s="1"/>
  <c r="I13" i="16"/>
  <c r="H13" i="16" s="1"/>
  <c r="K144" i="14" s="1"/>
  <c r="G20" i="16"/>
  <c r="V44" i="16"/>
  <c r="I49" i="16"/>
  <c r="L13" i="16"/>
  <c r="I29" i="16"/>
  <c r="V30" i="16"/>
  <c r="I32" i="16"/>
  <c r="N35" i="16"/>
  <c r="X36" i="16"/>
  <c r="W36" i="16" s="1"/>
  <c r="Q38" i="16"/>
  <c r="L43" i="16"/>
  <c r="Q44" i="16"/>
  <c r="G46" i="16"/>
  <c r="S47" i="16"/>
  <c r="X48" i="16"/>
  <c r="N50" i="16"/>
  <c r="G52" i="16"/>
  <c r="Q4" i="16"/>
  <c r="Q7" i="16"/>
  <c r="S8" i="16"/>
  <c r="R8" i="16" s="1"/>
  <c r="K126" i="14" s="1"/>
  <c r="G10" i="16"/>
  <c r="V11" i="16"/>
  <c r="S14" i="16"/>
  <c r="R14" i="16" s="1"/>
  <c r="X15" i="16"/>
  <c r="W15" i="16" s="1"/>
  <c r="L17" i="16"/>
  <c r="V18" i="16"/>
  <c r="Q21" i="16"/>
  <c r="G24" i="16"/>
  <c r="G27" i="16"/>
  <c r="G3" i="16"/>
  <c r="X30" i="16"/>
  <c r="G37" i="16"/>
  <c r="G40" i="16"/>
  <c r="S41" i="16"/>
  <c r="G49" i="16"/>
  <c r="X5" i="16"/>
  <c r="W5" i="16" s="1"/>
  <c r="V14" i="16"/>
  <c r="N17" i="16"/>
  <c r="M17" i="16" s="1"/>
  <c r="G23" i="16"/>
  <c r="G34" i="16"/>
  <c r="I20" i="16"/>
  <c r="H20" i="16" s="1"/>
  <c r="M172" i="14" s="1"/>
  <c r="E128" i="15" l="1"/>
  <c r="D128" i="15"/>
  <c r="K128" i="15"/>
  <c r="K13" i="15"/>
  <c r="E13" i="15"/>
  <c r="D13" i="15"/>
  <c r="K126" i="15"/>
  <c r="E126" i="15"/>
  <c r="D126" i="15"/>
  <c r="K36" i="15"/>
  <c r="E36" i="15"/>
  <c r="D36" i="15"/>
  <c r="K83" i="15"/>
  <c r="E83" i="15"/>
  <c r="D83" i="15"/>
  <c r="K39" i="15"/>
  <c r="E39" i="15"/>
  <c r="D39" i="15"/>
  <c r="D123" i="15"/>
  <c r="K123" i="15"/>
  <c r="E123" i="15"/>
  <c r="K137" i="15"/>
  <c r="E137" i="15"/>
  <c r="D137" i="15"/>
  <c r="K28" i="15"/>
  <c r="E28" i="15"/>
  <c r="D28" i="15"/>
  <c r="E70" i="15"/>
  <c r="K70" i="15"/>
  <c r="D70" i="15"/>
  <c r="P70" i="15" s="1"/>
  <c r="K46" i="15"/>
  <c r="E46" i="15"/>
  <c r="D46" i="15"/>
  <c r="D33" i="15"/>
  <c r="E33" i="15"/>
  <c r="K33" i="15"/>
  <c r="K100" i="15"/>
  <c r="E100" i="15"/>
  <c r="D100" i="15"/>
  <c r="K115" i="15"/>
  <c r="E115" i="15"/>
  <c r="D115" i="15"/>
  <c r="K62" i="15"/>
  <c r="E62" i="15"/>
  <c r="D62" i="15"/>
  <c r="E112" i="15"/>
  <c r="D112" i="15"/>
  <c r="K112" i="15"/>
  <c r="K127" i="15"/>
  <c r="E127" i="15"/>
  <c r="D127" i="15"/>
  <c r="K69" i="15"/>
  <c r="E69" i="15"/>
  <c r="D69" i="15"/>
  <c r="E54" i="15"/>
  <c r="K54" i="15"/>
  <c r="D54" i="15"/>
  <c r="K106" i="15"/>
  <c r="E106" i="15"/>
  <c r="D106" i="15"/>
  <c r="K58" i="15"/>
  <c r="E58" i="15"/>
  <c r="D58" i="15"/>
  <c r="K114" i="15"/>
  <c r="E114" i="15"/>
  <c r="D114" i="15"/>
  <c r="D49" i="15"/>
  <c r="K49" i="15"/>
  <c r="E49" i="15"/>
  <c r="K21" i="15"/>
  <c r="E21" i="15"/>
  <c r="D21" i="15"/>
  <c r="K24" i="15"/>
  <c r="E24" i="15"/>
  <c r="D24" i="15"/>
  <c r="K79" i="15"/>
  <c r="E79" i="15"/>
  <c r="D79" i="15"/>
  <c r="K51" i="15"/>
  <c r="E51" i="15"/>
  <c r="D51" i="15"/>
  <c r="E102" i="15"/>
  <c r="K102" i="15"/>
  <c r="D102" i="15"/>
  <c r="D65" i="15"/>
  <c r="E65" i="15"/>
  <c r="K65" i="15"/>
  <c r="K47" i="15"/>
  <c r="E47" i="15"/>
  <c r="D47" i="15"/>
  <c r="K92" i="15"/>
  <c r="E92" i="15"/>
  <c r="D92" i="15"/>
  <c r="K50" i="15"/>
  <c r="E50" i="15"/>
  <c r="D50" i="15"/>
  <c r="K105" i="15"/>
  <c r="E105" i="15"/>
  <c r="D105" i="15"/>
  <c r="K99" i="15"/>
  <c r="E99" i="15"/>
  <c r="D99" i="15"/>
  <c r="K135" i="15"/>
  <c r="E135" i="15"/>
  <c r="D135" i="15"/>
  <c r="K130" i="15"/>
  <c r="E130" i="15"/>
  <c r="D130" i="15"/>
  <c r="K78" i="15"/>
  <c r="E78" i="15"/>
  <c r="D78" i="15"/>
  <c r="E96" i="15"/>
  <c r="D96" i="15"/>
  <c r="K96" i="15"/>
  <c r="E80" i="15"/>
  <c r="D80" i="15"/>
  <c r="K80" i="15"/>
  <c r="K44" i="15"/>
  <c r="E44" i="15"/>
  <c r="D44" i="15"/>
  <c r="K94" i="15"/>
  <c r="E94" i="15"/>
  <c r="D94" i="15"/>
  <c r="D17" i="15"/>
  <c r="K17" i="15"/>
  <c r="E17" i="15"/>
  <c r="K125" i="15"/>
  <c r="E125" i="15"/>
  <c r="D125" i="15"/>
  <c r="K63" i="15"/>
  <c r="E63" i="15"/>
  <c r="D63" i="15"/>
  <c r="K56" i="15"/>
  <c r="E56" i="15"/>
  <c r="D56" i="15"/>
  <c r="D27" i="15"/>
  <c r="K27" i="15"/>
  <c r="E27" i="15"/>
  <c r="K87" i="15"/>
  <c r="E87" i="15"/>
  <c r="D87" i="15"/>
  <c r="E16" i="15"/>
  <c r="D16" i="15"/>
  <c r="K16" i="15"/>
  <c r="K95" i="15"/>
  <c r="E95" i="15"/>
  <c r="D95" i="15"/>
  <c r="K136" i="15"/>
  <c r="E136" i="15"/>
  <c r="D136" i="15"/>
  <c r="K119" i="15"/>
  <c r="E119" i="15"/>
  <c r="D119" i="15"/>
  <c r="K40" i="15"/>
  <c r="E40" i="15"/>
  <c r="D40" i="15"/>
  <c r="K60" i="15"/>
  <c r="E60" i="15"/>
  <c r="D60" i="15"/>
  <c r="K23" i="15"/>
  <c r="E23" i="15"/>
  <c r="D23" i="15"/>
  <c r="K82" i="15"/>
  <c r="E82" i="15"/>
  <c r="D82" i="15"/>
  <c r="K19" i="15"/>
  <c r="E19" i="15"/>
  <c r="D19" i="15"/>
  <c r="K85" i="15"/>
  <c r="E85" i="15"/>
  <c r="D85" i="15"/>
  <c r="D91" i="15"/>
  <c r="K91" i="15"/>
  <c r="E91" i="15"/>
  <c r="K34" i="15"/>
  <c r="E34" i="15"/>
  <c r="D34" i="15"/>
  <c r="K71" i="15"/>
  <c r="E71" i="15"/>
  <c r="D71" i="15"/>
  <c r="K131" i="15"/>
  <c r="E131" i="15"/>
  <c r="D131" i="15"/>
  <c r="E38" i="15"/>
  <c r="D38" i="15"/>
  <c r="K38" i="15"/>
  <c r="K117" i="15"/>
  <c r="E117" i="15"/>
  <c r="D117" i="15"/>
  <c r="K37" i="15"/>
  <c r="E37" i="15"/>
  <c r="D37" i="15"/>
  <c r="K124" i="15"/>
  <c r="E124" i="15"/>
  <c r="D124" i="15"/>
  <c r="K120" i="15"/>
  <c r="E120" i="15"/>
  <c r="D120" i="15"/>
  <c r="K67" i="15"/>
  <c r="E67" i="15"/>
  <c r="D67" i="15"/>
  <c r="K42" i="15"/>
  <c r="E42" i="15"/>
  <c r="D42" i="15"/>
  <c r="K84" i="15"/>
  <c r="E84" i="15"/>
  <c r="D84" i="15"/>
  <c r="K29" i="15"/>
  <c r="E29" i="15"/>
  <c r="D29" i="15"/>
  <c r="D81" i="15"/>
  <c r="K81" i="15"/>
  <c r="E81" i="15"/>
  <c r="K109" i="15"/>
  <c r="E109" i="15"/>
  <c r="D109" i="15"/>
  <c r="D43" i="15"/>
  <c r="K43" i="15"/>
  <c r="E43" i="15"/>
  <c r="K73" i="15"/>
  <c r="E73" i="15"/>
  <c r="D73" i="15"/>
  <c r="P73" i="15" s="1"/>
  <c r="E32" i="15"/>
  <c r="D32" i="15"/>
  <c r="K32" i="15"/>
  <c r="K77" i="15"/>
  <c r="E77" i="15"/>
  <c r="D77" i="15"/>
  <c r="K30" i="15"/>
  <c r="E30" i="15"/>
  <c r="D30" i="15"/>
  <c r="K35" i="15"/>
  <c r="E35" i="15"/>
  <c r="D35" i="15"/>
  <c r="E118" i="15"/>
  <c r="K118" i="15"/>
  <c r="D118" i="15"/>
  <c r="K57" i="15"/>
  <c r="E57" i="15"/>
  <c r="D57" i="15"/>
  <c r="K98" i="15"/>
  <c r="E98" i="15"/>
  <c r="D98" i="15"/>
  <c r="K66" i="15"/>
  <c r="E66" i="15"/>
  <c r="D66" i="15"/>
  <c r="K93" i="15"/>
  <c r="E93" i="15"/>
  <c r="D93" i="15"/>
  <c r="D97" i="15"/>
  <c r="K97" i="15"/>
  <c r="E97" i="15"/>
  <c r="K45" i="15"/>
  <c r="E45" i="15"/>
  <c r="D45" i="15"/>
  <c r="K31" i="15"/>
  <c r="E31" i="15"/>
  <c r="D31" i="15"/>
  <c r="K111" i="15"/>
  <c r="E111" i="15"/>
  <c r="D111" i="15"/>
  <c r="K25" i="15"/>
  <c r="E25" i="15"/>
  <c r="D25" i="15"/>
  <c r="K53" i="15"/>
  <c r="E53" i="15"/>
  <c r="D53" i="15"/>
  <c r="K76" i="15"/>
  <c r="E76" i="15"/>
  <c r="D76" i="15"/>
  <c r="P76" i="15" s="1"/>
  <c r="K41" i="15"/>
  <c r="E41" i="15"/>
  <c r="D41" i="15"/>
  <c r="D113" i="15"/>
  <c r="K113" i="15"/>
  <c r="E113" i="15"/>
  <c r="E64" i="15"/>
  <c r="D64" i="15"/>
  <c r="K64" i="15"/>
  <c r="K52" i="15"/>
  <c r="E52" i="15"/>
  <c r="D52" i="15"/>
  <c r="K133" i="15"/>
  <c r="E133" i="15"/>
  <c r="D133" i="15"/>
  <c r="K74" i="15"/>
  <c r="E74" i="15"/>
  <c r="D74" i="15"/>
  <c r="P74" i="15" s="1"/>
  <c r="K72" i="15"/>
  <c r="E72" i="15"/>
  <c r="D72" i="15"/>
  <c r="K104" i="15"/>
  <c r="E104" i="15"/>
  <c r="D104" i="15"/>
  <c r="K61" i="15"/>
  <c r="E61" i="15"/>
  <c r="D61" i="15"/>
  <c r="K89" i="15"/>
  <c r="E89" i="15"/>
  <c r="D89" i="15"/>
  <c r="P89" i="15" s="1"/>
  <c r="K68" i="15"/>
  <c r="E68" i="15"/>
  <c r="D68" i="15"/>
  <c r="K110" i="15"/>
  <c r="E110" i="15"/>
  <c r="D110" i="15"/>
  <c r="K122" i="15"/>
  <c r="E122" i="15"/>
  <c r="D122" i="15"/>
  <c r="E134" i="15"/>
  <c r="K134" i="15"/>
  <c r="D134" i="15"/>
  <c r="D129" i="15"/>
  <c r="K129" i="15"/>
  <c r="E129" i="15"/>
  <c r="K108" i="15"/>
  <c r="E108" i="15"/>
  <c r="D108" i="15"/>
  <c r="P108" i="15" s="1"/>
  <c r="K101" i="15"/>
  <c r="E101" i="15"/>
  <c r="D101" i="15"/>
  <c r="K26" i="15"/>
  <c r="E26" i="15"/>
  <c r="D26" i="15"/>
  <c r="E22" i="15"/>
  <c r="K22" i="15"/>
  <c r="D22" i="15"/>
  <c r="K14" i="15"/>
  <c r="E14" i="15"/>
  <c r="D14" i="15"/>
  <c r="D107" i="15"/>
  <c r="K107" i="15"/>
  <c r="E107" i="15"/>
  <c r="K88" i="15"/>
  <c r="E88" i="15"/>
  <c r="D88" i="15"/>
  <c r="P88" i="15" s="1"/>
  <c r="K12" i="15"/>
  <c r="E12" i="15"/>
  <c r="D12" i="15"/>
  <c r="K55" i="15"/>
  <c r="E55" i="15"/>
  <c r="D55" i="15"/>
  <c r="K18" i="15"/>
  <c r="E18" i="15"/>
  <c r="D18" i="15"/>
  <c r="K20" i="15"/>
  <c r="E20" i="15"/>
  <c r="D20" i="15"/>
  <c r="K132" i="15"/>
  <c r="E132" i="15"/>
  <c r="D132" i="15"/>
  <c r="K90" i="15"/>
  <c r="E90" i="15"/>
  <c r="D90" i="15"/>
  <c r="D75" i="15"/>
  <c r="K75" i="15"/>
  <c r="E75" i="15"/>
  <c r="E48" i="15"/>
  <c r="D48" i="15"/>
  <c r="K48" i="15"/>
  <c r="K121" i="15"/>
  <c r="E121" i="15"/>
  <c r="D121" i="15"/>
  <c r="D59" i="15"/>
  <c r="K59" i="15"/>
  <c r="E59" i="15"/>
  <c r="K116" i="15"/>
  <c r="E116" i="15"/>
  <c r="D116" i="15"/>
  <c r="E86" i="15"/>
  <c r="K86" i="15"/>
  <c r="D86" i="15"/>
  <c r="K15" i="15"/>
  <c r="E15" i="15"/>
  <c r="D15" i="15"/>
  <c r="K103" i="15"/>
  <c r="E103" i="15"/>
  <c r="D103" i="15"/>
  <c r="P66" i="15"/>
  <c r="P64" i="15"/>
  <c r="M239" i="14"/>
  <c r="K239" i="14"/>
  <c r="K180" i="14"/>
  <c r="M180" i="14"/>
  <c r="M283" i="14"/>
  <c r="K283" i="14"/>
  <c r="K267" i="14"/>
  <c r="M267" i="14"/>
  <c r="P118" i="15"/>
  <c r="P98" i="15"/>
  <c r="P97" i="15"/>
  <c r="P134" i="15"/>
  <c r="K20" i="16"/>
  <c r="K13" i="16"/>
  <c r="R30" i="16"/>
  <c r="K214" i="14" s="1"/>
  <c r="Y48" i="16"/>
  <c r="Z48" i="16"/>
  <c r="P111" i="15"/>
  <c r="M36" i="16"/>
  <c r="K11" i="16"/>
  <c r="P24" i="16"/>
  <c r="U17" i="16"/>
  <c r="P113" i="15"/>
  <c r="Y17" i="16"/>
  <c r="Z17" i="16"/>
  <c r="W50" i="16"/>
  <c r="W38" i="16"/>
  <c r="R44" i="16"/>
  <c r="U3" i="16"/>
  <c r="T3" i="16"/>
  <c r="H40" i="16"/>
  <c r="P104" i="15"/>
  <c r="U27" i="16"/>
  <c r="M46" i="16"/>
  <c r="W30" i="16"/>
  <c r="W48" i="16"/>
  <c r="P129" i="15"/>
  <c r="P101" i="15"/>
  <c r="Y51" i="16"/>
  <c r="Z51" i="16"/>
  <c r="P11" i="16"/>
  <c r="P8" i="16"/>
  <c r="Z26" i="16"/>
  <c r="Y26" i="16"/>
  <c r="Z6" i="16"/>
  <c r="Y6" i="16"/>
  <c r="H37" i="16"/>
  <c r="P9" i="16"/>
  <c r="W29" i="16"/>
  <c r="K211" i="14" s="1"/>
  <c r="K5" i="16"/>
  <c r="M40" i="16"/>
  <c r="W44" i="16"/>
  <c r="M271" i="14" s="1"/>
  <c r="R41" i="16"/>
  <c r="K258" i="14" s="1"/>
  <c r="K14" i="16"/>
  <c r="M50" i="16"/>
  <c r="P72" i="15"/>
  <c r="H52" i="16"/>
  <c r="H47" i="16"/>
  <c r="M37" i="16"/>
  <c r="P112" i="15"/>
  <c r="P21" i="16"/>
  <c r="P93" i="15"/>
  <c r="Z22" i="16"/>
  <c r="Y22" i="16"/>
  <c r="P81" i="15"/>
  <c r="P68" i="15"/>
  <c r="P119" i="15"/>
  <c r="H44" i="16"/>
  <c r="K4" i="16"/>
  <c r="U5" i="16"/>
  <c r="P133" i="15"/>
  <c r="P127" i="15"/>
  <c r="M51" i="16"/>
  <c r="H42" i="16"/>
  <c r="P126" i="15"/>
  <c r="T20" i="16"/>
  <c r="U20" i="16"/>
  <c r="P79" i="15"/>
  <c r="H34" i="16"/>
  <c r="P20" i="16"/>
  <c r="P63" i="15"/>
  <c r="P77" i="15"/>
  <c r="M28" i="16"/>
  <c r="M29" i="16"/>
  <c r="P4" i="16"/>
  <c r="R52" i="16"/>
  <c r="M302" i="14" s="1"/>
  <c r="P116" i="15"/>
  <c r="Y5" i="16"/>
  <c r="Z5" i="16"/>
  <c r="P103" i="15"/>
  <c r="M43" i="16"/>
  <c r="U21" i="16"/>
  <c r="P109" i="15"/>
  <c r="R38" i="16"/>
  <c r="P121" i="15"/>
  <c r="R36" i="16"/>
  <c r="M30" i="16"/>
  <c r="P110" i="15"/>
  <c r="W31" i="16"/>
  <c r="K219" i="14" s="1"/>
  <c r="R51" i="16"/>
  <c r="K298" i="14" s="1"/>
  <c r="P107" i="15"/>
  <c r="Y49" i="16"/>
  <c r="Z49" i="16"/>
  <c r="H41" i="16"/>
  <c r="R49" i="16"/>
  <c r="M290" i="14" s="1"/>
  <c r="Z10" i="16"/>
  <c r="Y10" i="16"/>
  <c r="R37" i="16"/>
  <c r="M242" i="14" s="1"/>
  <c r="P122" i="15"/>
  <c r="P16" i="16"/>
  <c r="Y32" i="16"/>
  <c r="Z32" i="16"/>
  <c r="K19" i="16"/>
  <c r="R32" i="16"/>
  <c r="K222" i="14" s="1"/>
  <c r="K16" i="16"/>
  <c r="H50" i="16"/>
  <c r="M47" i="16"/>
  <c r="P25" i="16"/>
  <c r="P75" i="15"/>
  <c r="T48" i="16"/>
  <c r="U48" i="16"/>
  <c r="P5" i="16"/>
  <c r="Z21" i="16"/>
  <c r="K24" i="16"/>
  <c r="P128" i="15"/>
  <c r="Z18" i="16"/>
  <c r="Y18" i="16"/>
  <c r="P83" i="15"/>
  <c r="W45" i="16"/>
  <c r="U18" i="16"/>
  <c r="T18" i="16"/>
  <c r="H35" i="16"/>
  <c r="K17" i="16"/>
  <c r="W28" i="16"/>
  <c r="R42" i="16"/>
  <c r="Z3" i="16"/>
  <c r="Y3" i="16"/>
  <c r="M48" i="16"/>
  <c r="M45" i="16"/>
  <c r="P123" i="15"/>
  <c r="P137" i="15"/>
  <c r="W32" i="16"/>
  <c r="R46" i="16"/>
  <c r="K12" i="16"/>
  <c r="H31" i="16"/>
  <c r="U14" i="16"/>
  <c r="T14" i="16"/>
  <c r="P15" i="16"/>
  <c r="W42" i="16"/>
  <c r="K263" i="14" s="1"/>
  <c r="T9" i="16"/>
  <c r="U9" i="16"/>
  <c r="H38" i="16"/>
  <c r="P132" i="15"/>
  <c r="P23" i="16"/>
  <c r="Y47" i="16"/>
  <c r="Z47" i="16"/>
  <c r="H51" i="16"/>
  <c r="W33" i="16"/>
  <c r="K227" i="14" s="1"/>
  <c r="M44" i="16"/>
  <c r="Z15" i="16"/>
  <c r="Y15" i="16"/>
  <c r="R33" i="16"/>
  <c r="P14" i="16"/>
  <c r="Z23" i="16"/>
  <c r="Y23" i="16"/>
  <c r="P100" i="15"/>
  <c r="U26" i="16"/>
  <c r="P115" i="15"/>
  <c r="M42" i="16"/>
  <c r="W46" i="16"/>
  <c r="K279" i="14" s="1"/>
  <c r="H48" i="16"/>
  <c r="Z27" i="16"/>
  <c r="H45" i="16"/>
  <c r="U10" i="16"/>
  <c r="R29" i="16"/>
  <c r="H28" i="16"/>
  <c r="K145" i="14"/>
  <c r="K26" i="16"/>
  <c r="R47" i="16"/>
  <c r="W49" i="16"/>
  <c r="P90" i="15"/>
  <c r="K27" i="16"/>
  <c r="R48" i="16"/>
  <c r="M286" i="14" s="1"/>
  <c r="Y12" i="16"/>
  <c r="Z12" i="16"/>
  <c r="W35" i="16"/>
  <c r="K235" i="14" s="1"/>
  <c r="P78" i="15"/>
  <c r="M35" i="16"/>
  <c r="H43" i="16"/>
  <c r="P69" i="15"/>
  <c r="M132" i="14"/>
  <c r="U22" i="16"/>
  <c r="T22" i="16"/>
  <c r="R39" i="16"/>
  <c r="M250" i="14" s="1"/>
  <c r="K25" i="16"/>
  <c r="P106" i="15"/>
  <c r="M39" i="16"/>
  <c r="P26" i="16"/>
  <c r="P114" i="15"/>
  <c r="K22" i="16"/>
  <c r="Y43" i="16"/>
  <c r="Z43" i="16"/>
  <c r="K9" i="16"/>
  <c r="T13" i="16"/>
  <c r="U13" i="16"/>
  <c r="Y25" i="16"/>
  <c r="Z25" i="16"/>
  <c r="P10" i="16"/>
  <c r="Y39" i="16"/>
  <c r="Z39" i="16"/>
  <c r="M41" i="16"/>
  <c r="W41" i="16"/>
  <c r="W39" i="16"/>
  <c r="P17" i="16"/>
  <c r="K23" i="16"/>
  <c r="H32" i="16"/>
  <c r="P102" i="15"/>
  <c r="P65" i="15"/>
  <c r="Y9" i="16"/>
  <c r="Z9" i="16"/>
  <c r="U43" i="16"/>
  <c r="K21" i="16"/>
  <c r="P92" i="15"/>
  <c r="P22" i="16"/>
  <c r="H36" i="16"/>
  <c r="P105" i="15"/>
  <c r="H39" i="16"/>
  <c r="P99" i="15"/>
  <c r="P135" i="15"/>
  <c r="R50" i="16"/>
  <c r="M294" i="14" s="1"/>
  <c r="P130" i="15"/>
  <c r="M137" i="14"/>
  <c r="R34" i="16"/>
  <c r="M52" i="16"/>
  <c r="M32" i="16"/>
  <c r="Y8" i="16"/>
  <c r="Z8" i="16"/>
  <c r="K7" i="16"/>
  <c r="K8" i="16"/>
  <c r="U24" i="16"/>
  <c r="P86" i="15"/>
  <c r="W52" i="16"/>
  <c r="Z11" i="16"/>
  <c r="Y11" i="16"/>
  <c r="U25" i="16"/>
  <c r="M38" i="16"/>
  <c r="U11" i="16"/>
  <c r="P27" i="16"/>
  <c r="P18" i="16"/>
  <c r="M33" i="16"/>
  <c r="P96" i="15"/>
  <c r="Y34" i="16"/>
  <c r="Z34" i="16"/>
  <c r="Z40" i="16"/>
  <c r="Y40" i="16"/>
  <c r="P80" i="15"/>
  <c r="P19" i="16"/>
  <c r="P94" i="15"/>
  <c r="P6" i="16"/>
  <c r="H46" i="16"/>
  <c r="P125" i="15"/>
  <c r="Y45" i="16"/>
  <c r="Z45" i="16"/>
  <c r="Y24" i="16"/>
  <c r="Z24" i="16"/>
  <c r="Z14" i="16"/>
  <c r="Y14" i="16"/>
  <c r="K10" i="16"/>
  <c r="H29" i="16"/>
  <c r="P87" i="15"/>
  <c r="T8" i="16"/>
  <c r="U8" i="16"/>
  <c r="K6" i="16"/>
  <c r="Z19" i="16"/>
  <c r="Y19" i="16"/>
  <c r="H30" i="16"/>
  <c r="W37" i="16"/>
  <c r="H33" i="16"/>
  <c r="Y20" i="16"/>
  <c r="Z20" i="16"/>
  <c r="P95" i="15"/>
  <c r="M31" i="16"/>
  <c r="M34" i="16"/>
  <c r="P136" i="15"/>
  <c r="Y13" i="16"/>
  <c r="Z13" i="16"/>
  <c r="Z7" i="16"/>
  <c r="Y7" i="16"/>
  <c r="T23" i="16"/>
  <c r="U23" i="16"/>
  <c r="T4" i="16"/>
  <c r="U4" i="16"/>
  <c r="R28" i="16"/>
  <c r="M206" i="14" s="1"/>
  <c r="P82" i="15"/>
  <c r="P7" i="16"/>
  <c r="W51" i="16"/>
  <c r="Y28" i="16"/>
  <c r="Z28" i="16"/>
  <c r="Y16" i="16"/>
  <c r="Z16" i="16"/>
  <c r="P91" i="15"/>
  <c r="U28" i="16"/>
  <c r="K15" i="16"/>
  <c r="P71" i="15"/>
  <c r="P131" i="15"/>
  <c r="U6" i="16"/>
  <c r="U16" i="16"/>
  <c r="P117" i="15"/>
  <c r="Z44" i="16"/>
  <c r="U12" i="16"/>
  <c r="P13" i="16"/>
  <c r="Y38" i="16"/>
  <c r="Z38" i="16"/>
  <c r="P85" i="15"/>
  <c r="R31" i="16"/>
  <c r="U19" i="16"/>
  <c r="P124" i="15"/>
  <c r="T7" i="16"/>
  <c r="U7" i="16"/>
  <c r="H49" i="16"/>
  <c r="Y33" i="16"/>
  <c r="Z33" i="16"/>
  <c r="P120" i="15"/>
  <c r="R45" i="16"/>
  <c r="R35" i="16"/>
  <c r="U15" i="16"/>
  <c r="T15" i="16"/>
  <c r="W34" i="16"/>
  <c r="P67" i="15"/>
  <c r="K18" i="16"/>
  <c r="P84" i="15"/>
  <c r="Y29" i="16"/>
  <c r="Z29" i="16"/>
  <c r="M49" i="16"/>
  <c r="R40" i="16"/>
  <c r="Y4" i="16"/>
  <c r="Z4" i="16"/>
  <c r="P12" i="16"/>
  <c r="R43" i="16"/>
  <c r="Q171" i="14"/>
  <c r="M170" i="14"/>
  <c r="Q130" i="14"/>
  <c r="M129" i="14"/>
  <c r="Q191" i="14"/>
  <c r="M190" i="14"/>
  <c r="K255" i="14"/>
  <c r="Q106" i="14"/>
  <c r="M105" i="14"/>
  <c r="Q203" i="14"/>
  <c r="K202" i="14"/>
  <c r="Q110" i="14"/>
  <c r="M109" i="14"/>
  <c r="Q134" i="14"/>
  <c r="K133" i="14"/>
  <c r="Q182" i="14"/>
  <c r="K181" i="14"/>
  <c r="Q162" i="14"/>
  <c r="M161" i="14"/>
  <c r="Q166" i="14"/>
  <c r="M165" i="14"/>
  <c r="Q174" i="14"/>
  <c r="M173" i="14"/>
  <c r="Q150" i="14"/>
  <c r="K149" i="14"/>
  <c r="Q198" i="14"/>
  <c r="M197" i="14"/>
  <c r="M179" i="14"/>
  <c r="Q143" i="14"/>
  <c r="M142" i="14"/>
  <c r="Q122" i="14"/>
  <c r="K121" i="14"/>
  <c r="Q114" i="14"/>
  <c r="M113" i="14"/>
  <c r="Q186" i="14"/>
  <c r="M185" i="14"/>
  <c r="Q194" i="14"/>
  <c r="K193" i="14"/>
  <c r="K127" i="14"/>
  <c r="Q147" i="14"/>
  <c r="M146" i="14"/>
  <c r="Q118" i="14"/>
  <c r="K117" i="14"/>
  <c r="Q158" i="14"/>
  <c r="K157" i="14"/>
  <c r="Q155" i="14"/>
  <c r="M154" i="14"/>
  <c r="Q139" i="14"/>
  <c r="M138" i="14"/>
  <c r="K176" i="14"/>
  <c r="K178" i="14"/>
  <c r="M125" i="14"/>
  <c r="K201" i="14"/>
  <c r="K172" i="14"/>
  <c r="K136" i="14"/>
  <c r="H3" i="16"/>
  <c r="P3" i="16" s="1"/>
  <c r="K108" i="14"/>
  <c r="K184" i="14"/>
  <c r="M152" i="14"/>
  <c r="K200" i="14"/>
  <c r="M196" i="14"/>
  <c r="M189" i="14"/>
  <c r="K189" i="14"/>
  <c r="M144" i="14"/>
  <c r="K116" i="14"/>
  <c r="K153" i="14"/>
  <c r="M120" i="14"/>
  <c r="K140" i="14"/>
  <c r="K177" i="14"/>
  <c r="M169" i="14"/>
  <c r="M126" i="14"/>
  <c r="K141" i="14"/>
  <c r="K132" i="14"/>
  <c r="K160" i="14"/>
  <c r="M148" i="14"/>
  <c r="K148" i="14"/>
  <c r="M168" i="14"/>
  <c r="K168" i="14"/>
  <c r="M164" i="14"/>
  <c r="K164" i="14"/>
  <c r="K112" i="14"/>
  <c r="M112" i="14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39" i="15"/>
  <c r="M222" i="14" l="1"/>
  <c r="M214" i="14"/>
  <c r="K172" i="15"/>
  <c r="K176" i="15"/>
  <c r="K167" i="15"/>
  <c r="K166" i="15"/>
  <c r="K171" i="15"/>
  <c r="K169" i="15"/>
  <c r="K180" i="15"/>
  <c r="K179" i="15"/>
  <c r="K178" i="15"/>
  <c r="K177" i="15"/>
  <c r="K286" i="14"/>
  <c r="M258" i="14"/>
  <c r="U38" i="16"/>
  <c r="U29" i="16"/>
  <c r="Z46" i="16"/>
  <c r="U33" i="16"/>
  <c r="Z35" i="16"/>
  <c r="Z31" i="16"/>
  <c r="Z30" i="16"/>
  <c r="K302" i="14"/>
  <c r="M235" i="14"/>
  <c r="M211" i="14"/>
  <c r="M227" i="14"/>
  <c r="M298" i="14"/>
  <c r="K175" i="15"/>
  <c r="K173" i="15"/>
  <c r="K206" i="14"/>
  <c r="K250" i="14"/>
  <c r="K170" i="15"/>
  <c r="K30" i="16"/>
  <c r="K174" i="15"/>
  <c r="K168" i="15"/>
  <c r="M279" i="14"/>
  <c r="K242" i="14"/>
  <c r="M117" i="14"/>
  <c r="U34" i="16"/>
  <c r="M219" i="14"/>
  <c r="M157" i="14"/>
  <c r="U52" i="16"/>
  <c r="K290" i="14"/>
  <c r="K190" i="14"/>
  <c r="P46" i="16"/>
  <c r="K109" i="14"/>
  <c r="M181" i="14"/>
  <c r="P31" i="16"/>
  <c r="K41" i="16"/>
  <c r="K137" i="14"/>
  <c r="K271" i="14"/>
  <c r="U36" i="16"/>
  <c r="U30" i="16"/>
  <c r="P49" i="16"/>
  <c r="K46" i="16"/>
  <c r="P30" i="16"/>
  <c r="K51" i="16"/>
  <c r="Z52" i="16"/>
  <c r="Z41" i="16"/>
  <c r="Z36" i="16"/>
  <c r="K49" i="16"/>
  <c r="P51" i="16"/>
  <c r="U51" i="16"/>
  <c r="P29" i="16"/>
  <c r="U41" i="16"/>
  <c r="K142" i="14"/>
  <c r="K185" i="14"/>
  <c r="K43" i="16"/>
  <c r="K40" i="16"/>
  <c r="P35" i="16"/>
  <c r="K294" i="14"/>
  <c r="K36" i="16"/>
  <c r="K31" i="16"/>
  <c r="P33" i="16"/>
  <c r="K28" i="16"/>
  <c r="M240" i="14"/>
  <c r="K240" i="14"/>
  <c r="M268" i="14"/>
  <c r="K268" i="14"/>
  <c r="K226" i="14"/>
  <c r="M226" i="14"/>
  <c r="U44" i="16"/>
  <c r="K264" i="14"/>
  <c r="M264" i="14"/>
  <c r="K204" i="14"/>
  <c r="M204" i="14"/>
  <c r="M232" i="14"/>
  <c r="K232" i="14"/>
  <c r="U32" i="16"/>
  <c r="M260" i="14"/>
  <c r="K260" i="14"/>
  <c r="K33" i="16"/>
  <c r="M145" i="14"/>
  <c r="M224" i="14"/>
  <c r="K224" i="14"/>
  <c r="Z50" i="16"/>
  <c r="P42" i="16"/>
  <c r="M249" i="14"/>
  <c r="K249" i="14"/>
  <c r="K261" i="14"/>
  <c r="M261" i="14"/>
  <c r="M216" i="14"/>
  <c r="K216" i="14"/>
  <c r="K273" i="14"/>
  <c r="M273" i="14"/>
  <c r="Z42" i="16"/>
  <c r="M213" i="14"/>
  <c r="K213" i="14"/>
  <c r="P43" i="16"/>
  <c r="P34" i="16"/>
  <c r="K253" i="14"/>
  <c r="M253" i="14"/>
  <c r="M245" i="14"/>
  <c r="K245" i="14"/>
  <c r="Z37" i="16"/>
  <c r="K105" i="14"/>
  <c r="K165" i="14"/>
  <c r="M254" i="14"/>
  <c r="K254" i="14"/>
  <c r="K229" i="14"/>
  <c r="M229" i="14"/>
  <c r="K39" i="16"/>
  <c r="K29" i="16"/>
  <c r="K34" i="16"/>
  <c r="M210" i="14"/>
  <c r="K210" i="14"/>
  <c r="M269" i="14"/>
  <c r="K269" i="14"/>
  <c r="K297" i="14"/>
  <c r="M297" i="14"/>
  <c r="M293" i="14"/>
  <c r="K293" i="14"/>
  <c r="M225" i="14"/>
  <c r="K225" i="14"/>
  <c r="M218" i="14"/>
  <c r="K218" i="14"/>
  <c r="M220" i="14"/>
  <c r="K220" i="14"/>
  <c r="M285" i="14"/>
  <c r="K285" i="14"/>
  <c r="M238" i="14"/>
  <c r="K238" i="14"/>
  <c r="K241" i="14"/>
  <c r="M241" i="14"/>
  <c r="K42" i="16"/>
  <c r="K45" i="16"/>
  <c r="U46" i="16"/>
  <c r="K38" i="16"/>
  <c r="K289" i="14"/>
  <c r="M289" i="14"/>
  <c r="K234" i="14"/>
  <c r="M234" i="14"/>
  <c r="M288" i="14"/>
  <c r="K288" i="14"/>
  <c r="K217" i="14"/>
  <c r="M217" i="14"/>
  <c r="M276" i="14"/>
  <c r="K276" i="14"/>
  <c r="M221" i="14"/>
  <c r="K221" i="14"/>
  <c r="U40" i="16"/>
  <c r="P45" i="16"/>
  <c r="K275" i="14"/>
  <c r="M275" i="14"/>
  <c r="P41" i="16"/>
  <c r="P37" i="16"/>
  <c r="K52" i="16"/>
  <c r="P38" i="16"/>
  <c r="M212" i="14"/>
  <c r="K212" i="14"/>
  <c r="M280" i="14"/>
  <c r="K280" i="14"/>
  <c r="P40" i="16"/>
  <c r="M263" i="14"/>
  <c r="K274" i="14"/>
  <c r="M274" i="14"/>
  <c r="M301" i="14"/>
  <c r="K301" i="14"/>
  <c r="K257" i="14"/>
  <c r="M257" i="14"/>
  <c r="P32" i="16"/>
  <c r="K32" i="16"/>
  <c r="K272" i="14"/>
  <c r="M272" i="14"/>
  <c r="U35" i="16"/>
  <c r="K256" i="14"/>
  <c r="M256" i="14"/>
  <c r="M270" i="14"/>
  <c r="K270" i="14"/>
  <c r="K237" i="14"/>
  <c r="M237" i="14"/>
  <c r="M284" i="14"/>
  <c r="K284" i="14"/>
  <c r="M246" i="14"/>
  <c r="K246" i="14"/>
  <c r="M236" i="14"/>
  <c r="K236" i="14"/>
  <c r="U47" i="16"/>
  <c r="K47" i="16"/>
  <c r="M104" i="14"/>
  <c r="P39" i="16"/>
  <c r="U37" i="16"/>
  <c r="M262" i="14"/>
  <c r="K262" i="14"/>
  <c r="K3" i="16"/>
  <c r="M300" i="14"/>
  <c r="K300" i="14"/>
  <c r="U50" i="16"/>
  <c r="M231" i="14"/>
  <c r="K231" i="14"/>
  <c r="K197" i="14"/>
  <c r="M133" i="14"/>
  <c r="K170" i="14"/>
  <c r="P47" i="16"/>
  <c r="M208" i="14"/>
  <c r="K208" i="14"/>
  <c r="M230" i="14"/>
  <c r="K230" i="14"/>
  <c r="U45" i="16"/>
  <c r="M244" i="14"/>
  <c r="K244" i="14"/>
  <c r="M278" i="14"/>
  <c r="K278" i="14"/>
  <c r="P48" i="16"/>
  <c r="K35" i="16"/>
  <c r="M202" i="14"/>
  <c r="K266" i="14"/>
  <c r="M266" i="14"/>
  <c r="U39" i="16"/>
  <c r="P52" i="16"/>
  <c r="U42" i="16"/>
  <c r="K296" i="14"/>
  <c r="M296" i="14"/>
  <c r="P28" i="16"/>
  <c r="K50" i="16"/>
  <c r="M277" i="14"/>
  <c r="K277" i="14"/>
  <c r="K252" i="14"/>
  <c r="M252" i="14"/>
  <c r="P36" i="16"/>
  <c r="M248" i="14"/>
  <c r="K248" i="14"/>
  <c r="P50" i="16"/>
  <c r="M281" i="14"/>
  <c r="K281" i="14"/>
  <c r="K48" i="16"/>
  <c r="M209" i="14"/>
  <c r="K209" i="14"/>
  <c r="M228" i="14"/>
  <c r="K228" i="14"/>
  <c r="U31" i="16"/>
  <c r="M233" i="14"/>
  <c r="K233" i="14"/>
  <c r="K44" i="16"/>
  <c r="M265" i="14"/>
  <c r="K265" i="14"/>
  <c r="K282" i="14"/>
  <c r="M282" i="14"/>
  <c r="K292" i="14"/>
  <c r="M292" i="14"/>
  <c r="M205" i="14"/>
  <c r="K205" i="14"/>
  <c r="U49" i="16"/>
  <c r="K37" i="16"/>
  <c r="M247" i="14"/>
  <c r="K247" i="14"/>
  <c r="P44" i="16"/>
  <c r="Q167" i="14"/>
  <c r="Q135" i="14"/>
  <c r="Q119" i="14"/>
  <c r="K146" i="14"/>
  <c r="Q187" i="14"/>
  <c r="Q111" i="14"/>
  <c r="M127" i="14"/>
  <c r="Q151" i="14"/>
  <c r="Q163" i="14"/>
  <c r="Q115" i="14"/>
  <c r="K173" i="14"/>
  <c r="Q131" i="14"/>
  <c r="Q175" i="14"/>
  <c r="Q183" i="14"/>
  <c r="K179" i="14"/>
  <c r="K138" i="14"/>
  <c r="Q159" i="14"/>
  <c r="M158" i="14"/>
  <c r="K154" i="14"/>
  <c r="Q123" i="14"/>
  <c r="Q195" i="14"/>
  <c r="Q199" i="14"/>
  <c r="Q107" i="14"/>
  <c r="M251" i="14"/>
  <c r="K251" i="14"/>
  <c r="M259" i="14"/>
  <c r="K259" i="14"/>
  <c r="M299" i="14"/>
  <c r="K299" i="14"/>
  <c r="M291" i="14"/>
  <c r="K291" i="14"/>
  <c r="K287" i="14"/>
  <c r="M287" i="14"/>
  <c r="K223" i="14"/>
  <c r="M223" i="14"/>
  <c r="M303" i="14"/>
  <c r="K303" i="14"/>
  <c r="K295" i="14"/>
  <c r="M295" i="14"/>
  <c r="M215" i="14"/>
  <c r="K215" i="14"/>
  <c r="M207" i="14"/>
  <c r="K207" i="14"/>
  <c r="M243" i="14"/>
  <c r="K243" i="14"/>
  <c r="M149" i="14"/>
  <c r="M184" i="14"/>
  <c r="K161" i="14"/>
  <c r="M153" i="14"/>
  <c r="K120" i="14"/>
  <c r="M160" i="14"/>
  <c r="K129" i="14"/>
  <c r="K113" i="14"/>
  <c r="K169" i="14"/>
  <c r="M177" i="14"/>
  <c r="M121" i="14"/>
  <c r="M193" i="14"/>
  <c r="M192" i="14"/>
  <c r="K192" i="14"/>
  <c r="K128" i="14"/>
  <c r="M128" i="14"/>
  <c r="M124" i="14"/>
  <c r="K124" i="14"/>
  <c r="M156" i="14"/>
  <c r="K156" i="14"/>
  <c r="M188" i="14"/>
  <c r="K188" i="14"/>
  <c r="P155" i="15"/>
  <c r="P166" i="15"/>
  <c r="P164" i="15"/>
  <c r="P171" i="15"/>
  <c r="P167" i="15"/>
  <c r="P180" i="15"/>
  <c r="P179" i="15"/>
  <c r="P178" i="15"/>
  <c r="P162" i="15"/>
  <c r="P177" i="15"/>
  <c r="P176" i="15"/>
  <c r="P169" i="15"/>
  <c r="P161" i="15"/>
  <c r="P157" i="15"/>
  <c r="P163" i="15"/>
  <c r="P158" i="15"/>
  <c r="P172" i="15"/>
  <c r="P27" i="14"/>
  <c r="P28" i="14" s="1"/>
  <c r="P31" i="14"/>
  <c r="P35" i="14"/>
  <c r="P39" i="14"/>
  <c r="P43" i="14"/>
  <c r="P47" i="14"/>
  <c r="P51" i="14"/>
  <c r="P55" i="14"/>
  <c r="P59" i="14"/>
  <c r="P63" i="14"/>
  <c r="P67" i="14"/>
  <c r="P71" i="14"/>
  <c r="P75" i="14"/>
  <c r="P79" i="14"/>
  <c r="P83" i="14"/>
  <c r="P87" i="14"/>
  <c r="P91" i="14"/>
  <c r="P95" i="14"/>
  <c r="P99" i="14"/>
  <c r="P23" i="14"/>
  <c r="L8" i="12"/>
  <c r="J8" i="12"/>
  <c r="C55" i="2"/>
  <c r="D55" i="2" l="1"/>
  <c r="C14" i="3" s="1"/>
  <c r="P29" i="14"/>
  <c r="L28" i="14"/>
  <c r="J28" i="14"/>
  <c r="L83" i="14"/>
  <c r="J83" i="14"/>
  <c r="J79" i="14"/>
  <c r="L79" i="14"/>
  <c r="L59" i="14"/>
  <c r="J59" i="14"/>
  <c r="J75" i="14"/>
  <c r="L75" i="14"/>
  <c r="P44" i="14"/>
  <c r="L43" i="14"/>
  <c r="J43" i="14"/>
  <c r="L23" i="14"/>
  <c r="J23" i="14"/>
  <c r="L39" i="14"/>
  <c r="J39" i="14"/>
  <c r="P64" i="14"/>
  <c r="P65" i="14" s="1"/>
  <c r="J63" i="14"/>
  <c r="L63" i="14"/>
  <c r="P56" i="14"/>
  <c r="P57" i="14" s="1"/>
  <c r="J55" i="14"/>
  <c r="L55" i="14"/>
  <c r="P52" i="14"/>
  <c r="J51" i="14"/>
  <c r="L51" i="14"/>
  <c r="J47" i="14"/>
  <c r="L47" i="14"/>
  <c r="J99" i="14"/>
  <c r="L99" i="14"/>
  <c r="P36" i="14"/>
  <c r="J35" i="14"/>
  <c r="L35" i="14"/>
  <c r="P72" i="14"/>
  <c r="L71" i="14"/>
  <c r="J71" i="14"/>
  <c r="L67" i="14"/>
  <c r="J67" i="14"/>
  <c r="P96" i="14"/>
  <c r="L95" i="14"/>
  <c r="J95" i="14"/>
  <c r="P32" i="14"/>
  <c r="J31" i="14"/>
  <c r="L31" i="14"/>
  <c r="L91" i="14"/>
  <c r="J91" i="14"/>
  <c r="J27" i="14"/>
  <c r="L27" i="14"/>
  <c r="L87" i="14"/>
  <c r="J87" i="14"/>
  <c r="P80" i="14"/>
  <c r="C9" i="3"/>
  <c r="C10" i="3"/>
  <c r="C12" i="3"/>
  <c r="C13" i="3"/>
  <c r="C11" i="3"/>
  <c r="K104" i="14"/>
  <c r="K158" i="14"/>
  <c r="P84" i="14"/>
  <c r="K122" i="14"/>
  <c r="M122" i="14"/>
  <c r="M118" i="14"/>
  <c r="K118" i="14"/>
  <c r="K150" i="14"/>
  <c r="M150" i="14"/>
  <c r="K174" i="14"/>
  <c r="M174" i="14"/>
  <c r="K110" i="14"/>
  <c r="M110" i="14"/>
  <c r="K134" i="14"/>
  <c r="M134" i="14"/>
  <c r="M114" i="14"/>
  <c r="K114" i="14"/>
  <c r="P68" i="14"/>
  <c r="M198" i="14"/>
  <c r="K198" i="14"/>
  <c r="M155" i="14"/>
  <c r="K155" i="14"/>
  <c r="M130" i="14"/>
  <c r="K130" i="14"/>
  <c r="K143" i="14"/>
  <c r="M143" i="14"/>
  <c r="K139" i="14"/>
  <c r="M139" i="14"/>
  <c r="M186" i="14"/>
  <c r="K186" i="14"/>
  <c r="M166" i="14"/>
  <c r="K166" i="14"/>
  <c r="K194" i="14"/>
  <c r="M194" i="14"/>
  <c r="M203" i="14"/>
  <c r="K203" i="14"/>
  <c r="M147" i="14"/>
  <c r="K147" i="14"/>
  <c r="M106" i="14"/>
  <c r="K106" i="14"/>
  <c r="M171" i="14"/>
  <c r="K171" i="14"/>
  <c r="K182" i="14"/>
  <c r="M182" i="14"/>
  <c r="K191" i="14"/>
  <c r="M191" i="14"/>
  <c r="K162" i="14"/>
  <c r="M162" i="14"/>
  <c r="C4" i="3"/>
  <c r="C5" i="3"/>
  <c r="C6" i="3"/>
  <c r="C7" i="3"/>
  <c r="C8" i="3"/>
  <c r="C3" i="3"/>
  <c r="P88" i="14"/>
  <c r="P76" i="14"/>
  <c r="P100" i="14"/>
  <c r="P92" i="14"/>
  <c r="P45" i="14"/>
  <c r="P60" i="14"/>
  <c r="P24" i="14"/>
  <c r="P33" i="14"/>
  <c r="P73" i="14"/>
  <c r="P97" i="14"/>
  <c r="P48" i="14"/>
  <c r="F8" i="12"/>
  <c r="P40" i="14"/>
  <c r="P22" i="13"/>
  <c r="K15" i="13"/>
  <c r="U7" i="13"/>
  <c r="U5" i="13"/>
  <c r="U19" i="13"/>
  <c r="K10" i="13"/>
  <c r="I52" i="14" s="1"/>
  <c r="U18" i="13"/>
  <c r="P13" i="13"/>
  <c r="P7" i="13"/>
  <c r="P17" i="13"/>
  <c r="U3" i="13"/>
  <c r="P6" i="13"/>
  <c r="U9" i="13"/>
  <c r="U10" i="13"/>
  <c r="U14" i="13"/>
  <c r="F12" i="13"/>
  <c r="I59" i="14" s="1"/>
  <c r="U21" i="13"/>
  <c r="F11" i="13"/>
  <c r="I55" i="14" s="1"/>
  <c r="F3" i="13"/>
  <c r="I23" i="14" s="1"/>
  <c r="F7" i="13"/>
  <c r="I39" i="14" s="1"/>
  <c r="P11" i="13"/>
  <c r="F22" i="13"/>
  <c r="I99" i="14" s="1"/>
  <c r="F6" i="13"/>
  <c r="I35" i="14" s="1"/>
  <c r="K16" i="13"/>
  <c r="I76" i="14" s="1"/>
  <c r="P12" i="13"/>
  <c r="U8" i="13"/>
  <c r="F21" i="13"/>
  <c r="I95" i="14" s="1"/>
  <c r="F5" i="13"/>
  <c r="I31" i="14" s="1"/>
  <c r="K17" i="13"/>
  <c r="I80" i="14" s="1"/>
  <c r="F20" i="13"/>
  <c r="I91" i="14" s="1"/>
  <c r="F4" i="13"/>
  <c r="I27" i="14" s="1"/>
  <c r="K18" i="13"/>
  <c r="P14" i="13"/>
  <c r="F19" i="13"/>
  <c r="I87" i="14" s="1"/>
  <c r="K3" i="13"/>
  <c r="K19" i="13"/>
  <c r="P15" i="13"/>
  <c r="U11" i="13"/>
  <c r="F18" i="13"/>
  <c r="I83" i="14" s="1"/>
  <c r="K4" i="13"/>
  <c r="I28" i="14" s="1"/>
  <c r="K20" i="13"/>
  <c r="I92" i="14" s="1"/>
  <c r="P16" i="13"/>
  <c r="U12" i="13"/>
  <c r="K11" i="13"/>
  <c r="I56" i="14" s="1"/>
  <c r="F17" i="13"/>
  <c r="I79" i="14" s="1"/>
  <c r="K5" i="13"/>
  <c r="I32" i="14" s="1"/>
  <c r="K21" i="13"/>
  <c r="I96" i="14" s="1"/>
  <c r="U13" i="13"/>
  <c r="F16" i="13"/>
  <c r="I75" i="14" s="1"/>
  <c r="K6" i="13"/>
  <c r="K22" i="13"/>
  <c r="P18" i="13"/>
  <c r="F15" i="13"/>
  <c r="I71" i="14" s="1"/>
  <c r="K7" i="13"/>
  <c r="P3" i="13"/>
  <c r="P19" i="13"/>
  <c r="U15" i="13"/>
  <c r="F14" i="13"/>
  <c r="I67" i="14" s="1"/>
  <c r="K8" i="13"/>
  <c r="I44" i="14" s="1"/>
  <c r="P4" i="13"/>
  <c r="P20" i="13"/>
  <c r="U16" i="13"/>
  <c r="F13" i="13"/>
  <c r="I63" i="14" s="1"/>
  <c r="K9" i="13"/>
  <c r="I48" i="14" s="1"/>
  <c r="P5" i="13"/>
  <c r="P21" i="13"/>
  <c r="I97" i="14" s="1"/>
  <c r="U17" i="13"/>
  <c r="F10" i="13"/>
  <c r="I51" i="14" s="1"/>
  <c r="K12" i="13"/>
  <c r="P8" i="13"/>
  <c r="U4" i="13"/>
  <c r="U20" i="13"/>
  <c r="F9" i="13"/>
  <c r="I47" i="14" s="1"/>
  <c r="K13" i="13"/>
  <c r="I64" i="14" s="1"/>
  <c r="P9" i="13"/>
  <c r="F8" i="13"/>
  <c r="I43" i="14" s="1"/>
  <c r="K14" i="13"/>
  <c r="P10" i="13"/>
  <c r="U6" i="13"/>
  <c r="U22" i="13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7" i="11"/>
  <c r="P8" i="11"/>
  <c r="P6" i="11"/>
  <c r="I60" i="14" l="1"/>
  <c r="H60" i="14" s="1"/>
  <c r="I84" i="14"/>
  <c r="M84" i="14" s="1"/>
  <c r="I100" i="14"/>
  <c r="M100" i="14" s="1"/>
  <c r="L36" i="14"/>
  <c r="J36" i="14"/>
  <c r="P69" i="14"/>
  <c r="L68" i="14"/>
  <c r="J68" i="14"/>
  <c r="L48" i="14"/>
  <c r="J48" i="14"/>
  <c r="L57" i="14"/>
  <c r="J57" i="14"/>
  <c r="O57" i="14"/>
  <c r="I57" i="14"/>
  <c r="M57" i="14" s="1"/>
  <c r="L44" i="14"/>
  <c r="J44" i="14"/>
  <c r="P85" i="14"/>
  <c r="L84" i="14"/>
  <c r="J84" i="14"/>
  <c r="L97" i="14"/>
  <c r="J97" i="14"/>
  <c r="L32" i="14"/>
  <c r="J32" i="14"/>
  <c r="O73" i="14"/>
  <c r="L73" i="14"/>
  <c r="J73" i="14"/>
  <c r="I73" i="14"/>
  <c r="K73" i="14" s="1"/>
  <c r="I68" i="14"/>
  <c r="K68" i="14" s="1"/>
  <c r="P37" i="14"/>
  <c r="P53" i="14"/>
  <c r="J52" i="14"/>
  <c r="L52" i="14"/>
  <c r="L33" i="14"/>
  <c r="I33" i="14"/>
  <c r="M33" i="14" s="1"/>
  <c r="O33" i="14"/>
  <c r="J33" i="14"/>
  <c r="L96" i="14"/>
  <c r="J96" i="14"/>
  <c r="P25" i="14"/>
  <c r="L24" i="14"/>
  <c r="J24" i="14"/>
  <c r="O24" i="14"/>
  <c r="I24" i="14"/>
  <c r="K24" i="14" s="1"/>
  <c r="L88" i="14"/>
  <c r="J88" i="14"/>
  <c r="I40" i="14"/>
  <c r="K40" i="14" s="1"/>
  <c r="L60" i="14"/>
  <c r="J60" i="14"/>
  <c r="L56" i="14"/>
  <c r="J56" i="14"/>
  <c r="I45" i="14"/>
  <c r="K45" i="14" s="1"/>
  <c r="O45" i="14"/>
  <c r="L45" i="14"/>
  <c r="J45" i="14"/>
  <c r="L40" i="14"/>
  <c r="J40" i="14"/>
  <c r="I88" i="14"/>
  <c r="K88" i="14" s="1"/>
  <c r="P93" i="14"/>
  <c r="L92" i="14"/>
  <c r="J92" i="14"/>
  <c r="L80" i="14"/>
  <c r="J80" i="14"/>
  <c r="P101" i="14"/>
  <c r="J100" i="14"/>
  <c r="L100" i="14"/>
  <c r="J72" i="14"/>
  <c r="I72" i="14"/>
  <c r="K72" i="14" s="1"/>
  <c r="L72" i="14"/>
  <c r="L64" i="14"/>
  <c r="J64" i="14"/>
  <c r="I36" i="14"/>
  <c r="M36" i="14" s="1"/>
  <c r="P77" i="14"/>
  <c r="L76" i="14"/>
  <c r="J76" i="14"/>
  <c r="I69" i="14"/>
  <c r="K69" i="14" s="1"/>
  <c r="P66" i="14"/>
  <c r="O65" i="14"/>
  <c r="L65" i="14"/>
  <c r="J65" i="14"/>
  <c r="I65" i="14"/>
  <c r="M65" i="14" s="1"/>
  <c r="P30" i="14"/>
  <c r="O29" i="14"/>
  <c r="L29" i="14"/>
  <c r="J29" i="14"/>
  <c r="I29" i="14"/>
  <c r="K29" i="14" s="1"/>
  <c r="P81" i="14"/>
  <c r="M76" i="14"/>
  <c r="I17" i="12"/>
  <c r="I18" i="12"/>
  <c r="I15" i="12"/>
  <c r="I19" i="12"/>
  <c r="I16" i="12"/>
  <c r="M183" i="14"/>
  <c r="K183" i="14"/>
  <c r="M187" i="14"/>
  <c r="K187" i="14"/>
  <c r="K111" i="14"/>
  <c r="M111" i="14"/>
  <c r="M131" i="14"/>
  <c r="K131" i="14"/>
  <c r="K199" i="14"/>
  <c r="M199" i="14"/>
  <c r="M175" i="14"/>
  <c r="K175" i="14"/>
  <c r="K107" i="14"/>
  <c r="M107" i="14"/>
  <c r="M151" i="14"/>
  <c r="K151" i="14"/>
  <c r="M167" i="14"/>
  <c r="K167" i="14"/>
  <c r="M119" i="14"/>
  <c r="K119" i="14"/>
  <c r="M115" i="14"/>
  <c r="K115" i="14"/>
  <c r="P89" i="14"/>
  <c r="M163" i="14"/>
  <c r="K163" i="14"/>
  <c r="M195" i="14"/>
  <c r="K195" i="14"/>
  <c r="M159" i="14"/>
  <c r="K159" i="14"/>
  <c r="M135" i="14"/>
  <c r="K135" i="14"/>
  <c r="K92" i="14"/>
  <c r="K123" i="14"/>
  <c r="M123" i="14"/>
  <c r="I11" i="12"/>
  <c r="I14" i="12"/>
  <c r="I10" i="12"/>
  <c r="I12" i="12"/>
  <c r="I13" i="12"/>
  <c r="P26" i="14"/>
  <c r="M97" i="14"/>
  <c r="P61" i="14"/>
  <c r="K48" i="14"/>
  <c r="P46" i="14"/>
  <c r="P41" i="14"/>
  <c r="P58" i="14"/>
  <c r="P98" i="14"/>
  <c r="P74" i="14"/>
  <c r="P49" i="14"/>
  <c r="P34" i="14"/>
  <c r="K64" i="14"/>
  <c r="H64" i="14"/>
  <c r="M64" i="14"/>
  <c r="K28" i="14"/>
  <c r="M28" i="14"/>
  <c r="H28" i="14"/>
  <c r="K52" i="14"/>
  <c r="M52" i="14"/>
  <c r="H52" i="14"/>
  <c r="K96" i="14"/>
  <c r="M96" i="14"/>
  <c r="H96" i="14"/>
  <c r="K32" i="14"/>
  <c r="H32" i="14"/>
  <c r="M32" i="14"/>
  <c r="K80" i="14"/>
  <c r="M80" i="14"/>
  <c r="H80" i="14"/>
  <c r="K56" i="14"/>
  <c r="M56" i="14"/>
  <c r="H56" i="14"/>
  <c r="K44" i="14"/>
  <c r="M44" i="14"/>
  <c r="H44" i="14"/>
  <c r="N17" i="13"/>
  <c r="O80" i="14" s="1"/>
  <c r="I22" i="13"/>
  <c r="O99" i="14" s="1"/>
  <c r="S20" i="13"/>
  <c r="I21" i="13"/>
  <c r="O95" i="14" s="1"/>
  <c r="X18" i="13"/>
  <c r="X22" i="13"/>
  <c r="S21" i="13"/>
  <c r="O97" i="14" s="1"/>
  <c r="N19" i="13"/>
  <c r="O88" i="14" s="1"/>
  <c r="S17" i="13"/>
  <c r="S18" i="13"/>
  <c r="S19" i="13"/>
  <c r="X17" i="13"/>
  <c r="X20" i="13"/>
  <c r="N20" i="13"/>
  <c r="O92" i="14" s="1"/>
  <c r="I17" i="13"/>
  <c r="O79" i="14" s="1"/>
  <c r="N18" i="13"/>
  <c r="O84" i="14" s="1"/>
  <c r="S22" i="13"/>
  <c r="I20" i="13"/>
  <c r="O91" i="14" s="1"/>
  <c r="I19" i="13"/>
  <c r="O87" i="14" s="1"/>
  <c r="I18" i="13"/>
  <c r="O83" i="14" s="1"/>
  <c r="N21" i="13"/>
  <c r="O96" i="14" s="1"/>
  <c r="X21" i="13"/>
  <c r="N22" i="13"/>
  <c r="O100" i="14" s="1"/>
  <c r="X19" i="13"/>
  <c r="O101" i="14" l="1"/>
  <c r="M29" i="14"/>
  <c r="H29" i="14"/>
  <c r="K36" i="14"/>
  <c r="H36" i="14"/>
  <c r="K33" i="14"/>
  <c r="H69" i="14"/>
  <c r="M69" i="14"/>
  <c r="M72" i="14"/>
  <c r="O41" i="14"/>
  <c r="L41" i="14"/>
  <c r="J41" i="14"/>
  <c r="I41" i="14"/>
  <c r="O89" i="14"/>
  <c r="L89" i="14"/>
  <c r="J89" i="14"/>
  <c r="I89" i="14"/>
  <c r="M89" i="14" s="1"/>
  <c r="P86" i="14"/>
  <c r="O85" i="14"/>
  <c r="L85" i="14"/>
  <c r="J85" i="14"/>
  <c r="I85" i="14"/>
  <c r="H72" i="14"/>
  <c r="H65" i="14"/>
  <c r="H45" i="14"/>
  <c r="K65" i="14"/>
  <c r="O66" i="14"/>
  <c r="L66" i="14"/>
  <c r="J66" i="14"/>
  <c r="I66" i="14"/>
  <c r="P102" i="14"/>
  <c r="L101" i="14"/>
  <c r="J101" i="14"/>
  <c r="I98" i="14"/>
  <c r="O98" i="14"/>
  <c r="J98" i="14"/>
  <c r="L98" i="14"/>
  <c r="O58" i="14"/>
  <c r="L58" i="14"/>
  <c r="J58" i="14"/>
  <c r="I58" i="14"/>
  <c r="M45" i="14"/>
  <c r="O46" i="14"/>
  <c r="L46" i="14"/>
  <c r="J46" i="14"/>
  <c r="I46" i="14"/>
  <c r="I101" i="14"/>
  <c r="K101" i="14" s="1"/>
  <c r="P54" i="14"/>
  <c r="O53" i="14"/>
  <c r="L53" i="14"/>
  <c r="J53" i="14"/>
  <c r="I53" i="14"/>
  <c r="P38" i="14"/>
  <c r="O37" i="14"/>
  <c r="I37" i="14"/>
  <c r="K37" i="14" s="1"/>
  <c r="L37" i="14"/>
  <c r="J37" i="14"/>
  <c r="P94" i="14"/>
  <c r="J93" i="14"/>
  <c r="I93" i="14"/>
  <c r="L93" i="14"/>
  <c r="O93" i="14"/>
  <c r="I61" i="14"/>
  <c r="J61" i="14"/>
  <c r="O61" i="14"/>
  <c r="L61" i="14"/>
  <c r="P82" i="14"/>
  <c r="O81" i="14"/>
  <c r="L81" i="14"/>
  <c r="J81" i="14"/>
  <c r="I81" i="14"/>
  <c r="K81" i="14" s="1"/>
  <c r="P78" i="14"/>
  <c r="I77" i="14"/>
  <c r="K77" i="14" s="1"/>
  <c r="J77" i="14"/>
  <c r="L77" i="14"/>
  <c r="O77" i="14"/>
  <c r="L25" i="14"/>
  <c r="I25" i="14"/>
  <c r="M25" i="14" s="1"/>
  <c r="J25" i="14"/>
  <c r="O25" i="14"/>
  <c r="L34" i="14"/>
  <c r="J34" i="14"/>
  <c r="O34" i="14"/>
  <c r="I34" i="14"/>
  <c r="P70" i="14"/>
  <c r="L69" i="14"/>
  <c r="J69" i="14"/>
  <c r="H33" i="14"/>
  <c r="O49" i="14"/>
  <c r="L49" i="14"/>
  <c r="J49" i="14"/>
  <c r="I49" i="14"/>
  <c r="O74" i="14"/>
  <c r="L74" i="14"/>
  <c r="J74" i="14"/>
  <c r="I74" i="14"/>
  <c r="O26" i="14"/>
  <c r="L26" i="14"/>
  <c r="J26" i="14"/>
  <c r="I26" i="14"/>
  <c r="H26" i="14" s="1"/>
  <c r="O30" i="14"/>
  <c r="L30" i="14"/>
  <c r="J30" i="14"/>
  <c r="I30" i="14"/>
  <c r="H84" i="14"/>
  <c r="K84" i="14"/>
  <c r="M60" i="14"/>
  <c r="K60" i="14"/>
  <c r="H76" i="14"/>
  <c r="M68" i="14"/>
  <c r="K76" i="14"/>
  <c r="H68" i="14"/>
  <c r="P90" i="14"/>
  <c r="M88" i="14"/>
  <c r="H88" i="14"/>
  <c r="H40" i="14"/>
  <c r="M40" i="14"/>
  <c r="K100" i="14"/>
  <c r="H57" i="14"/>
  <c r="K57" i="14"/>
  <c r="M92" i="14"/>
  <c r="H92" i="14"/>
  <c r="H100" i="14"/>
  <c r="H73" i="14"/>
  <c r="M73" i="14"/>
  <c r="H97" i="14"/>
  <c r="K97" i="14"/>
  <c r="H24" i="14"/>
  <c r="M24" i="14"/>
  <c r="M48" i="14"/>
  <c r="P62" i="14"/>
  <c r="H48" i="14"/>
  <c r="P50" i="14"/>
  <c r="P42" i="14"/>
  <c r="K31" i="14"/>
  <c r="M31" i="14"/>
  <c r="H31" i="14"/>
  <c r="K79" i="14"/>
  <c r="H79" i="14"/>
  <c r="M79" i="14"/>
  <c r="K51" i="14"/>
  <c r="M51" i="14"/>
  <c r="H51" i="14"/>
  <c r="K55" i="14"/>
  <c r="M55" i="14"/>
  <c r="H55" i="14"/>
  <c r="K59" i="14"/>
  <c r="M59" i="14"/>
  <c r="H59" i="14"/>
  <c r="K35" i="14"/>
  <c r="M35" i="14"/>
  <c r="H35" i="14"/>
  <c r="K39" i="14"/>
  <c r="M39" i="14"/>
  <c r="H39" i="14"/>
  <c r="K83" i="14"/>
  <c r="M83" i="14"/>
  <c r="H83" i="14"/>
  <c r="K27" i="14"/>
  <c r="M27" i="14"/>
  <c r="H27" i="14"/>
  <c r="K23" i="14"/>
  <c r="H23" i="14"/>
  <c r="M23" i="14"/>
  <c r="K71" i="14"/>
  <c r="H71" i="14"/>
  <c r="M71" i="14"/>
  <c r="K67" i="14"/>
  <c r="M67" i="14"/>
  <c r="H67" i="14"/>
  <c r="K63" i="14"/>
  <c r="M63" i="14"/>
  <c r="H63" i="14"/>
  <c r="K43" i="14"/>
  <c r="M43" i="14"/>
  <c r="H43" i="14"/>
  <c r="K47" i="14"/>
  <c r="M47" i="14"/>
  <c r="H47" i="14"/>
  <c r="K87" i="14"/>
  <c r="M87" i="14"/>
  <c r="H87" i="14"/>
  <c r="K95" i="14"/>
  <c r="M95" i="14"/>
  <c r="H95" i="14"/>
  <c r="K91" i="14"/>
  <c r="M91" i="14"/>
  <c r="H91" i="14"/>
  <c r="K99" i="14"/>
  <c r="M99" i="14"/>
  <c r="H99" i="14"/>
  <c r="K75" i="14"/>
  <c r="M75" i="14"/>
  <c r="H75" i="14"/>
  <c r="H8" i="5"/>
  <c r="H9" i="5"/>
  <c r="H10" i="5"/>
  <c r="H3" i="5"/>
  <c r="H4" i="5"/>
  <c r="H7" i="5"/>
  <c r="I8" i="12"/>
  <c r="C80" i="2"/>
  <c r="C78" i="2"/>
  <c r="C79" i="2"/>
  <c r="J8" i="5" l="1"/>
  <c r="J16" i="5"/>
  <c r="F44" i="7" s="1"/>
  <c r="O44" i="7" s="1"/>
  <c r="I16" i="5"/>
  <c r="F43" i="7" s="1"/>
  <c r="O43" i="7" s="1"/>
  <c r="I17" i="5"/>
  <c r="I15" i="5"/>
  <c r="J15" i="5"/>
  <c r="I14" i="5"/>
  <c r="J14" i="5"/>
  <c r="B5" i="17"/>
  <c r="M5" i="17" s="1"/>
  <c r="B19" i="19"/>
  <c r="B21" i="19"/>
  <c r="B22" i="19"/>
  <c r="B8" i="19"/>
  <c r="B13" i="19"/>
  <c r="B14" i="19"/>
  <c r="H14" i="19" s="1"/>
  <c r="E253" i="7" s="1"/>
  <c r="B18" i="19"/>
  <c r="B6" i="19"/>
  <c r="B7" i="19"/>
  <c r="B20" i="19"/>
  <c r="B3" i="19"/>
  <c r="H3" i="19" s="1"/>
  <c r="E232" i="7" s="1"/>
  <c r="B15" i="19"/>
  <c r="B5" i="19"/>
  <c r="B4" i="19"/>
  <c r="B11" i="19"/>
  <c r="B16" i="19"/>
  <c r="B9" i="19"/>
  <c r="B12" i="19"/>
  <c r="B17" i="19"/>
  <c r="B10" i="19"/>
  <c r="H5" i="17"/>
  <c r="J11" i="5"/>
  <c r="O32" i="7" s="1"/>
  <c r="J5" i="5"/>
  <c r="J13" i="5"/>
  <c r="O35" i="7" s="1"/>
  <c r="J7" i="5"/>
  <c r="O20" i="7" s="1"/>
  <c r="O21" i="7"/>
  <c r="H77" i="14"/>
  <c r="H25" i="14"/>
  <c r="M101" i="14"/>
  <c r="H101" i="14"/>
  <c r="M77" i="14"/>
  <c r="K25" i="14"/>
  <c r="J90" i="14"/>
  <c r="O90" i="14"/>
  <c r="L90" i="14"/>
  <c r="I90" i="14"/>
  <c r="K90" i="14" s="1"/>
  <c r="H85" i="14"/>
  <c r="M85" i="14"/>
  <c r="K85" i="14"/>
  <c r="L38" i="14"/>
  <c r="J38" i="14"/>
  <c r="I38" i="14"/>
  <c r="O38" i="14"/>
  <c r="O70" i="14"/>
  <c r="L70" i="14"/>
  <c r="J70" i="14"/>
  <c r="I70" i="14"/>
  <c r="I82" i="14"/>
  <c r="H82" i="14" s="1"/>
  <c r="O82" i="14"/>
  <c r="L82" i="14"/>
  <c r="J82" i="14"/>
  <c r="K53" i="14"/>
  <c r="M53" i="14"/>
  <c r="H53" i="14"/>
  <c r="J12" i="5"/>
  <c r="O38" i="7" s="1"/>
  <c r="I12" i="5"/>
  <c r="O37" i="7" s="1"/>
  <c r="I13" i="5"/>
  <c r="O34" i="7" s="1"/>
  <c r="I11" i="5"/>
  <c r="O31" i="7" s="1"/>
  <c r="O86" i="14"/>
  <c r="L86" i="14"/>
  <c r="J86" i="14"/>
  <c r="I86" i="14"/>
  <c r="M37" i="14"/>
  <c r="H81" i="14"/>
  <c r="O54" i="14"/>
  <c r="J54" i="14"/>
  <c r="L54" i="14"/>
  <c r="I54" i="14"/>
  <c r="H37" i="14"/>
  <c r="L102" i="14"/>
  <c r="J102" i="14"/>
  <c r="I102" i="14"/>
  <c r="O50" i="14"/>
  <c r="L50" i="14"/>
  <c r="J50" i="14"/>
  <c r="I50" i="14"/>
  <c r="K66" i="14"/>
  <c r="M66" i="14"/>
  <c r="H66" i="14"/>
  <c r="I42" i="14"/>
  <c r="O42" i="14"/>
  <c r="L42" i="14"/>
  <c r="J42" i="14"/>
  <c r="K93" i="14"/>
  <c r="M93" i="14"/>
  <c r="H93" i="14"/>
  <c r="O94" i="14"/>
  <c r="L94" i="14"/>
  <c r="J94" i="14"/>
  <c r="I94" i="14"/>
  <c r="J62" i="14"/>
  <c r="I62" i="14"/>
  <c r="O62" i="14"/>
  <c r="L62" i="14"/>
  <c r="O102" i="14"/>
  <c r="K30" i="14"/>
  <c r="M30" i="14"/>
  <c r="H30" i="14"/>
  <c r="J78" i="14"/>
  <c r="I78" i="14"/>
  <c r="O78" i="14"/>
  <c r="L78" i="14"/>
  <c r="O9" i="7"/>
  <c r="B3" i="17"/>
  <c r="H3" i="17" s="1"/>
  <c r="E53" i="7" s="1"/>
  <c r="B4" i="17"/>
  <c r="H4" i="17" s="1"/>
  <c r="E54" i="7" s="1"/>
  <c r="M81" i="14"/>
  <c r="K26" i="14"/>
  <c r="M26" i="14"/>
  <c r="K155" i="15"/>
  <c r="K148" i="15"/>
  <c r="K145" i="15"/>
  <c r="K143" i="15"/>
  <c r="K149" i="15"/>
  <c r="K139" i="15"/>
  <c r="K159" i="15"/>
  <c r="K164" i="15"/>
  <c r="K153" i="15"/>
  <c r="K163" i="15"/>
  <c r="K142" i="15"/>
  <c r="K147" i="15"/>
  <c r="K151" i="15"/>
  <c r="K156" i="15"/>
  <c r="K165" i="15"/>
  <c r="K162" i="15"/>
  <c r="K160" i="15"/>
  <c r="K144" i="15"/>
  <c r="K161" i="15"/>
  <c r="K141" i="15"/>
  <c r="K150" i="15"/>
  <c r="K140" i="15"/>
  <c r="K158" i="15"/>
  <c r="K146" i="15"/>
  <c r="K157" i="15"/>
  <c r="K152" i="15"/>
  <c r="K154" i="15"/>
  <c r="I16" i="13"/>
  <c r="O75" i="14" s="1"/>
  <c r="X9" i="13"/>
  <c r="N9" i="13"/>
  <c r="O48" i="14" s="1"/>
  <c r="I5" i="13"/>
  <c r="O31" i="14" s="1"/>
  <c r="S16" i="13"/>
  <c r="S5" i="13"/>
  <c r="S6" i="13"/>
  <c r="N8" i="13"/>
  <c r="O44" i="14" s="1"/>
  <c r="S8" i="13"/>
  <c r="I15" i="13"/>
  <c r="O71" i="14" s="1"/>
  <c r="X10" i="13"/>
  <c r="S15" i="13"/>
  <c r="S14" i="13"/>
  <c r="O69" i="14" s="1"/>
  <c r="X11" i="13"/>
  <c r="I12" i="13"/>
  <c r="O59" i="14" s="1"/>
  <c r="X16" i="13"/>
  <c r="X14" i="13"/>
  <c r="X12" i="13"/>
  <c r="I4" i="13"/>
  <c r="O27" i="14" s="1"/>
  <c r="X7" i="13"/>
  <c r="N12" i="13"/>
  <c r="O60" i="14" s="1"/>
  <c r="X15" i="13"/>
  <c r="X13" i="13"/>
  <c r="N15" i="13"/>
  <c r="O72" i="14" s="1"/>
  <c r="N11" i="13"/>
  <c r="O56" i="14" s="1"/>
  <c r="X4" i="13"/>
  <c r="X6" i="13"/>
  <c r="I7" i="13"/>
  <c r="O39" i="14" s="1"/>
  <c r="S12" i="13"/>
  <c r="I8" i="13"/>
  <c r="O43" i="14" s="1"/>
  <c r="N13" i="13"/>
  <c r="O64" i="14" s="1"/>
  <c r="S13" i="13"/>
  <c r="I11" i="13"/>
  <c r="O55" i="14" s="1"/>
  <c r="N4" i="13"/>
  <c r="O28" i="14" s="1"/>
  <c r="X3" i="13"/>
  <c r="N10" i="13"/>
  <c r="O52" i="14" s="1"/>
  <c r="I6" i="13"/>
  <c r="O35" i="14" s="1"/>
  <c r="N16" i="13"/>
  <c r="O76" i="14" s="1"/>
  <c r="N14" i="13"/>
  <c r="O68" i="14" s="1"/>
  <c r="S4" i="13"/>
  <c r="I9" i="13"/>
  <c r="O47" i="14" s="1"/>
  <c r="S9" i="13"/>
  <c r="I10" i="13"/>
  <c r="O51" i="14" s="1"/>
  <c r="N3" i="13"/>
  <c r="I14" i="13"/>
  <c r="O67" i="14" s="1"/>
  <c r="N7" i="13"/>
  <c r="O40" i="14" s="1"/>
  <c r="S7" i="13"/>
  <c r="N6" i="13"/>
  <c r="O36" i="14" s="1"/>
  <c r="I3" i="13"/>
  <c r="O23" i="14" s="1"/>
  <c r="N5" i="13"/>
  <c r="O32" i="14" s="1"/>
  <c r="I13" i="13"/>
  <c r="O63" i="14" s="1"/>
  <c r="S10" i="13"/>
  <c r="S11" i="13"/>
  <c r="S3" i="13"/>
  <c r="X5" i="13"/>
  <c r="X8" i="13"/>
  <c r="O12" i="7"/>
  <c r="O6" i="7"/>
  <c r="J3" i="5"/>
  <c r="O8" i="7" s="1"/>
  <c r="O15" i="7"/>
  <c r="J6" i="5"/>
  <c r="K89" i="14"/>
  <c r="H89" i="14"/>
  <c r="M46" i="14"/>
  <c r="K46" i="14"/>
  <c r="H46" i="14"/>
  <c r="M61" i="14"/>
  <c r="H61" i="14"/>
  <c r="K61" i="14"/>
  <c r="K41" i="14"/>
  <c r="M41" i="14"/>
  <c r="H41" i="14"/>
  <c r="H49" i="14"/>
  <c r="K49" i="14"/>
  <c r="M49" i="14"/>
  <c r="K74" i="14"/>
  <c r="M74" i="14"/>
  <c r="H74" i="14"/>
  <c r="H98" i="14"/>
  <c r="M98" i="14"/>
  <c r="K98" i="14"/>
  <c r="H34" i="14"/>
  <c r="M34" i="14"/>
  <c r="K34" i="14"/>
  <c r="K58" i="14"/>
  <c r="M58" i="14"/>
  <c r="H58" i="14"/>
  <c r="B19" i="13"/>
  <c r="B3" i="13"/>
  <c r="B4" i="13"/>
  <c r="B20" i="13"/>
  <c r="B21" i="13"/>
  <c r="B6" i="13"/>
  <c r="B22" i="13"/>
  <c r="B7" i="13"/>
  <c r="B5" i="13"/>
  <c r="B18" i="13"/>
  <c r="B9" i="13"/>
  <c r="B15" i="13"/>
  <c r="B8" i="13"/>
  <c r="B17" i="13"/>
  <c r="B10" i="13"/>
  <c r="B11" i="13"/>
  <c r="B12" i="13"/>
  <c r="B13" i="13"/>
  <c r="B14" i="13"/>
  <c r="B16" i="13"/>
  <c r="W16" i="13" s="1"/>
  <c r="H2" i="5"/>
  <c r="O24" i="7"/>
  <c r="I8" i="5"/>
  <c r="J11" i="10"/>
  <c r="J10" i="10"/>
  <c r="M8" i="5"/>
  <c r="I11" i="10" s="1"/>
  <c r="J12" i="10"/>
  <c r="H8" i="10"/>
  <c r="H9" i="10"/>
  <c r="H7" i="10"/>
  <c r="L6" i="5"/>
  <c r="I7" i="5"/>
  <c r="O18" i="7"/>
  <c r="J4" i="5"/>
  <c r="J9" i="5"/>
  <c r="J10" i="5"/>
  <c r="I6" i="5"/>
  <c r="I5" i="5"/>
  <c r="I10" i="5"/>
  <c r="I4" i="5"/>
  <c r="I3" i="5"/>
  <c r="I9" i="5"/>
  <c r="F50" i="7" l="1"/>
  <c r="O50" i="7" s="1"/>
  <c r="F49" i="7"/>
  <c r="O49" i="7" s="1"/>
  <c r="F40" i="7"/>
  <c r="O40" i="7" s="1"/>
  <c r="F41" i="7"/>
  <c r="O41" i="7" s="1"/>
  <c r="R5" i="17"/>
  <c r="E57" i="7" s="1"/>
  <c r="D100" i="21"/>
  <c r="D69" i="21"/>
  <c r="D89" i="21"/>
  <c r="D36" i="21"/>
  <c r="D105" i="21"/>
  <c r="D61" i="21"/>
  <c r="D41" i="21"/>
  <c r="D92" i="21"/>
  <c r="D72" i="21"/>
  <c r="D64" i="21"/>
  <c r="D77" i="21"/>
  <c r="D49" i="21"/>
  <c r="D97" i="21"/>
  <c r="D33" i="21"/>
  <c r="D44" i="21"/>
  <c r="D63" i="21"/>
  <c r="D68" i="21"/>
  <c r="D48" i="21"/>
  <c r="D43" i="21"/>
  <c r="D32" i="21"/>
  <c r="D88" i="21"/>
  <c r="D76" i="21"/>
  <c r="D71" i="21"/>
  <c r="D99" i="21"/>
  <c r="D35" i="21"/>
  <c r="D60" i="21"/>
  <c r="D91" i="21"/>
  <c r="D104" i="21"/>
  <c r="D40" i="21"/>
  <c r="D96" i="21"/>
  <c r="D27" i="21"/>
  <c r="D111" i="21"/>
  <c r="D83" i="21"/>
  <c r="D55" i="21"/>
  <c r="D51" i="21"/>
  <c r="D79" i="21"/>
  <c r="D74" i="21"/>
  <c r="D94" i="21"/>
  <c r="D66" i="21"/>
  <c r="D46" i="21"/>
  <c r="D102" i="21"/>
  <c r="D38" i="21"/>
  <c r="D107" i="21"/>
  <c r="D25" i="21"/>
  <c r="D109" i="21"/>
  <c r="D81" i="21"/>
  <c r="D53" i="21"/>
  <c r="D106" i="21"/>
  <c r="D101" i="21"/>
  <c r="D37" i="21"/>
  <c r="D73" i="21"/>
  <c r="D90" i="21"/>
  <c r="D62" i="21"/>
  <c r="D42" i="21"/>
  <c r="D93" i="21"/>
  <c r="D50" i="21"/>
  <c r="D78" i="21"/>
  <c r="D70" i="21"/>
  <c r="D65" i="21"/>
  <c r="D34" i="21"/>
  <c r="D98" i="21"/>
  <c r="D45" i="21"/>
  <c r="D26" i="21"/>
  <c r="D110" i="21"/>
  <c r="D54" i="21"/>
  <c r="D82" i="21"/>
  <c r="D75" i="21"/>
  <c r="D52" i="21"/>
  <c r="D95" i="21"/>
  <c r="D67" i="21"/>
  <c r="D47" i="21"/>
  <c r="D103" i="21"/>
  <c r="D108" i="21"/>
  <c r="D39" i="21"/>
  <c r="D80" i="21"/>
  <c r="D4" i="21"/>
  <c r="D15" i="21"/>
  <c r="D20" i="21"/>
  <c r="D7" i="21"/>
  <c r="D12" i="21"/>
  <c r="D10" i="21"/>
  <c r="D23" i="21"/>
  <c r="D18" i="21"/>
  <c r="D21" i="21"/>
  <c r="D5" i="21"/>
  <c r="D8" i="21"/>
  <c r="D13" i="21"/>
  <c r="D16" i="21"/>
  <c r="D22" i="21"/>
  <c r="D9" i="21"/>
  <c r="D14" i="21"/>
  <c r="D17" i="21"/>
  <c r="D6" i="21"/>
  <c r="D11" i="21"/>
  <c r="D19" i="21"/>
  <c r="D24" i="21"/>
  <c r="M18" i="19"/>
  <c r="E262" i="7" s="1"/>
  <c r="H18" i="19"/>
  <c r="E261" i="7" s="1"/>
  <c r="M13" i="19"/>
  <c r="E252" i="7" s="1"/>
  <c r="H13" i="19"/>
  <c r="E251" i="7" s="1"/>
  <c r="H10" i="19"/>
  <c r="E245" i="7" s="1"/>
  <c r="M10" i="19"/>
  <c r="E246" i="7" s="1"/>
  <c r="M8" i="19"/>
  <c r="E242" i="7" s="1"/>
  <c r="H8" i="19"/>
  <c r="E241" i="7" s="1"/>
  <c r="R17" i="19"/>
  <c r="E260" i="7" s="1"/>
  <c r="H17" i="19"/>
  <c r="E258" i="7" s="1"/>
  <c r="M17" i="19"/>
  <c r="E259" i="7" s="1"/>
  <c r="R22" i="19"/>
  <c r="E273" i="7" s="1"/>
  <c r="H22" i="19"/>
  <c r="E271" i="7" s="1"/>
  <c r="M22" i="19"/>
  <c r="E272" i="7" s="1"/>
  <c r="H12" i="19"/>
  <c r="E249" i="7" s="1"/>
  <c r="M12" i="19"/>
  <c r="E250" i="7" s="1"/>
  <c r="M21" i="19"/>
  <c r="E269" i="7" s="1"/>
  <c r="R21" i="19"/>
  <c r="E270" i="7" s="1"/>
  <c r="H21" i="19"/>
  <c r="E268" i="7" s="1"/>
  <c r="H9" i="19"/>
  <c r="E243" i="7" s="1"/>
  <c r="M9" i="19"/>
  <c r="E244" i="7" s="1"/>
  <c r="M19" i="19"/>
  <c r="E264" i="7" s="1"/>
  <c r="H19" i="19"/>
  <c r="E263" i="7" s="1"/>
  <c r="M16" i="19"/>
  <c r="E257" i="7" s="1"/>
  <c r="H16" i="19"/>
  <c r="E256" i="7" s="1"/>
  <c r="M11" i="19"/>
  <c r="E248" i="7" s="1"/>
  <c r="H11" i="19"/>
  <c r="E247" i="7" s="1"/>
  <c r="M4" i="19"/>
  <c r="E234" i="7" s="1"/>
  <c r="H4" i="19"/>
  <c r="E233" i="7" s="1"/>
  <c r="M5" i="19"/>
  <c r="E236" i="7" s="1"/>
  <c r="H5" i="19"/>
  <c r="E235" i="7" s="1"/>
  <c r="M15" i="19"/>
  <c r="E255" i="7" s="1"/>
  <c r="H15" i="19"/>
  <c r="E254" i="7" s="1"/>
  <c r="R20" i="19"/>
  <c r="E267" i="7" s="1"/>
  <c r="M20" i="19"/>
  <c r="E266" i="7" s="1"/>
  <c r="H20" i="19"/>
  <c r="E265" i="7" s="1"/>
  <c r="H7" i="19"/>
  <c r="E239" i="7" s="1"/>
  <c r="M7" i="19"/>
  <c r="E240" i="7" s="1"/>
  <c r="H6" i="19"/>
  <c r="E237" i="7" s="1"/>
  <c r="M6" i="19"/>
  <c r="E238" i="7" s="1"/>
  <c r="H15" i="13"/>
  <c r="E86" i="7" s="1"/>
  <c r="M15" i="13"/>
  <c r="H90" i="14"/>
  <c r="M90" i="14"/>
  <c r="K70" i="14"/>
  <c r="M70" i="14"/>
  <c r="H70" i="14"/>
  <c r="K94" i="14"/>
  <c r="H94" i="14"/>
  <c r="M94" i="14"/>
  <c r="K102" i="14"/>
  <c r="M102" i="14"/>
  <c r="H102" i="14"/>
  <c r="M38" i="14"/>
  <c r="H38" i="14"/>
  <c r="K38" i="14"/>
  <c r="K78" i="14"/>
  <c r="M78" i="14"/>
  <c r="H78" i="14"/>
  <c r="K54" i="14"/>
  <c r="M54" i="14"/>
  <c r="H54" i="14"/>
  <c r="H86" i="14"/>
  <c r="K86" i="14"/>
  <c r="M86" i="14"/>
  <c r="M82" i="14"/>
  <c r="K82" i="14"/>
  <c r="O23" i="7"/>
  <c r="O13" i="7"/>
  <c r="O16" i="7"/>
  <c r="O10" i="7"/>
  <c r="O22" i="7"/>
  <c r="O7" i="7"/>
  <c r="O26" i="7"/>
  <c r="O5" i="5"/>
  <c r="F13" i="10" s="1"/>
  <c r="O14" i="7"/>
  <c r="O25" i="7"/>
  <c r="O17" i="7"/>
  <c r="O11" i="7"/>
  <c r="O19" i="7"/>
  <c r="E55" i="7"/>
  <c r="E56" i="7"/>
  <c r="I2" i="5"/>
  <c r="J2" i="5"/>
  <c r="D41" i="16"/>
  <c r="D46" i="16"/>
  <c r="Y46" i="16" s="1"/>
  <c r="D31" i="16"/>
  <c r="Y31" i="16" s="1"/>
  <c r="D36" i="16"/>
  <c r="D51" i="16"/>
  <c r="D37" i="16"/>
  <c r="D42" i="16"/>
  <c r="D47" i="16"/>
  <c r="D32" i="16"/>
  <c r="D52" i="16"/>
  <c r="D39" i="16"/>
  <c r="D44" i="16"/>
  <c r="Y44" i="16" s="1"/>
  <c r="D29" i="16"/>
  <c r="T29" i="16" s="1"/>
  <c r="D49" i="16"/>
  <c r="D34" i="16"/>
  <c r="D38" i="16"/>
  <c r="T38" i="16" s="1"/>
  <c r="D43" i="16"/>
  <c r="T43" i="16" s="1"/>
  <c r="D28" i="16"/>
  <c r="T28" i="16" s="1"/>
  <c r="D48" i="16"/>
  <c r="D33" i="16"/>
  <c r="T33" i="16" s="1"/>
  <c r="D35" i="16"/>
  <c r="Y35" i="16" s="1"/>
  <c r="D40" i="16"/>
  <c r="D45" i="16"/>
  <c r="D30" i="16"/>
  <c r="Y30" i="16" s="1"/>
  <c r="D50" i="16"/>
  <c r="K62" i="14"/>
  <c r="M62" i="14"/>
  <c r="H62" i="14"/>
  <c r="D19" i="16"/>
  <c r="T19" i="16" s="1"/>
  <c r="D4" i="16"/>
  <c r="D24" i="16"/>
  <c r="T24" i="16" s="1"/>
  <c r="D9" i="16"/>
  <c r="D14" i="16"/>
  <c r="H3" i="13"/>
  <c r="E62" i="7" s="1"/>
  <c r="D23" i="16"/>
  <c r="D8" i="16"/>
  <c r="D3" i="16"/>
  <c r="D13" i="16"/>
  <c r="D18" i="16"/>
  <c r="D20" i="16"/>
  <c r="D5" i="16"/>
  <c r="T5" i="16" s="1"/>
  <c r="D25" i="16"/>
  <c r="D10" i="16"/>
  <c r="T10" i="16" s="1"/>
  <c r="D15" i="16"/>
  <c r="D22" i="16"/>
  <c r="D7" i="16"/>
  <c r="D27" i="16"/>
  <c r="D12" i="16"/>
  <c r="D17" i="16"/>
  <c r="D21" i="16"/>
  <c r="D6" i="16"/>
  <c r="T6" i="16" s="1"/>
  <c r="D26" i="16"/>
  <c r="T26" i="16" s="1"/>
  <c r="D11" i="16"/>
  <c r="D16" i="16"/>
  <c r="K42" i="14"/>
  <c r="M42" i="14"/>
  <c r="H42" i="14"/>
  <c r="K50" i="14"/>
  <c r="M50" i="14"/>
  <c r="H50" i="14"/>
  <c r="F17" i="10"/>
  <c r="M13" i="13"/>
  <c r="E82" i="7" s="1"/>
  <c r="H13" i="13"/>
  <c r="E81" i="7" s="1"/>
  <c r="H8" i="13"/>
  <c r="E71" i="7" s="1"/>
  <c r="M8" i="13"/>
  <c r="E72" i="7" s="1"/>
  <c r="M9" i="13"/>
  <c r="E74" i="7" s="1"/>
  <c r="H9" i="13"/>
  <c r="E73" i="7" s="1"/>
  <c r="F16" i="10"/>
  <c r="H12" i="13"/>
  <c r="E79" i="7" s="1"/>
  <c r="M12" i="13"/>
  <c r="E80" i="7" s="1"/>
  <c r="M18" i="13"/>
  <c r="E92" i="7" s="1"/>
  <c r="H18" i="13"/>
  <c r="E91" i="7" s="1"/>
  <c r="M5" i="13"/>
  <c r="E66" i="7" s="1"/>
  <c r="H5" i="13"/>
  <c r="E65" i="7" s="1"/>
  <c r="M7" i="13"/>
  <c r="E70" i="7" s="1"/>
  <c r="H7" i="13"/>
  <c r="E69" i="7" s="1"/>
  <c r="F22" i="10"/>
  <c r="W22" i="13"/>
  <c r="E103" i="7" s="1"/>
  <c r="R22" i="13"/>
  <c r="E102" i="7" s="1"/>
  <c r="M22" i="13"/>
  <c r="E101" i="7" s="1"/>
  <c r="H22" i="13"/>
  <c r="E100" i="7" s="1"/>
  <c r="F15" i="10"/>
  <c r="M11" i="13"/>
  <c r="E78" i="7" s="1"/>
  <c r="H11" i="13"/>
  <c r="E77" i="7" s="1"/>
  <c r="H6" i="13"/>
  <c r="E67" i="7" s="1"/>
  <c r="M6" i="13"/>
  <c r="E68" i="7" s="1"/>
  <c r="F21" i="10"/>
  <c r="R21" i="13"/>
  <c r="E99" i="7" s="1"/>
  <c r="M21" i="13"/>
  <c r="E98" i="7" s="1"/>
  <c r="H21" i="13"/>
  <c r="E97" i="7" s="1"/>
  <c r="M16" i="13"/>
  <c r="E88" i="7" s="1"/>
  <c r="H16" i="13"/>
  <c r="E87" i="7" s="1"/>
  <c r="M10" i="13"/>
  <c r="E76" i="7" s="1"/>
  <c r="H10" i="13"/>
  <c r="E75" i="7" s="1"/>
  <c r="H20" i="13"/>
  <c r="E95" i="7" s="1"/>
  <c r="M20" i="13"/>
  <c r="E96" i="7" s="1"/>
  <c r="F20" i="10"/>
  <c r="H17" i="13"/>
  <c r="E89" i="7" s="1"/>
  <c r="M17" i="13"/>
  <c r="E90" i="7" s="1"/>
  <c r="H4" i="13"/>
  <c r="E63" i="7" s="1"/>
  <c r="M4" i="13"/>
  <c r="E64" i="7" s="1"/>
  <c r="F18" i="10"/>
  <c r="F19" i="10"/>
  <c r="R14" i="13"/>
  <c r="E85" i="7" s="1"/>
  <c r="M14" i="13"/>
  <c r="E84" i="7" s="1"/>
  <c r="H14" i="13"/>
  <c r="E83" i="7" s="1"/>
  <c r="M19" i="13"/>
  <c r="E94" i="7" s="1"/>
  <c r="H19" i="13"/>
  <c r="E93" i="7" s="1"/>
  <c r="G7" i="10"/>
  <c r="G9" i="10"/>
  <c r="M6" i="5"/>
  <c r="G8" i="10" s="1"/>
  <c r="I10" i="10"/>
  <c r="N8" i="5"/>
  <c r="I12" i="10" s="1"/>
  <c r="J24" i="21" l="1"/>
  <c r="E332" i="7" s="1"/>
  <c r="Y24" i="21"/>
  <c r="E335" i="7" s="1"/>
  <c r="O24" i="21"/>
  <c r="E333" i="7" s="1"/>
  <c r="T24" i="21"/>
  <c r="E334" i="7" s="1"/>
  <c r="J12" i="21"/>
  <c r="E298" i="7" s="1"/>
  <c r="O12" i="21"/>
  <c r="E299" i="7" s="1"/>
  <c r="Y110" i="21"/>
  <c r="E565" i="7" s="1"/>
  <c r="O110" i="21"/>
  <c r="E563" i="7" s="1"/>
  <c r="T110" i="21"/>
  <c r="E564" i="7" s="1"/>
  <c r="J110" i="21"/>
  <c r="E562" i="7" s="1"/>
  <c r="Y106" i="21"/>
  <c r="E550" i="7" s="1"/>
  <c r="T106" i="21"/>
  <c r="E549" i="7" s="1"/>
  <c r="O106" i="21"/>
  <c r="E548" i="7" s="1"/>
  <c r="J106" i="21"/>
  <c r="E547" i="7" s="1"/>
  <c r="Y111" i="21"/>
  <c r="E569" i="7" s="1"/>
  <c r="O111" i="21"/>
  <c r="E567" i="7" s="1"/>
  <c r="T111" i="21"/>
  <c r="E568" i="7" s="1"/>
  <c r="J111" i="21"/>
  <c r="E566" i="7" s="1"/>
  <c r="O63" i="21"/>
  <c r="E431" i="7" s="1"/>
  <c r="J63" i="21"/>
  <c r="E430" i="7" s="1"/>
  <c r="O19" i="21"/>
  <c r="E318" i="7" s="1"/>
  <c r="T19" i="21"/>
  <c r="E319" i="7" s="1"/>
  <c r="J19" i="21"/>
  <c r="E317" i="7" s="1"/>
  <c r="J7" i="21"/>
  <c r="E282" i="7" s="1"/>
  <c r="O7" i="21"/>
  <c r="E283" i="7" s="1"/>
  <c r="T26" i="21"/>
  <c r="E342" i="7" s="1"/>
  <c r="J26" i="21"/>
  <c r="E340" i="7" s="1"/>
  <c r="Y26" i="21"/>
  <c r="E343" i="7" s="1"/>
  <c r="O26" i="21"/>
  <c r="E341" i="7" s="1"/>
  <c r="O53" i="21"/>
  <c r="E411" i="7" s="1"/>
  <c r="Y53" i="21"/>
  <c r="E413" i="7" s="1"/>
  <c r="J53" i="21"/>
  <c r="E410" i="7" s="1"/>
  <c r="T53" i="21"/>
  <c r="E412" i="7" s="1"/>
  <c r="T27" i="21"/>
  <c r="E346" i="7" s="1"/>
  <c r="J27" i="21"/>
  <c r="E344" i="7" s="1"/>
  <c r="Y27" i="21"/>
  <c r="E347" i="7" s="1"/>
  <c r="O27" i="21"/>
  <c r="E345" i="7" s="1"/>
  <c r="T44" i="21"/>
  <c r="E384" i="7" s="1"/>
  <c r="O44" i="21"/>
  <c r="E383" i="7" s="1"/>
  <c r="J44" i="21"/>
  <c r="E382" i="7" s="1"/>
  <c r="T11" i="21"/>
  <c r="E296" i="7" s="1"/>
  <c r="J11" i="21"/>
  <c r="E294" i="7" s="1"/>
  <c r="O11" i="21"/>
  <c r="E295" i="7" s="1"/>
  <c r="Y11" i="21"/>
  <c r="E297" i="7" s="1"/>
  <c r="J20" i="21"/>
  <c r="E320" i="7" s="1"/>
  <c r="O20" i="21"/>
  <c r="E321" i="7" s="1"/>
  <c r="J45" i="21"/>
  <c r="E385" i="7" s="1"/>
  <c r="O45" i="21"/>
  <c r="E386" i="7" s="1"/>
  <c r="T45" i="21"/>
  <c r="E387" i="7" s="1"/>
  <c r="J81" i="21"/>
  <c r="E484" i="7" s="1"/>
  <c r="Y81" i="21"/>
  <c r="E487" i="7" s="1"/>
  <c r="O81" i="21"/>
  <c r="E485" i="7" s="1"/>
  <c r="T81" i="21"/>
  <c r="E486" i="7" s="1"/>
  <c r="J96" i="21"/>
  <c r="E520" i="7" s="1"/>
  <c r="O96" i="21"/>
  <c r="E521" i="7" s="1"/>
  <c r="J33" i="21"/>
  <c r="E351" i="7" s="1"/>
  <c r="O33" i="21"/>
  <c r="E352" i="7" s="1"/>
  <c r="J6" i="21"/>
  <c r="E279" i="7" s="1"/>
  <c r="T6" i="21"/>
  <c r="E281" i="7" s="1"/>
  <c r="O6" i="21"/>
  <c r="E280" i="7" s="1"/>
  <c r="O15" i="21"/>
  <c r="E307" i="7" s="1"/>
  <c r="J15" i="21"/>
  <c r="E306" i="7" s="1"/>
  <c r="T98" i="21"/>
  <c r="E527" i="7" s="1"/>
  <c r="J98" i="21"/>
  <c r="E525" i="7" s="1"/>
  <c r="O98" i="21"/>
  <c r="E526" i="7" s="1"/>
  <c r="J109" i="21"/>
  <c r="E558" i="7" s="1"/>
  <c r="T109" i="21"/>
  <c r="E560" i="7" s="1"/>
  <c r="Y109" i="21"/>
  <c r="E561" i="7" s="1"/>
  <c r="O109" i="21"/>
  <c r="E559" i="7" s="1"/>
  <c r="O40" i="21"/>
  <c r="E373" i="7" s="1"/>
  <c r="J40" i="21"/>
  <c r="E372" i="7" s="1"/>
  <c r="T97" i="21"/>
  <c r="E524" i="7" s="1"/>
  <c r="O97" i="21"/>
  <c r="E523" i="7" s="1"/>
  <c r="J97" i="21"/>
  <c r="E522" i="7" s="1"/>
  <c r="O17" i="21"/>
  <c r="E312" i="7" s="1"/>
  <c r="T17" i="21"/>
  <c r="E313" i="7" s="1"/>
  <c r="J17" i="21"/>
  <c r="E311" i="7" s="1"/>
  <c r="J4" i="21"/>
  <c r="E275" i="7" s="1"/>
  <c r="O4" i="21"/>
  <c r="E276" i="7" s="1"/>
  <c r="T34" i="21"/>
  <c r="E355" i="7" s="1"/>
  <c r="J34" i="21"/>
  <c r="E353" i="7" s="1"/>
  <c r="O34" i="21"/>
  <c r="E354" i="7" s="1"/>
  <c r="T25" i="21"/>
  <c r="E338" i="7" s="1"/>
  <c r="Y25" i="21"/>
  <c r="E339" i="7" s="1"/>
  <c r="J25" i="21"/>
  <c r="E336" i="7" s="1"/>
  <c r="O25" i="21"/>
  <c r="E337" i="7" s="1"/>
  <c r="J104" i="21"/>
  <c r="E542" i="7" s="1"/>
  <c r="O104" i="21"/>
  <c r="E543" i="7" s="1"/>
  <c r="O49" i="21"/>
  <c r="E397" i="7" s="1"/>
  <c r="T49" i="21"/>
  <c r="E398" i="7" s="1"/>
  <c r="J49" i="21"/>
  <c r="E396" i="7" s="1"/>
  <c r="O14" i="21"/>
  <c r="E304" i="7" s="1"/>
  <c r="J14" i="21"/>
  <c r="E303" i="7" s="1"/>
  <c r="T14" i="21"/>
  <c r="E305" i="7" s="1"/>
  <c r="Y80" i="21"/>
  <c r="E483" i="7" s="1"/>
  <c r="T80" i="21"/>
  <c r="E482" i="7" s="1"/>
  <c r="J80" i="21"/>
  <c r="E480" i="7" s="1"/>
  <c r="O80" i="21"/>
  <c r="E481" i="7" s="1"/>
  <c r="J65" i="21"/>
  <c r="E435" i="7" s="1"/>
  <c r="O65" i="21"/>
  <c r="E436" i="7" s="1"/>
  <c r="T65" i="21"/>
  <c r="E437" i="7" s="1"/>
  <c r="T107" i="21"/>
  <c r="E553" i="7" s="1"/>
  <c r="J107" i="21"/>
  <c r="E551" i="7" s="1"/>
  <c r="O107" i="21"/>
  <c r="E552" i="7" s="1"/>
  <c r="O91" i="21"/>
  <c r="E505" i="7" s="1"/>
  <c r="J91" i="21"/>
  <c r="E504" i="7" s="1"/>
  <c r="T77" i="21"/>
  <c r="E472" i="7" s="1"/>
  <c r="J77" i="21"/>
  <c r="E470" i="7" s="1"/>
  <c r="O77" i="21"/>
  <c r="E471" i="7" s="1"/>
  <c r="T9" i="21"/>
  <c r="E289" i="7" s="1"/>
  <c r="O9" i="21"/>
  <c r="E288" i="7" s="1"/>
  <c r="J9" i="21"/>
  <c r="E287" i="7" s="1"/>
  <c r="Y39" i="21"/>
  <c r="E371" i="7" s="1"/>
  <c r="O39" i="21"/>
  <c r="E369" i="7" s="1"/>
  <c r="J39" i="21"/>
  <c r="E368" i="7" s="1"/>
  <c r="T39" i="21"/>
  <c r="E370" i="7" s="1"/>
  <c r="J70" i="21"/>
  <c r="E451" i="7" s="1"/>
  <c r="T70" i="21"/>
  <c r="E453" i="7" s="1"/>
  <c r="O70" i="21"/>
  <c r="E452" i="7" s="1"/>
  <c r="J38" i="21"/>
  <c r="E364" i="7" s="1"/>
  <c r="T38" i="21"/>
  <c r="E366" i="7" s="1"/>
  <c r="O38" i="21"/>
  <c r="E365" i="7" s="1"/>
  <c r="Y38" i="21"/>
  <c r="E367" i="7" s="1"/>
  <c r="O60" i="21"/>
  <c r="E424" i="7" s="1"/>
  <c r="J60" i="21"/>
  <c r="E423" i="7" s="1"/>
  <c r="J64" i="21"/>
  <c r="E432" i="7" s="1"/>
  <c r="O64" i="21"/>
  <c r="E433" i="7" s="1"/>
  <c r="T64" i="21"/>
  <c r="E434" i="7" s="1"/>
  <c r="J22" i="21"/>
  <c r="E325" i="7" s="1"/>
  <c r="T22" i="21"/>
  <c r="E327" i="7" s="1"/>
  <c r="O22" i="21"/>
  <c r="E326" i="7" s="1"/>
  <c r="Y22" i="21"/>
  <c r="E328" i="7" s="1"/>
  <c r="J108" i="21"/>
  <c r="E554" i="7" s="1"/>
  <c r="Y108" i="21"/>
  <c r="E557" i="7" s="1"/>
  <c r="T108" i="21"/>
  <c r="E556" i="7" s="1"/>
  <c r="O108" i="21"/>
  <c r="E555" i="7" s="1"/>
  <c r="O78" i="21"/>
  <c r="E474" i="7" s="1"/>
  <c r="T78" i="21"/>
  <c r="E475" i="7" s="1"/>
  <c r="Y78" i="21"/>
  <c r="E476" i="7" s="1"/>
  <c r="J78" i="21"/>
  <c r="E473" i="7" s="1"/>
  <c r="T102" i="21"/>
  <c r="E538" i="7" s="1"/>
  <c r="O102" i="21"/>
  <c r="E537" i="7" s="1"/>
  <c r="J102" i="21"/>
  <c r="E536" i="7" s="1"/>
  <c r="O35" i="21"/>
  <c r="E357" i="7" s="1"/>
  <c r="J35" i="21"/>
  <c r="E356" i="7" s="1"/>
  <c r="T72" i="21"/>
  <c r="E458" i="7" s="1"/>
  <c r="O72" i="21"/>
  <c r="E457" i="7" s="1"/>
  <c r="J72" i="21"/>
  <c r="E456" i="7" s="1"/>
  <c r="O16" i="21"/>
  <c r="E309" i="7" s="1"/>
  <c r="J16" i="21"/>
  <c r="E308" i="7" s="1"/>
  <c r="T16" i="21"/>
  <c r="E310" i="7" s="1"/>
  <c r="J103" i="21"/>
  <c r="E539" i="7" s="1"/>
  <c r="O103" i="21"/>
  <c r="E540" i="7" s="1"/>
  <c r="T103" i="21"/>
  <c r="E541" i="7" s="1"/>
  <c r="J50" i="21"/>
  <c r="E399" i="7" s="1"/>
  <c r="Y50" i="21"/>
  <c r="E402" i="7" s="1"/>
  <c r="T50" i="21"/>
  <c r="E401" i="7" s="1"/>
  <c r="O50" i="21"/>
  <c r="E400" i="7" s="1"/>
  <c r="T46" i="21"/>
  <c r="E390" i="7" s="1"/>
  <c r="O46" i="21"/>
  <c r="E389" i="7" s="1"/>
  <c r="J46" i="21"/>
  <c r="E388" i="7" s="1"/>
  <c r="O99" i="21"/>
  <c r="E529" i="7" s="1"/>
  <c r="J99" i="21"/>
  <c r="E528" i="7" s="1"/>
  <c r="J92" i="21"/>
  <c r="E506" i="7" s="1"/>
  <c r="O92" i="21"/>
  <c r="E507" i="7" s="1"/>
  <c r="T92" i="21"/>
  <c r="E508" i="7" s="1"/>
  <c r="O13" i="21"/>
  <c r="E301" i="7" s="1"/>
  <c r="J13" i="21"/>
  <c r="E300" i="7" s="1"/>
  <c r="T13" i="21"/>
  <c r="E302" i="7" s="1"/>
  <c r="J47" i="21"/>
  <c r="E391" i="7" s="1"/>
  <c r="T47" i="21"/>
  <c r="E393" i="7" s="1"/>
  <c r="O47" i="21"/>
  <c r="E392" i="7" s="1"/>
  <c r="T93" i="21"/>
  <c r="E511" i="7" s="1"/>
  <c r="J93" i="21"/>
  <c r="E509" i="7" s="1"/>
  <c r="O93" i="21"/>
  <c r="E510" i="7" s="1"/>
  <c r="T66" i="21"/>
  <c r="E440" i="7" s="1"/>
  <c r="Y66" i="21"/>
  <c r="E441" i="7" s="1"/>
  <c r="J66" i="21"/>
  <c r="E438" i="7" s="1"/>
  <c r="O66" i="21"/>
  <c r="E439" i="7" s="1"/>
  <c r="O71" i="21"/>
  <c r="E455" i="7" s="1"/>
  <c r="J71" i="21"/>
  <c r="E454" i="7" s="1"/>
  <c r="O41" i="21"/>
  <c r="E375" i="7" s="1"/>
  <c r="T41" i="21"/>
  <c r="E376" i="7" s="1"/>
  <c r="J41" i="21"/>
  <c r="E374" i="7" s="1"/>
  <c r="J8" i="21"/>
  <c r="E284" i="7" s="1"/>
  <c r="T8" i="21"/>
  <c r="E286" i="7" s="1"/>
  <c r="O8" i="21"/>
  <c r="E285" i="7" s="1"/>
  <c r="Y67" i="21"/>
  <c r="E445" i="7" s="1"/>
  <c r="O67" i="21"/>
  <c r="E443" i="7" s="1"/>
  <c r="J67" i="21"/>
  <c r="E442" i="7" s="1"/>
  <c r="T67" i="21"/>
  <c r="E444" i="7" s="1"/>
  <c r="O42" i="21"/>
  <c r="E378" i="7" s="1"/>
  <c r="T42" i="21"/>
  <c r="E379" i="7" s="1"/>
  <c r="J42" i="21"/>
  <c r="E377" i="7" s="1"/>
  <c r="T94" i="21"/>
  <c r="E514" i="7" s="1"/>
  <c r="J94" i="21"/>
  <c r="E512" i="7" s="1"/>
  <c r="O94" i="21"/>
  <c r="E513" i="7" s="1"/>
  <c r="Y94" i="21"/>
  <c r="E515" i="7" s="1"/>
  <c r="O76" i="21"/>
  <c r="E469" i="7" s="1"/>
  <c r="J76" i="21"/>
  <c r="E468" i="7" s="1"/>
  <c r="O61" i="21"/>
  <c r="E426" i="7" s="1"/>
  <c r="J61" i="21"/>
  <c r="E425" i="7" s="1"/>
  <c r="J5" i="21"/>
  <c r="E277" i="7" s="1"/>
  <c r="O5" i="21"/>
  <c r="E278" i="7" s="1"/>
  <c r="T95" i="21"/>
  <c r="E518" i="7" s="1"/>
  <c r="O95" i="21"/>
  <c r="E517" i="7" s="1"/>
  <c r="Y95" i="21"/>
  <c r="E519" i="7" s="1"/>
  <c r="J95" i="21"/>
  <c r="E516" i="7" s="1"/>
  <c r="O62" i="21"/>
  <c r="E428" i="7" s="1"/>
  <c r="J62" i="21"/>
  <c r="E427" i="7" s="1"/>
  <c r="T62" i="21"/>
  <c r="E429" i="7" s="1"/>
  <c r="T74" i="21"/>
  <c r="E464" i="7" s="1"/>
  <c r="O74" i="21"/>
  <c r="E463" i="7" s="1"/>
  <c r="J74" i="21"/>
  <c r="E462" i="7" s="1"/>
  <c r="J88" i="21"/>
  <c r="E497" i="7" s="1"/>
  <c r="O88" i="21"/>
  <c r="E498" i="7" s="1"/>
  <c r="O105" i="21"/>
  <c r="E545" i="7" s="1"/>
  <c r="J105" i="21"/>
  <c r="E544" i="7" s="1"/>
  <c r="T105" i="21"/>
  <c r="E546" i="7" s="1"/>
  <c r="T21" i="21"/>
  <c r="E324" i="7" s="1"/>
  <c r="J21" i="21"/>
  <c r="E322" i="7" s="1"/>
  <c r="O21" i="21"/>
  <c r="E323" i="7" s="1"/>
  <c r="J52" i="21"/>
  <c r="E406" i="7" s="1"/>
  <c r="O52" i="21"/>
  <c r="E407" i="7" s="1"/>
  <c r="T52" i="21"/>
  <c r="E408" i="7" s="1"/>
  <c r="Y52" i="21"/>
  <c r="E409" i="7" s="1"/>
  <c r="O90" i="21"/>
  <c r="E502" i="7" s="1"/>
  <c r="T90" i="21"/>
  <c r="E503" i="7" s="1"/>
  <c r="J90" i="21"/>
  <c r="E501" i="7" s="1"/>
  <c r="J79" i="21"/>
  <c r="E477" i="7" s="1"/>
  <c r="O79" i="21"/>
  <c r="E478" i="7" s="1"/>
  <c r="T79" i="21"/>
  <c r="E479" i="7" s="1"/>
  <c r="O32" i="21"/>
  <c r="E350" i="7" s="1"/>
  <c r="J32" i="21"/>
  <c r="E349" i="7" s="1"/>
  <c r="J36" i="21"/>
  <c r="E358" i="7" s="1"/>
  <c r="T36" i="21"/>
  <c r="E360" i="7" s="1"/>
  <c r="O36" i="21"/>
  <c r="E359" i="7" s="1"/>
  <c r="O18" i="21"/>
  <c r="E315" i="7" s="1"/>
  <c r="T18" i="21"/>
  <c r="E316" i="7" s="1"/>
  <c r="J18" i="21"/>
  <c r="E314" i="7" s="1"/>
  <c r="O75" i="21"/>
  <c r="E466" i="7" s="1"/>
  <c r="J75" i="21"/>
  <c r="E465" i="7" s="1"/>
  <c r="T75" i="21"/>
  <c r="E467" i="7" s="1"/>
  <c r="T73" i="21"/>
  <c r="E461" i="7" s="1"/>
  <c r="O73" i="21"/>
  <c r="E460" i="7" s="1"/>
  <c r="J73" i="21"/>
  <c r="E459" i="7" s="1"/>
  <c r="T51" i="21"/>
  <c r="E405" i="7" s="1"/>
  <c r="O51" i="21"/>
  <c r="E404" i="7" s="1"/>
  <c r="J51" i="21"/>
  <c r="E403" i="7" s="1"/>
  <c r="O43" i="21"/>
  <c r="E381" i="7" s="1"/>
  <c r="J43" i="21"/>
  <c r="E380" i="7" s="1"/>
  <c r="O89" i="21"/>
  <c r="E500" i="7" s="1"/>
  <c r="J89" i="21"/>
  <c r="E499" i="7" s="1"/>
  <c r="J23" i="21"/>
  <c r="E329" i="7" s="1"/>
  <c r="T23" i="21"/>
  <c r="E331" i="7" s="1"/>
  <c r="O23" i="21"/>
  <c r="E330" i="7" s="1"/>
  <c r="O82" i="21"/>
  <c r="E489" i="7" s="1"/>
  <c r="Y82" i="21"/>
  <c r="E491" i="7" s="1"/>
  <c r="J82" i="21"/>
  <c r="E488" i="7" s="1"/>
  <c r="T82" i="21"/>
  <c r="E490" i="7" s="1"/>
  <c r="O37" i="21"/>
  <c r="E362" i="7" s="1"/>
  <c r="T37" i="21"/>
  <c r="E363" i="7" s="1"/>
  <c r="J37" i="21"/>
  <c r="E361" i="7" s="1"/>
  <c r="J55" i="21"/>
  <c r="E418" i="7" s="1"/>
  <c r="Y55" i="21"/>
  <c r="E421" i="7" s="1"/>
  <c r="T55" i="21"/>
  <c r="E420" i="7" s="1"/>
  <c r="O55" i="21"/>
  <c r="E419" i="7" s="1"/>
  <c r="J48" i="21"/>
  <c r="E394" i="7" s="1"/>
  <c r="O48" i="21"/>
  <c r="E395" i="7" s="1"/>
  <c r="O69" i="21"/>
  <c r="E449" i="7" s="1"/>
  <c r="J69" i="21"/>
  <c r="E448" i="7" s="1"/>
  <c r="T69" i="21"/>
  <c r="E450" i="7" s="1"/>
  <c r="Y10" i="21"/>
  <c r="E293" i="7" s="1"/>
  <c r="T10" i="21"/>
  <c r="E292" i="7" s="1"/>
  <c r="J10" i="21"/>
  <c r="E290" i="7" s="1"/>
  <c r="O10" i="21"/>
  <c r="E291" i="7" s="1"/>
  <c r="O54" i="21"/>
  <c r="E415" i="7" s="1"/>
  <c r="J54" i="21"/>
  <c r="E414" i="7" s="1"/>
  <c r="Y54" i="21"/>
  <c r="E417" i="7" s="1"/>
  <c r="T54" i="21"/>
  <c r="E416" i="7" s="1"/>
  <c r="J101" i="21"/>
  <c r="E533" i="7" s="1"/>
  <c r="O101" i="21"/>
  <c r="E534" i="7" s="1"/>
  <c r="T101" i="21"/>
  <c r="E535" i="7" s="1"/>
  <c r="T83" i="21"/>
  <c r="E494" i="7" s="1"/>
  <c r="Y83" i="21"/>
  <c r="E495" i="7" s="1"/>
  <c r="O83" i="21"/>
  <c r="E493" i="7" s="1"/>
  <c r="J83" i="21"/>
  <c r="E492" i="7" s="1"/>
  <c r="J68" i="21"/>
  <c r="E446" i="7" s="1"/>
  <c r="O68" i="21"/>
  <c r="E447" i="7" s="1"/>
  <c r="T100" i="21"/>
  <c r="E532" i="7" s="1"/>
  <c r="J100" i="21"/>
  <c r="E530" i="7" s="1"/>
  <c r="O100" i="21"/>
  <c r="E531" i="7" s="1"/>
  <c r="J18" i="16"/>
  <c r="E135" i="7" s="1"/>
  <c r="O18" i="16"/>
  <c r="J13" i="16"/>
  <c r="E124" i="7" s="1"/>
  <c r="O13" i="16"/>
  <c r="J3" i="16"/>
  <c r="E105" i="7" s="1"/>
  <c r="O3" i="16"/>
  <c r="J8" i="16"/>
  <c r="E113" i="7" s="1"/>
  <c r="O8" i="16"/>
  <c r="J23" i="16"/>
  <c r="E144" i="7" s="1"/>
  <c r="O23" i="16"/>
  <c r="T21" i="16"/>
  <c r="Y21" i="16"/>
  <c r="J4" i="16"/>
  <c r="E106" i="7" s="1"/>
  <c r="O4" i="16"/>
  <c r="J22" i="16"/>
  <c r="E142" i="7" s="1"/>
  <c r="O22" i="16"/>
  <c r="E143" i="7" s="1"/>
  <c r="O19" i="16"/>
  <c r="E137" i="7" s="1"/>
  <c r="J19" i="16"/>
  <c r="E136" i="7" s="1"/>
  <c r="T49" i="16"/>
  <c r="E219" i="7" s="1"/>
  <c r="J49" i="16"/>
  <c r="E217" i="7" s="1"/>
  <c r="O49" i="16"/>
  <c r="E218" i="7" s="1"/>
  <c r="T34" i="16"/>
  <c r="E173" i="7" s="1"/>
  <c r="J34" i="16"/>
  <c r="E171" i="7" s="1"/>
  <c r="O34" i="16"/>
  <c r="E172" i="7" s="1"/>
  <c r="J10" i="16"/>
  <c r="E116" i="7" s="1"/>
  <c r="O10" i="16"/>
  <c r="E117" i="7" s="1"/>
  <c r="O25" i="16"/>
  <c r="E148" i="7" s="1"/>
  <c r="J25" i="16"/>
  <c r="E147" i="7" s="1"/>
  <c r="T25" i="16"/>
  <c r="E149" i="7" s="1"/>
  <c r="J39" i="16"/>
  <c r="E187" i="7" s="1"/>
  <c r="T39" i="16"/>
  <c r="E189" i="7" s="1"/>
  <c r="O39" i="16"/>
  <c r="E188" i="7" s="1"/>
  <c r="J7" i="16"/>
  <c r="E111" i="7" s="1"/>
  <c r="O7" i="16"/>
  <c r="E112" i="7" s="1"/>
  <c r="J5" i="16"/>
  <c r="E107" i="7" s="1"/>
  <c r="O5" i="16"/>
  <c r="E108" i="7" s="1"/>
  <c r="O52" i="16"/>
  <c r="E228" i="7" s="1"/>
  <c r="T52" i="16"/>
  <c r="E229" i="7" s="1"/>
  <c r="J52" i="16"/>
  <c r="E227" i="7" s="1"/>
  <c r="Y52" i="16"/>
  <c r="E230" i="7" s="1"/>
  <c r="O15" i="16"/>
  <c r="E128" i="7" s="1"/>
  <c r="J15" i="16"/>
  <c r="E127" i="7" s="1"/>
  <c r="O29" i="16"/>
  <c r="E159" i="7" s="1"/>
  <c r="J29" i="16"/>
  <c r="E158" i="7" s="1"/>
  <c r="O20" i="16"/>
  <c r="E139" i="7" s="1"/>
  <c r="J20" i="16"/>
  <c r="E138" i="7" s="1"/>
  <c r="J50" i="16"/>
  <c r="E220" i="7" s="1"/>
  <c r="Y50" i="16"/>
  <c r="E223" i="7" s="1"/>
  <c r="O50" i="16"/>
  <c r="E221" i="7" s="1"/>
  <c r="T50" i="16"/>
  <c r="E222" i="7" s="1"/>
  <c r="J32" i="16"/>
  <c r="E166" i="7" s="1"/>
  <c r="O32" i="16"/>
  <c r="E167" i="7" s="1"/>
  <c r="T32" i="16"/>
  <c r="E168" i="7" s="1"/>
  <c r="O44" i="16"/>
  <c r="E204" i="7" s="1"/>
  <c r="T44" i="16"/>
  <c r="E205" i="7" s="1"/>
  <c r="J44" i="16"/>
  <c r="E203" i="7" s="1"/>
  <c r="T30" i="16"/>
  <c r="E162" i="7" s="1"/>
  <c r="J30" i="16"/>
  <c r="E160" i="7" s="1"/>
  <c r="O30" i="16"/>
  <c r="E161" i="7" s="1"/>
  <c r="T47" i="16"/>
  <c r="E214" i="7" s="1"/>
  <c r="O47" i="16"/>
  <c r="E213" i="7" s="1"/>
  <c r="J47" i="16"/>
  <c r="E212" i="7" s="1"/>
  <c r="O16" i="16"/>
  <c r="E130" i="7" s="1"/>
  <c r="J16" i="16"/>
  <c r="E129" i="7" s="1"/>
  <c r="T16" i="16"/>
  <c r="E131" i="7" s="1"/>
  <c r="O45" i="16"/>
  <c r="E207" i="7" s="1"/>
  <c r="T45" i="16"/>
  <c r="E208" i="7" s="1"/>
  <c r="J45" i="16"/>
  <c r="E206" i="7" s="1"/>
  <c r="O42" i="16"/>
  <c r="E198" i="7" s="1"/>
  <c r="T42" i="16"/>
  <c r="E199" i="7" s="1"/>
  <c r="J42" i="16"/>
  <c r="E197" i="7" s="1"/>
  <c r="Y42" i="16"/>
  <c r="E200" i="7" s="1"/>
  <c r="J11" i="16"/>
  <c r="E118" i="7" s="1"/>
  <c r="T11" i="16"/>
  <c r="E120" i="7" s="1"/>
  <c r="O11" i="16"/>
  <c r="E119" i="7" s="1"/>
  <c r="J40" i="16"/>
  <c r="E190" i="7" s="1"/>
  <c r="T40" i="16"/>
  <c r="E192" i="7" s="1"/>
  <c r="O40" i="16"/>
  <c r="E191" i="7" s="1"/>
  <c r="T37" i="16"/>
  <c r="E183" i="7" s="1"/>
  <c r="Y37" i="16"/>
  <c r="E184" i="7" s="1"/>
  <c r="O37" i="16"/>
  <c r="E182" i="7" s="1"/>
  <c r="J37" i="16"/>
  <c r="E181" i="7" s="1"/>
  <c r="O26" i="16"/>
  <c r="E151" i="7" s="1"/>
  <c r="J26" i="16"/>
  <c r="E150" i="7" s="1"/>
  <c r="T35" i="16"/>
  <c r="E176" i="7" s="1"/>
  <c r="O35" i="16"/>
  <c r="E175" i="7" s="1"/>
  <c r="J35" i="16"/>
  <c r="E174" i="7" s="1"/>
  <c r="T51" i="16"/>
  <c r="E226" i="7" s="1"/>
  <c r="J51" i="16"/>
  <c r="E224" i="7" s="1"/>
  <c r="O51" i="16"/>
  <c r="E225" i="7" s="1"/>
  <c r="O6" i="16"/>
  <c r="E110" i="7" s="1"/>
  <c r="J6" i="16"/>
  <c r="E109" i="7" s="1"/>
  <c r="J36" i="16"/>
  <c r="E177" i="7" s="1"/>
  <c r="Y36" i="16"/>
  <c r="E180" i="7" s="1"/>
  <c r="T36" i="16"/>
  <c r="E179" i="7" s="1"/>
  <c r="O36" i="16"/>
  <c r="E178" i="7" s="1"/>
  <c r="J21" i="16"/>
  <c r="E140" i="7" s="1"/>
  <c r="O21" i="16"/>
  <c r="E141" i="7" s="1"/>
  <c r="O48" i="16"/>
  <c r="E216" i="7" s="1"/>
  <c r="J48" i="16"/>
  <c r="E215" i="7" s="1"/>
  <c r="O31" i="16"/>
  <c r="E164" i="7" s="1"/>
  <c r="J31" i="16"/>
  <c r="E163" i="7" s="1"/>
  <c r="T31" i="16"/>
  <c r="E165" i="7" s="1"/>
  <c r="T17" i="16"/>
  <c r="E134" i="7" s="1"/>
  <c r="O17" i="16"/>
  <c r="E133" i="7" s="1"/>
  <c r="J17" i="16"/>
  <c r="E132" i="7" s="1"/>
  <c r="J14" i="16"/>
  <c r="E125" i="7" s="1"/>
  <c r="O14" i="16"/>
  <c r="E126" i="7" s="1"/>
  <c r="J28" i="16"/>
  <c r="E156" i="7" s="1"/>
  <c r="O28" i="16"/>
  <c r="E157" i="7" s="1"/>
  <c r="O46" i="16"/>
  <c r="E210" i="7" s="1"/>
  <c r="T46" i="16"/>
  <c r="E211" i="7" s="1"/>
  <c r="J46" i="16"/>
  <c r="E209" i="7" s="1"/>
  <c r="J33" i="16"/>
  <c r="E169" i="7" s="1"/>
  <c r="O33" i="16"/>
  <c r="E170" i="7" s="1"/>
  <c r="J12" i="16"/>
  <c r="E121" i="7" s="1"/>
  <c r="T12" i="16"/>
  <c r="E123" i="7" s="1"/>
  <c r="O12" i="16"/>
  <c r="E122" i="7" s="1"/>
  <c r="O9" i="16"/>
  <c r="E115" i="7" s="1"/>
  <c r="J9" i="16"/>
  <c r="E114" i="7" s="1"/>
  <c r="O43" i="16"/>
  <c r="E202" i="7" s="1"/>
  <c r="J43" i="16"/>
  <c r="E201" i="7" s="1"/>
  <c r="O41" i="16"/>
  <c r="E194" i="7" s="1"/>
  <c r="Y41" i="16"/>
  <c r="E196" i="7" s="1"/>
  <c r="J41" i="16"/>
  <c r="E193" i="7" s="1"/>
  <c r="T41" i="16"/>
  <c r="E195" i="7" s="1"/>
  <c r="Y27" i="16"/>
  <c r="E155" i="7" s="1"/>
  <c r="T27" i="16"/>
  <c r="E154" i="7" s="1"/>
  <c r="J27" i="16"/>
  <c r="E152" i="7" s="1"/>
  <c r="O27" i="16"/>
  <c r="E153" i="7" s="1"/>
  <c r="J24" i="16"/>
  <c r="E145" i="7" s="1"/>
  <c r="O24" i="16"/>
  <c r="E146" i="7" s="1"/>
  <c r="J38" i="16"/>
  <c r="E185" i="7" s="1"/>
  <c r="O38" i="16"/>
  <c r="E186" i="7" s="1"/>
  <c r="F29" i="10"/>
  <c r="F26" i="10"/>
  <c r="F27" i="10"/>
  <c r="F28" i="10"/>
  <c r="F25" i="10"/>
  <c r="F30" i="10"/>
  <c r="F24" i="10"/>
</calcChain>
</file>

<file path=xl/sharedStrings.xml><?xml version="1.0" encoding="utf-8"?>
<sst xmlns="http://schemas.openxmlformats.org/spreadsheetml/2006/main" count="8097" uniqueCount="3224">
  <si>
    <t>说明</t>
    <phoneticPr fontId="4" type="noConversion"/>
  </si>
  <si>
    <t>目录</t>
    <phoneticPr fontId="4" type="noConversion"/>
  </si>
  <si>
    <t>此为输入格，可修改数值</t>
    <phoneticPr fontId="4" type="noConversion"/>
  </si>
  <si>
    <t>此为输出格，不可修改数值</t>
    <phoneticPr fontId="4" type="noConversion"/>
  </si>
  <si>
    <t>此为解释性、工具性文本</t>
    <phoneticPr fontId="4" type="noConversion"/>
  </si>
  <si>
    <t>【设计】表决定宏观体验，修改后会影响大量游戏数值</t>
    <phoneticPr fontId="4" type="noConversion"/>
  </si>
  <si>
    <t>【数据】表计算每个系统详细数值</t>
    <phoneticPr fontId="4" type="noConversion"/>
  </si>
  <si>
    <t>数据类型</t>
    <phoneticPr fontId="4" type="noConversion"/>
  </si>
  <si>
    <t>表格类型</t>
    <phoneticPr fontId="4" type="noConversion"/>
  </si>
  <si>
    <t>设计</t>
    <phoneticPr fontId="4" type="noConversion"/>
  </si>
  <si>
    <t>战斗</t>
    <phoneticPr fontId="4" type="noConversion"/>
  </si>
  <si>
    <t>经济</t>
    <phoneticPr fontId="4" type="noConversion"/>
  </si>
  <si>
    <t>挑战模式</t>
    <phoneticPr fontId="4" type="noConversion"/>
  </si>
  <si>
    <t>无限模式</t>
    <phoneticPr fontId="4" type="noConversion"/>
  </si>
  <si>
    <t>对战模式</t>
    <phoneticPr fontId="4" type="noConversion"/>
  </si>
  <si>
    <t>体力</t>
    <phoneticPr fontId="4" type="noConversion"/>
  </si>
  <si>
    <t>副本</t>
    <phoneticPr fontId="4" type="noConversion"/>
  </si>
  <si>
    <t>新手关卡</t>
    <phoneticPr fontId="4" type="noConversion"/>
  </si>
  <si>
    <t>防御塔</t>
    <phoneticPr fontId="4" type="noConversion"/>
  </si>
  <si>
    <t>此为链接</t>
    <phoneticPr fontId="4" type="noConversion"/>
  </si>
  <si>
    <t>总表</t>
    <phoneticPr fontId="4" type="noConversion"/>
  </si>
  <si>
    <t>大类</t>
    <phoneticPr fontId="4" type="noConversion"/>
  </si>
  <si>
    <t>小类</t>
    <phoneticPr fontId="4" type="noConversion"/>
  </si>
  <si>
    <t>数据表</t>
    <phoneticPr fontId="4" type="noConversion"/>
  </si>
  <si>
    <t>特性</t>
    <phoneticPr fontId="4" type="noConversion"/>
  </si>
  <si>
    <t>节奏</t>
    <phoneticPr fontId="4" type="noConversion"/>
  </si>
  <si>
    <t>怪物</t>
    <phoneticPr fontId="4" type="noConversion"/>
  </si>
  <si>
    <t>无限模式</t>
    <phoneticPr fontId="4" type="noConversion"/>
  </si>
  <si>
    <t>挑战模式</t>
    <phoneticPr fontId="4" type="noConversion"/>
  </si>
  <si>
    <t>新手</t>
    <phoneticPr fontId="4" type="noConversion"/>
  </si>
  <si>
    <t>普通</t>
    <phoneticPr fontId="4" type="noConversion"/>
  </si>
  <si>
    <t>高手</t>
    <phoneticPr fontId="4" type="noConversion"/>
  </si>
  <si>
    <t>新手关</t>
    <phoneticPr fontId="4" type="noConversion"/>
  </si>
  <si>
    <t>弩箭塔</t>
  </si>
  <si>
    <t>加农炮</t>
  </si>
  <si>
    <t>火焰塔</t>
  </si>
  <si>
    <t>毒雾塔</t>
  </si>
  <si>
    <t>龙击炮</t>
  </si>
  <si>
    <t>雷电塔</t>
  </si>
  <si>
    <t>冰魔塔</t>
  </si>
  <si>
    <t>加速塔</t>
  </si>
  <si>
    <t>减速</t>
    <phoneticPr fontId="4" type="noConversion"/>
  </si>
  <si>
    <t>加速友军</t>
    <phoneticPr fontId="4" type="noConversion"/>
  </si>
  <si>
    <t>直线</t>
    <phoneticPr fontId="4" type="noConversion"/>
  </si>
  <si>
    <t>圆环</t>
    <phoneticPr fontId="4" type="noConversion"/>
  </si>
  <si>
    <t>1级塔</t>
    <phoneticPr fontId="4" type="noConversion"/>
  </si>
  <si>
    <t>2级塔</t>
  </si>
  <si>
    <t>3级塔</t>
  </si>
  <si>
    <t>标准塔</t>
    <phoneticPr fontId="4" type="noConversion"/>
  </si>
  <si>
    <t>快速</t>
    <phoneticPr fontId="4" type="noConversion"/>
  </si>
  <si>
    <t>慢速</t>
    <phoneticPr fontId="4" type="noConversion"/>
  </si>
  <si>
    <t>/</t>
    <phoneticPr fontId="4" type="noConversion"/>
  </si>
  <si>
    <t>期望性价比</t>
    <phoneticPr fontId="4" type="noConversion"/>
  </si>
  <si>
    <t>养成2级塔</t>
    <phoneticPr fontId="4" type="noConversion"/>
  </si>
  <si>
    <t>养成3级塔</t>
    <phoneticPr fontId="4" type="noConversion"/>
  </si>
  <si>
    <t>养成上限</t>
    <phoneticPr fontId="4" type="noConversion"/>
  </si>
  <si>
    <t>玩家体验时长（min）：</t>
    <phoneticPr fontId="4" type="noConversion"/>
  </si>
  <si>
    <t>最快速度</t>
    <phoneticPr fontId="4" type="noConversion"/>
  </si>
  <si>
    <t>最大性价比</t>
    <phoneticPr fontId="4" type="noConversion"/>
  </si>
  <si>
    <t>最小性价比</t>
    <phoneticPr fontId="4" type="noConversion"/>
  </si>
  <si>
    <t>新手</t>
    <phoneticPr fontId="4" type="noConversion"/>
  </si>
  <si>
    <t>无限</t>
    <phoneticPr fontId="4" type="noConversion"/>
  </si>
  <si>
    <t>关卡</t>
    <phoneticPr fontId="4" type="noConversion"/>
  </si>
  <si>
    <t>最大塔数</t>
    <phoneticPr fontId="4" type="noConversion"/>
  </si>
  <si>
    <t>刷新费用</t>
    <phoneticPr fontId="4" type="noConversion"/>
  </si>
  <si>
    <t>基地血量</t>
    <phoneticPr fontId="4" type="noConversion"/>
  </si>
  <si>
    <t>准备时长(s)</t>
    <phoneticPr fontId="4" type="noConversion"/>
  </si>
  <si>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</si>
  <si>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</si>
  <si>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</si>
  <si>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</si>
  <si>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</si>
  <si>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</si>
  <si>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int</t>
  </si>
  <si>
    <t>float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</si>
  <si>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</si>
  <si>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</si>
  <si>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</si>
  <si>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</si>
  <si>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</si>
  <si>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</si>
  <si>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战斗节奏</t>
    <phoneticPr fontId="4" type="noConversion"/>
  </si>
  <si>
    <t>名字</t>
    <phoneticPr fontId="4" type="noConversion"/>
  </si>
  <si>
    <t>价格</t>
    <phoneticPr fontId="4" type="noConversion"/>
  </si>
  <si>
    <t>攻速</t>
    <phoneticPr fontId="4" type="noConversion"/>
  </si>
  <si>
    <t>攻击</t>
    <phoneticPr fontId="4" type="noConversion"/>
  </si>
  <si>
    <t>标准塔</t>
  </si>
  <si>
    <t>最大DPS</t>
    <phoneticPr fontId="4" type="noConversion"/>
  </si>
  <si>
    <t>攻击cd</t>
    <phoneticPr fontId="4" type="noConversion"/>
  </si>
  <si>
    <t>射程</t>
    <phoneticPr fontId="4" type="noConversion"/>
  </si>
  <si>
    <t>攻击力lv1</t>
    <phoneticPr fontId="4" type="noConversion"/>
  </si>
  <si>
    <t>攻击力lv2</t>
    <phoneticPr fontId="4" type="noConversion"/>
  </si>
  <si>
    <t>攻击力lv3</t>
    <phoneticPr fontId="4" type="noConversion"/>
  </si>
  <si>
    <t>最小DPS</t>
    <phoneticPr fontId="4" type="noConversion"/>
  </si>
  <si>
    <t>特殊参数</t>
    <phoneticPr fontId="4" type="noConversion"/>
  </si>
  <si>
    <t>低处特攻</t>
    <phoneticPr fontId="4" type="noConversion"/>
  </si>
  <si>
    <t>设定最大高度为5</t>
    <phoneticPr fontId="4" type="noConversion"/>
  </si>
  <si>
    <t>dis</t>
  </si>
  <si>
    <t>cd</t>
  </si>
  <si>
    <t>skillSelectAction</t>
  </si>
  <si>
    <t>timeline_id</t>
  </si>
  <si>
    <t>learn_action_id</t>
  </si>
  <si>
    <t>string#ref=TimelineCfgCategory?</t>
  </si>
  <si>
    <t>(list#sep=;),string#ref=ActionCfg_ref_group</t>
  </si>
  <si>
    <t>这是id</t>
  </si>
  <si>
    <t>技能施法距离</t>
  </si>
  <si>
    <t>技能cd</t>
  </si>
  <si>
    <t>释放对象选择</t>
  </si>
  <si>
    <t>timeline_id（对应TimelineCfg表id）</t>
  </si>
  <si>
    <t>学习技能时Action事件id（对应ActionConfig文件夹下表格）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</si>
  <si>
    <t>Skill_PlayerSolo1</t>
  </si>
  <si>
    <t>Timeline_PlayerSolo1</t>
  </si>
  <si>
    <t>Skill_PlayerSolo2</t>
  </si>
  <si>
    <t>Timeline_PlayerSolo2</t>
  </si>
  <si>
    <t>Skill_PlayerSolo3</t>
  </si>
  <si>
    <t>Timeline_PlayerSolo3</t>
  </si>
  <si>
    <t>Skill_PlayerAoe1</t>
  </si>
  <si>
    <t>Timeline_PlayerAoe1</t>
  </si>
  <si>
    <t>Skill_PlayerAoe2</t>
  </si>
  <si>
    <t>Timeline_PlayerAoe2</t>
  </si>
  <si>
    <t>Skill_PlayerAoe3</t>
  </si>
  <si>
    <t>Timeline_PlayerAoe3</t>
  </si>
  <si>
    <t>Skill_PlayerLine1</t>
  </si>
  <si>
    <t>Timeline_PlayerLine1</t>
  </si>
  <si>
    <t>Skill_PlayerLine2</t>
  </si>
  <si>
    <t>Timeline_PlayerLine2</t>
  </si>
  <si>
    <t>Skill_PlayerLine3</t>
  </si>
  <si>
    <t>Timeline_PlayerLine3</t>
  </si>
  <si>
    <t>Skill_PlayerCircle1</t>
  </si>
  <si>
    <t>Timeline_PlayerCircle1</t>
  </si>
  <si>
    <t>Skill_PlayerCircle2</t>
  </si>
  <si>
    <t>Timeline_PlayerCircle2</t>
  </si>
  <si>
    <t>Skill_PlayerCircle3</t>
  </si>
  <si>
    <t>Skill_TowerDragon1</t>
  </si>
  <si>
    <t>Timeline_TowerDragon1</t>
  </si>
  <si>
    <t>Skill_TowerDragon2</t>
  </si>
  <si>
    <t>Timeline_TowerDragon2</t>
  </si>
  <si>
    <t>Skill_TowerDragon3</t>
  </si>
  <si>
    <t>Timeline_TowerDragon3</t>
  </si>
  <si>
    <t>Skill_TowerElec1</t>
  </si>
  <si>
    <t>Timeline_TowerElec1</t>
  </si>
  <si>
    <t>Skill_TowerElec2</t>
  </si>
  <si>
    <t>Timeline_TowerElec2</t>
  </si>
  <si>
    <t>Skill_TowerElec3</t>
  </si>
  <si>
    <t>Timeline_TowerElec3</t>
  </si>
  <si>
    <t>Skill_TowerIce1</t>
  </si>
  <si>
    <t>Timeline_TowerIce1</t>
  </si>
  <si>
    <t>Skill_TowerIce2</t>
  </si>
  <si>
    <t>Timeline_TowerIce2</t>
  </si>
  <si>
    <t>Skill_TowerIce3</t>
  </si>
  <si>
    <t>Timeline_TowerIce3</t>
  </si>
  <si>
    <t>Skill_TowerTime1</t>
  </si>
  <si>
    <t>Skill_TowerTime2</t>
  </si>
  <si>
    <t>Skill_TowerTime3</t>
  </si>
  <si>
    <t>id</t>
  </si>
  <si>
    <t>desc</t>
  </si>
  <si>
    <t>Timeline_PlayerCircle3</t>
  </si>
  <si>
    <t>弩箭塔</t>
    <phoneticPr fontId="4" type="noConversion"/>
  </si>
  <si>
    <t>弩箭塔LV1攻击</t>
  </si>
  <si>
    <t>弩箭塔LV2攻击</t>
  </si>
  <si>
    <t>弩箭塔LV3攻击</t>
  </si>
  <si>
    <t>加农炮LV1攻击</t>
  </si>
  <si>
    <t>加农炮LV2攻击</t>
  </si>
  <si>
    <t>加农炮LV3攻击</t>
  </si>
  <si>
    <t>火焰塔LV1攻击</t>
  </si>
  <si>
    <t>火焰塔LV2攻击</t>
  </si>
  <si>
    <t>火焰塔LV3攻击</t>
  </si>
  <si>
    <t>毒雾塔LV1攻击</t>
  </si>
  <si>
    <t>毒雾塔LV2攻击</t>
  </si>
  <si>
    <t>毒雾塔LV3攻击</t>
  </si>
  <si>
    <t>龙击炮LV1攻击</t>
  </si>
  <si>
    <t>龙击炮LV2攻击</t>
  </si>
  <si>
    <t>龙击炮LV3攻击</t>
  </si>
  <si>
    <t>雷电塔LV1攻击</t>
  </si>
  <si>
    <t>雷电塔LV2攻击</t>
  </si>
  <si>
    <t>雷电塔LV3攻击</t>
  </si>
  <si>
    <t>冰魔塔</t>
    <phoneticPr fontId="4" type="noConversion"/>
  </si>
  <si>
    <t>冰魔塔LV1攻击</t>
  </si>
  <si>
    <t>冰魔塔LV2攻击</t>
  </si>
  <si>
    <t>冰魔塔LV3攻击</t>
  </si>
  <si>
    <t>propertyType</t>
  </si>
  <si>
    <t>level</t>
  </si>
  <si>
    <t>HpBase</t>
  </si>
  <si>
    <t>PhysicalAttackBase</t>
  </si>
  <si>
    <t>CriticalHitDamageBase</t>
  </si>
  <si>
    <t>CriticalStrikeRateBase</t>
  </si>
  <si>
    <t>DamageDeepeningBase</t>
  </si>
  <si>
    <t>DamageReliefBase</t>
  </si>
  <si>
    <t>UIAttribute1</t>
    <phoneticPr fontId="4" type="noConversion"/>
  </si>
  <si>
    <t>UIAttribute2</t>
    <phoneticPr fontId="4" type="noConversion"/>
  </si>
  <si>
    <t>UIAttribute3</t>
    <phoneticPr fontId="4" type="noConversion"/>
  </si>
  <si>
    <t>title</t>
    <phoneticPr fontId="4" type="noConversion"/>
  </si>
  <si>
    <t>content</t>
    <phoneticPr fontId="4" type="noConversion"/>
  </si>
  <si>
    <t>contentValue</t>
    <phoneticPr fontId="4" type="noConversion"/>
  </si>
  <si>
    <t>UIAttribute</t>
    <phoneticPr fontId="4" type="noConversion"/>
  </si>
  <si>
    <t>血量</t>
  </si>
  <si>
    <t>物理攻击</t>
  </si>
  <si>
    <t>暴击率(N%)</t>
  </si>
  <si>
    <t>伤害加深系数(N%)</t>
  </si>
  <si>
    <t>受击伤害减免系数(N%)</t>
  </si>
  <si>
    <t>界面展示属性Title1</t>
    <phoneticPr fontId="4" type="noConversion"/>
  </si>
  <si>
    <t>界面展示属性content1</t>
    <phoneticPr fontId="4" type="noConversion"/>
  </si>
  <si>
    <t>界面展示属性内容1</t>
    <phoneticPr fontId="4" type="noConversion"/>
  </si>
  <si>
    <t>Tower1</t>
  </si>
  <si>
    <t>Text_Key_Tower_UIAttribute_GongJi</t>
    <phoneticPr fontId="4" type="noConversion"/>
  </si>
  <si>
    <t>Text_Key_Tower_UIAttribute_Content_Num</t>
  </si>
  <si>
    <t>Text_Key_Tower_UIAttribute_GongSu</t>
  </si>
  <si>
    <t/>
  </si>
  <si>
    <t>Text_Key_Tower_UIAttribute_GongJi</t>
  </si>
  <si>
    <t>Tower2</t>
  </si>
  <si>
    <t>Tower3</t>
  </si>
  <si>
    <t>Tower4</t>
  </si>
  <si>
    <t>Tower5</t>
  </si>
  <si>
    <t>Tower6</t>
  </si>
  <si>
    <t>Tower7</t>
  </si>
  <si>
    <t>Text_Key_Tower_UIAttribute_JianSu</t>
  </si>
  <si>
    <t>Text_Key_Tower_UIAttribute_Content_Percent</t>
  </si>
  <si>
    <t>Tower8</t>
  </si>
  <si>
    <t>Text_Key_Tower_UIAttribute_GongSuJiaCheng</t>
  </si>
  <si>
    <t>攻速加成</t>
    <phoneticPr fontId="4" type="noConversion"/>
  </si>
  <si>
    <t>damageInfo</t>
  </si>
  <si>
    <t>DamageUnit_Attribute</t>
  </si>
  <si>
    <t>加速塔LV1技能</t>
    <phoneticPr fontId="4" type="noConversion"/>
  </si>
  <si>
    <t>加速塔LV2技能</t>
  </si>
  <si>
    <t>加速塔LV3技能</t>
  </si>
  <si>
    <t>damageType</t>
  </si>
  <si>
    <t>value</t>
  </si>
  <si>
    <t>scaleByDis</t>
    <phoneticPr fontId="4" type="noConversion"/>
  </si>
  <si>
    <t>scaleByDisMax</t>
    <phoneticPr fontId="4" type="noConversion"/>
  </si>
  <si>
    <t>scaleByHeight</t>
    <phoneticPr fontId="4" type="noConversion"/>
  </si>
  <si>
    <t>scaleByHeightMax</t>
    <phoneticPr fontId="4" type="noConversion"/>
  </si>
  <si>
    <t>DamageInfo</t>
    <phoneticPr fontId="4" type="noConversion"/>
  </si>
  <si>
    <t>伤害计算方式</t>
  </si>
  <si>
    <t>数值</t>
  </si>
  <si>
    <t>按照距离变化(&gt;0表示越远伤害越高,&lt;0表示越近伤害越高)</t>
    <phoneticPr fontId="4" type="noConversion"/>
  </si>
  <si>
    <t>(上限)按照距离变化</t>
    <phoneticPr fontId="4" type="noConversion"/>
  </si>
  <si>
    <t>按照高度变化(&gt;0表示往上越远伤害越高,&lt;0表示往下越远伤害越高)</t>
    <phoneticPr fontId="4" type="noConversion"/>
  </si>
  <si>
    <t>(上限)按照高度变化</t>
    <phoneticPr fontId="4" type="noConversion"/>
  </si>
  <si>
    <t>按照属性进行计算</t>
  </si>
  <si>
    <t>PropertyBlood</t>
    <phoneticPr fontId="4" type="noConversion"/>
  </si>
  <si>
    <t>按照属性进行计算（距离递增）_毒雾塔LV1</t>
    <phoneticPr fontId="4" type="noConversion"/>
  </si>
  <si>
    <t>按照属性进行计算（距离递增）_毒雾塔LV2</t>
  </si>
  <si>
    <t>按照属性进行计算（距离递增）_毒雾塔LV3</t>
  </si>
  <si>
    <t>按照属性进行计算（高度递减）_雷电塔LV1</t>
    <phoneticPr fontId="4" type="noConversion"/>
  </si>
  <si>
    <t>按照属性进行计算（高度递减）_雷电塔LV2</t>
  </si>
  <si>
    <t>按照属性进行计算（高度递减）_雷电塔LV3</t>
  </si>
  <si>
    <t>DamageUnit_AttributeDisAdd_PlayerCircle1</t>
    <phoneticPr fontId="4" type="noConversion"/>
  </si>
  <si>
    <t>DamageUnit_AttributeDisAdd_PlayerCircle2</t>
  </si>
  <si>
    <t>DamageUnit_AttributeDisAdd_PlayerCircle3</t>
  </si>
  <si>
    <t>DamageUnit_AttributeHeightPlus_TowerElec1</t>
    <phoneticPr fontId="4" type="noConversion"/>
  </si>
  <si>
    <t>DamageUnit_AttributeHeightPlus_TowerElec2</t>
  </si>
  <si>
    <t>DamageUnit_AttributeHeightPlus_TowerElec3</t>
  </si>
  <si>
    <t>毒雾塔</t>
    <phoneticPr fontId="4" type="noConversion"/>
  </si>
  <si>
    <t>雷电塔</t>
    <phoneticPr fontId="4" type="noConversion"/>
  </si>
  <si>
    <t>单体通用</t>
    <phoneticPr fontId="4" type="noConversion"/>
  </si>
  <si>
    <t>type</t>
  </si>
  <si>
    <t>labels</t>
  </si>
  <si>
    <t>qualityRank</t>
  </si>
  <si>
    <t>radius</t>
  </si>
  <si>
    <t>relativePosition</t>
  </si>
  <si>
    <t>unitId</t>
  </si>
  <si>
    <t>num</t>
  </si>
  <si>
    <t>BuyTowerCostGold</t>
  </si>
  <si>
    <t>rewardGold</t>
  </si>
  <si>
    <t>ReclaimTowerCostGold</t>
  </si>
  <si>
    <t>ScaleTowerCostGold</t>
  </si>
  <si>
    <t>nextTowerId</t>
  </si>
  <si>
    <t>newTowerCostCount</t>
  </si>
  <si>
    <t>aiCfgId</t>
  </si>
  <si>
    <t>string#ref=ItemCfgCategory</t>
    <phoneticPr fontId="25" type="noConversion"/>
  </si>
  <si>
    <t>PlayerTowerType</t>
  </si>
  <si>
    <t>(list#sep=;),string</t>
  </si>
  <si>
    <t>QualityRank</t>
  </si>
  <si>
    <t>(list#sep=;),vector3</t>
  </si>
  <si>
    <t>(list#sep=;),string#ref=UnitCfgCategory</t>
  </si>
  <si>
    <t>(list#sep=;),int</t>
  </si>
  <si>
    <t>string#ref=TowerDefense_TowerCfgCategory?</t>
  </si>
  <si>
    <t>string#ref=AIConfigId@AICfgCategory</t>
  </si>
  <si>
    <t>类型</t>
  </si>
  <si>
    <t>标签</t>
  </si>
  <si>
    <t>品阶</t>
  </si>
  <si>
    <t>半径</t>
  </si>
  <si>
    <t>相对位置</t>
  </si>
  <si>
    <t>数量</t>
  </si>
  <si>
    <t>等级</t>
  </si>
  <si>
    <t>购买消耗金币</t>
  </si>
  <si>
    <t>击杀奖励金币</t>
  </si>
  <si>
    <t>回收塔消耗金币</t>
  </si>
  <si>
    <t>出售塔获得金币</t>
  </si>
  <si>
    <t>下一级id</t>
  </si>
  <si>
    <t>升级消耗数量</t>
  </si>
  <si>
    <t>One</t>
  </si>
  <si>
    <t>Tow1_1</t>
  </si>
  <si>
    <t>Tower</t>
  </si>
  <si>
    <t>Text_Key_TowerLabel_Solo</t>
  </si>
  <si>
    <t>Unit_Solo1</t>
  </si>
  <si>
    <t>Tow1_2</t>
  </si>
  <si>
    <t>TowerDefense_Tower1</t>
  </si>
  <si>
    <t>Two</t>
  </si>
  <si>
    <t>Unit_Solo2</t>
  </si>
  <si>
    <t>Tow1_3</t>
  </si>
  <si>
    <t>Three</t>
  </si>
  <si>
    <t>Unit_Solo3</t>
  </si>
  <si>
    <t>Tow2_1</t>
  </si>
  <si>
    <t>Text_Key_TowerLabel_Aoe</t>
  </si>
  <si>
    <t>Unit_Aoe1</t>
  </si>
  <si>
    <t>Tow2_2</t>
  </si>
  <si>
    <t>Unit_Aoe2</t>
  </si>
  <si>
    <t>Tow2_3</t>
  </si>
  <si>
    <t>Unit_Aoe3</t>
  </si>
  <si>
    <t>Tow3_1</t>
  </si>
  <si>
    <t>Text_Key_TowerLabel_DOT;Text_Key_TowerLabel_Aoe</t>
    <phoneticPr fontId="25" type="noConversion"/>
  </si>
  <si>
    <t>Unit_Line1</t>
  </si>
  <si>
    <t>Tow3_2</t>
  </si>
  <si>
    <t>Unit_Line2</t>
  </si>
  <si>
    <t>Tow3_3</t>
  </si>
  <si>
    <t>Unit_Line3</t>
  </si>
  <si>
    <t>Tow4_1</t>
  </si>
  <si>
    <t>Unit_Circle1</t>
  </si>
  <si>
    <t>Tow4_2</t>
  </si>
  <si>
    <t>Unit_Circle2</t>
  </si>
  <si>
    <t>Tow4_3</t>
  </si>
  <si>
    <t>Unit_Circle3</t>
  </si>
  <si>
    <t>Tow5_1</t>
  </si>
  <si>
    <t>Unit_TowerDragon1</t>
  </si>
  <si>
    <t>Tow5_2</t>
  </si>
  <si>
    <t>Unit_TowerDragon2</t>
  </si>
  <si>
    <t>Tow5_3</t>
  </si>
  <si>
    <t>Unit_TowerDragon3</t>
  </si>
  <si>
    <t>Tow6_1</t>
  </si>
  <si>
    <t>Unit_TowerElec1</t>
  </si>
  <si>
    <t>Tow6_2</t>
  </si>
  <si>
    <t>Unit_TowerElec2</t>
  </si>
  <si>
    <t>Tow6_3</t>
  </si>
  <si>
    <t>Unit_TowerElec3</t>
  </si>
  <si>
    <t>Tow7_1</t>
  </si>
  <si>
    <t>Text_Key_TowerLabel_Debuff;Text_Key_TowerLabel_Aoe</t>
    <phoneticPr fontId="25" type="noConversion"/>
  </si>
  <si>
    <t>Unit_TowerIce1</t>
  </si>
  <si>
    <t>Tow7_2</t>
  </si>
  <si>
    <t>Unit_TowerIce2</t>
  </si>
  <si>
    <t>Tow7_3</t>
  </si>
  <si>
    <t>Unit_TowerIce3</t>
  </si>
  <si>
    <t>Tow8_1</t>
  </si>
  <si>
    <t>Text_Key_TowerLabel_Buff</t>
  </si>
  <si>
    <t>Unit_TowerTime1</t>
  </si>
  <si>
    <t>Tow8_2</t>
  </si>
  <si>
    <t>Unit_TowerTime2</t>
  </si>
  <si>
    <t>Tow8_3</t>
  </si>
  <si>
    <t>Unit_TowerTime3</t>
  </si>
  <si>
    <t>isNeedPutHomeAndMonsterCall</t>
  </si>
  <si>
    <t>playerInitGold</t>
  </si>
  <si>
    <t>interestOnDeposit</t>
  </si>
  <si>
    <t>resTime</t>
  </si>
  <si>
    <t>limitTowerCount</t>
  </si>
  <si>
    <t>refreshBuyTowerCost</t>
  </si>
  <si>
    <t>buyTowerPoolCount</t>
  </si>
  <si>
    <t>homeLife</t>
  </si>
  <si>
    <t>buyTowerRefreshRuleCfgId</t>
  </si>
  <si>
    <t>monsterWaveCallRuleCfgId</t>
  </si>
  <si>
    <t>monsterWaveCallStartWaveIndex</t>
  </si>
  <si>
    <t>bool</t>
  </si>
  <si>
    <t>string#ref=TowerDefense_BuyTowerRefreshRuleCfgCategory</t>
  </si>
  <si>
    <t>string#ref=waveRule@TowerDefense_MonsterWaveCallRuleCfgCategory</t>
  </si>
  <si>
    <t>是否需要手动放置大本营和出怪点</t>
  </si>
  <si>
    <t>每个玩家初始金币</t>
  </si>
  <si>
    <t>波次结束结算存款利息(%)</t>
  </si>
  <si>
    <t>中间休息时间</t>
  </si>
  <si>
    <t>每人最多允许建造塔数</t>
  </si>
  <si>
    <t>玩家刷新可购买塔的费用</t>
  </si>
  <si>
    <t>可购买塔展示数量</t>
  </si>
  <si>
    <t>大本营血量</t>
  </si>
  <si>
    <t>可购买塔刷新规则</t>
  </si>
  <si>
    <t>刷怪点刷怪规则</t>
  </si>
  <si>
    <t>刷怪点刷怪开始进来时波次(下一波+1)</t>
  </si>
  <si>
    <t>TowerDefenseCfg_Infinite</t>
  </si>
  <si>
    <t>无限模式</t>
  </si>
  <si>
    <t>MonsterWaveCallRule_Infinite</t>
  </si>
  <si>
    <t>隐身</t>
    <phoneticPr fontId="4" type="noConversion"/>
  </si>
  <si>
    <t>治疗</t>
    <phoneticPr fontId="4" type="noConversion"/>
  </si>
  <si>
    <t>DPS比例</t>
    <phoneticPr fontId="4" type="noConversion"/>
  </si>
  <si>
    <t>波次</t>
    <phoneticPr fontId="4" type="noConversion"/>
  </si>
  <si>
    <t>难度</t>
    <phoneticPr fontId="4" type="noConversion"/>
  </si>
  <si>
    <t>快速怪</t>
    <phoneticPr fontId="4" type="noConversion"/>
  </si>
  <si>
    <t>BOSS</t>
    <phoneticPr fontId="4" type="noConversion"/>
  </si>
  <si>
    <t>快速</t>
    <phoneticPr fontId="4" type="noConversion"/>
  </si>
  <si>
    <t>治疗怪</t>
    <phoneticPr fontId="4" type="noConversion"/>
  </si>
  <si>
    <t>眩晕怪</t>
    <phoneticPr fontId="4" type="noConversion"/>
  </si>
  <si>
    <t>治疗</t>
    <phoneticPr fontId="4" type="noConversion"/>
  </si>
  <si>
    <t>眩晕</t>
    <phoneticPr fontId="4" type="noConversion"/>
  </si>
  <si>
    <t>波次敌人（难度≈杀光怪所需时间）：</t>
    <phoneticPr fontId="4" type="noConversion"/>
  </si>
  <si>
    <t>怪物类型</t>
    <phoneticPr fontId="4" type="noConversion"/>
  </si>
  <si>
    <t>备注</t>
    <phoneticPr fontId="4" type="noConversion"/>
  </si>
  <si>
    <t>怪物</t>
    <phoneticPr fontId="4" type="noConversion"/>
  </si>
  <si>
    <t>集群怪</t>
    <phoneticPr fontId="4" type="noConversion"/>
  </si>
  <si>
    <t>隐身怪</t>
    <phoneticPr fontId="4" type="noConversion"/>
  </si>
  <si>
    <t>波次</t>
  </si>
  <si>
    <t>出怪时长</t>
    <phoneticPr fontId="4" type="noConversion"/>
  </si>
  <si>
    <t>模型</t>
  </si>
  <si>
    <t>生命</t>
  </si>
  <si>
    <t>奖励</t>
  </si>
  <si>
    <t>怪物1</t>
    <phoneticPr fontId="4" type="noConversion"/>
  </si>
  <si>
    <t>怪物2</t>
    <phoneticPr fontId="4" type="noConversion"/>
  </si>
  <si>
    <t>怪物3</t>
    <phoneticPr fontId="4" type="noConversion"/>
  </si>
  <si>
    <t>怪物4</t>
    <phoneticPr fontId="4" type="noConversion"/>
  </si>
  <si>
    <t>出现间隔</t>
    <phoneticPr fontId="4" type="noConversion"/>
  </si>
  <si>
    <t>序号</t>
    <phoneticPr fontId="4" type="noConversion"/>
  </si>
  <si>
    <t>模型</t>
    <phoneticPr fontId="4" type="noConversion"/>
  </si>
  <si>
    <t>功能</t>
    <phoneticPr fontId="4" type="noConversion"/>
  </si>
  <si>
    <t>模型id</t>
    <phoneticPr fontId="4" type="noConversion"/>
  </si>
  <si>
    <t>隐身</t>
    <phoneticPr fontId="4" type="noConversion"/>
  </si>
  <si>
    <t>/</t>
    <phoneticPr fontId="4" type="noConversion"/>
  </si>
  <si>
    <t>ResUnit_MiFeng2</t>
  </si>
  <si>
    <t>ResUnit_MiFeng3</t>
  </si>
  <si>
    <t>ResUnit_BianFu1</t>
  </si>
  <si>
    <t>ResUnit_BianFu2</t>
  </si>
  <si>
    <t>ResUnit_ZhiZhu1</t>
  </si>
  <si>
    <t>ResUnit_ZhiZhu2</t>
  </si>
  <si>
    <t>ResUnit_ZhiZhu3</t>
  </si>
  <si>
    <t>ResUnit_ZhongZi1</t>
  </si>
  <si>
    <t>ResUnit_ZhongZi2</t>
  </si>
  <si>
    <t>ResUnit_ZhongZi3</t>
  </si>
  <si>
    <t>ResUnit_Gui1</t>
  </si>
  <si>
    <t>ResUnit_Gui2</t>
  </si>
  <si>
    <t>ResUnit_Gui3</t>
  </si>
  <si>
    <t>ResUnit_Dan1</t>
  </si>
  <si>
    <t>ResUnit_Dan2</t>
  </si>
  <si>
    <t>ResUnit_Dan3</t>
  </si>
  <si>
    <t>生命系数</t>
    <phoneticPr fontId="4" type="noConversion"/>
  </si>
  <si>
    <t>玩家dps</t>
    <phoneticPr fontId="4" type="noConversion"/>
  </si>
  <si>
    <t>奖励系数</t>
    <phoneticPr fontId="4" type="noConversion"/>
  </si>
  <si>
    <t>移速系数</t>
    <phoneticPr fontId="4" type="noConversion"/>
  </si>
  <si>
    <t>移速系数</t>
    <phoneticPr fontId="4" type="noConversion"/>
  </si>
  <si>
    <t>waveRule</t>
  </si>
  <si>
    <t>waveIndex</t>
  </si>
  <si>
    <t>waveRewardGold</t>
  </si>
  <si>
    <t>duration</t>
  </si>
  <si>
    <t>*nodes</t>
  </si>
  <si>
    <t>timeElapsed</t>
  </si>
  <si>
    <t>totalNum</t>
  </si>
  <si>
    <t>onceIntervalTime</t>
  </si>
  <si>
    <t>onceCallNum</t>
  </si>
  <si>
    <t>monsterCfgId</t>
  </si>
  <si>
    <t>list,MonsterWaveCallNode</t>
  </si>
  <si>
    <t>刷怪规则</t>
  </si>
  <si>
    <t>波次结束奖励金币</t>
  </si>
  <si>
    <t>运行多久之后发生，单位：秒</t>
  </si>
  <si>
    <t>总刷怪数量</t>
  </si>
  <si>
    <t>出怪间隔</t>
  </si>
  <si>
    <t>一次出怪数量</t>
  </si>
  <si>
    <t>怪物id</t>
  </si>
  <si>
    <t>怪物等级</t>
  </si>
  <si>
    <t>单个击杀奖励金币</t>
  </si>
  <si>
    <t>MonsterWaveCallRule_Infinite</t>
    <phoneticPr fontId="4" type="noConversion"/>
  </si>
  <si>
    <t>辅助列</t>
    <phoneticPr fontId="4" type="noConversion"/>
  </si>
  <si>
    <t>资源路径</t>
  </si>
  <si>
    <t>移动速度</t>
  </si>
  <si>
    <t>转身速度</t>
  </si>
  <si>
    <t>是否需要检测Mesh(判断攻击目标时)</t>
  </si>
  <si>
    <t>攻击点高度(判断连通时会不会被阻挡)</t>
  </si>
  <si>
    <t>身体高度(判断位置，判断伤害什么的)</t>
  </si>
  <si>
    <t>身体半径(判断伤害什么的)</t>
  </si>
  <si>
    <t>资源大小缩放</t>
  </si>
  <si>
    <t>属性类型</t>
  </si>
  <si>
    <t>死亡表现</t>
  </si>
  <si>
    <t>Idle行为</t>
  </si>
  <si>
    <t>Move行为</t>
  </si>
  <si>
    <t>拥有技能列表</t>
  </si>
  <si>
    <t>Unit_Monster_Infinite_1_1</t>
  </si>
  <si>
    <t>DeathShow_1</t>
  </si>
  <si>
    <t>Timeline_Idle1</t>
  </si>
  <si>
    <t>Timeline_Move1</t>
  </si>
  <si>
    <t>Unit_Monster_Infinite_2_1</t>
  </si>
  <si>
    <t>Unit_Monster_Infinite_2_2</t>
  </si>
  <si>
    <t>Unit_Monster_Infinite_3_1</t>
  </si>
  <si>
    <t>Unit_Monster_Infinite_3_2</t>
  </si>
  <si>
    <t>Unit_Monster_Infinite_4_1</t>
  </si>
  <si>
    <t>Unit_Monster_Infinite_4_2</t>
  </si>
  <si>
    <t>Unit_Monster_Infinite_5_1</t>
  </si>
  <si>
    <t>Unit_Monster_Infinite_5_2</t>
  </si>
  <si>
    <t>Unit_Monster_Infinite_6_1</t>
  </si>
  <si>
    <t>Unit_Monster_Infinite_6_2</t>
  </si>
  <si>
    <t>Unit_Monster_Infinite_7_1</t>
  </si>
  <si>
    <t>Unit_Monster_Infinite_7_2</t>
  </si>
  <si>
    <t>Unit_Monster_Infinite_8_1</t>
  </si>
  <si>
    <t>Unit_Monster_Infinite_8_2</t>
  </si>
  <si>
    <t>Unit_Monster_Infinite_9_1</t>
  </si>
  <si>
    <t>Unit_Monster_Infinite_9_2</t>
  </si>
  <si>
    <t>Unit_Monster_Infinite_10_1</t>
  </si>
  <si>
    <t>Unit_Monster_Infinite_10_2</t>
  </si>
  <si>
    <t>Unit_Monster_Infinite_11_1</t>
  </si>
  <si>
    <t>Unit_Monster_Infinite_11_2</t>
  </si>
  <si>
    <t>Unit_Monster_Infinite_12_1</t>
  </si>
  <si>
    <t>Unit_Monster_Infinite_12_2</t>
  </si>
  <si>
    <t>Unit_Monster_Infinite_12_3</t>
  </si>
  <si>
    <t>Unit_Monster_Infinite_13_1</t>
  </si>
  <si>
    <t>Unit_Monster_Infinite_14_1</t>
  </si>
  <si>
    <t>Unit_Monster_Infinite_14_2</t>
  </si>
  <si>
    <t>Unit_Monster_Infinite_15_1</t>
  </si>
  <si>
    <t>Unit_Monster_Infinite_15_2</t>
  </si>
  <si>
    <t>Unit_Monster_Infinite_16_1</t>
  </si>
  <si>
    <t>Unit_Monster_Infinite_16_2</t>
  </si>
  <si>
    <t>Unit_Monster_Infinite_17_1</t>
  </si>
  <si>
    <t>Unit_Monster_Infinite_17_2</t>
  </si>
  <si>
    <t>Unit_Monster_Infinite_18_1</t>
  </si>
  <si>
    <t>Unit_Monster_Infinite_18_2</t>
  </si>
  <si>
    <t>Unit_Monster_Infinite_19_1</t>
  </si>
  <si>
    <t>Unit_Monster_Infinite_19_2</t>
  </si>
  <si>
    <t>Unit_Monster_Infinite_19_3</t>
  </si>
  <si>
    <t>Unit_Monster_Infinite_20_1</t>
  </si>
  <si>
    <t>Unit_Monster_Infinite_20_2</t>
  </si>
  <si>
    <t>Unit_Monster_Infinite_20_3</t>
  </si>
  <si>
    <t>Unit_Monster_Infinite_20_4</t>
  </si>
  <si>
    <t>res_id</t>
  </si>
  <si>
    <t>moveSpeed</t>
  </si>
  <si>
    <t>rotationSpeed</t>
  </si>
  <si>
    <t>isNeedChkMesh</t>
  </si>
  <si>
    <t>attackPointHeight</t>
  </si>
  <si>
    <t>bodyHeight</t>
  </si>
  <si>
    <t>bodyRadius</t>
  </si>
  <si>
    <t>resScale</t>
  </si>
  <si>
    <t>deathShow</t>
  </si>
  <si>
    <t>idle_timeline_id</t>
  </si>
  <si>
    <t>move_timeline_id</t>
  </si>
  <si>
    <t>skillList</t>
  </si>
  <si>
    <t>string#ref=ResUnitCfgCategory</t>
  </si>
  <si>
    <t>string#ref=propertyType@UnitPropertyCfgCategory</t>
  </si>
  <si>
    <t>string#ref=ActionCfg_DeathShowCategory</t>
  </si>
  <si>
    <t>(list#sep=;),string#ref=SkillCfgCategory</t>
  </si>
  <si>
    <t>Monster_Infinite_1_1</t>
  </si>
  <si>
    <t>Monster_Infinite_2_1</t>
  </si>
  <si>
    <t>Monster_Infinite_3_1</t>
  </si>
  <si>
    <t>Monster_Infinite_4_1</t>
  </si>
  <si>
    <t>Monster_Infinite_4_2</t>
  </si>
  <si>
    <t>Monster_Infinite_5_1</t>
  </si>
  <si>
    <t>Monster_Infinite_5_2</t>
  </si>
  <si>
    <t>Monster_Infinite_6_1</t>
  </si>
  <si>
    <t>Monster_Infinite_6_2</t>
  </si>
  <si>
    <t>Monster_Infinite_7_1</t>
  </si>
  <si>
    <t>Monster_Infinite_7_2</t>
  </si>
  <si>
    <t>Monster_Infinite_8_1</t>
  </si>
  <si>
    <t>Monster_Infinite_8_2</t>
  </si>
  <si>
    <t>Monster_Infinite_9_1</t>
  </si>
  <si>
    <t>Monster_Infinite_9_2</t>
  </si>
  <si>
    <t>Monster_Infinite_10_1</t>
  </si>
  <si>
    <t>Monster_Infinite_10_2</t>
  </si>
  <si>
    <t>Monster_Infinite_11_1</t>
  </si>
  <si>
    <t>Monster_Infinite_11_2</t>
  </si>
  <si>
    <t>Monster_Infinite_12_1</t>
  </si>
  <si>
    <t>Monster_Infinite_12_2</t>
  </si>
  <si>
    <t>Monster_Infinite_13_1</t>
  </si>
  <si>
    <t>Monster_Infinite_14_1</t>
  </si>
  <si>
    <t>Monster_Infinite_14_2</t>
  </si>
  <si>
    <t>Monster_Infinite_15_1</t>
  </si>
  <si>
    <t>Monster_Infinite_15_2</t>
  </si>
  <si>
    <t>Monster_Infinite_16_1</t>
  </si>
  <si>
    <t>Monster_Infinite_16_2</t>
  </si>
  <si>
    <t>Monster_Infinite_17_1</t>
  </si>
  <si>
    <t>Monster_Infinite_17_2</t>
  </si>
  <si>
    <t>Monster_Infinite_18_1</t>
  </si>
  <si>
    <t>Monster_Infinite_18_2</t>
  </si>
  <si>
    <t>Monster_Infinite_19_1</t>
  </si>
  <si>
    <t>Monster_Infinite_19_2</t>
  </si>
  <si>
    <t>Monster_Infinite_20_1</t>
  </si>
  <si>
    <t>Monster_Infinite_20_2</t>
  </si>
  <si>
    <t>体型系数</t>
    <phoneticPr fontId="4" type="noConversion"/>
  </si>
  <si>
    <t>Monster_Infinite_2_2</t>
  </si>
  <si>
    <t>Monster_Infinite_3_2</t>
  </si>
  <si>
    <t>Monster_Infinite_12_3</t>
  </si>
  <si>
    <t>Monster_Infinite_19_3</t>
  </si>
  <si>
    <t>Monster_Infinite_20_3</t>
  </si>
  <si>
    <t>Monster_Infinite_20_4</t>
  </si>
  <si>
    <t>无限模式怪物</t>
    <phoneticPr fontId="4" type="noConversion"/>
  </si>
  <si>
    <t>ResUnit_MiFeng1</t>
    <phoneticPr fontId="4" type="noConversion"/>
  </si>
  <si>
    <t>蜜蜂1</t>
  </si>
  <si>
    <t>蜜蜂2</t>
  </si>
  <si>
    <t>蜜蜂3</t>
  </si>
  <si>
    <t>蝙蝠1</t>
  </si>
  <si>
    <t>蝙蝠2</t>
  </si>
  <si>
    <t>蜘蛛1</t>
  </si>
  <si>
    <t>蜘蛛2</t>
  </si>
  <si>
    <t>蜘蛛3</t>
  </si>
  <si>
    <t>种子1</t>
  </si>
  <si>
    <t>种子2</t>
  </si>
  <si>
    <t>种子3</t>
  </si>
  <si>
    <t>鬼1</t>
  </si>
  <si>
    <t>鬼2</t>
  </si>
  <si>
    <t>鬼3</t>
  </si>
  <si>
    <t>蛋1</t>
  </si>
  <si>
    <t>蛋2</t>
  </si>
  <si>
    <t>蛋3</t>
  </si>
  <si>
    <t>蜜蜂1</t>
    <phoneticPr fontId="4" type="noConversion"/>
  </si>
  <si>
    <t>蜜蜂2</t>
    <phoneticPr fontId="4" type="noConversion"/>
  </si>
  <si>
    <t>蝙蝠1</t>
    <phoneticPr fontId="4" type="noConversion"/>
  </si>
  <si>
    <t>蜜蜂3</t>
    <phoneticPr fontId="4" type="noConversion"/>
  </si>
  <si>
    <t>蜘蛛1</t>
    <phoneticPr fontId="4" type="noConversion"/>
  </si>
  <si>
    <t>蝙蝠2</t>
    <phoneticPr fontId="4" type="noConversion"/>
  </si>
  <si>
    <t>蜘蛛3</t>
    <phoneticPr fontId="4" type="noConversion"/>
  </si>
  <si>
    <t>种子1</t>
    <phoneticPr fontId="4" type="noConversion"/>
  </si>
  <si>
    <t>蜘蛛2</t>
    <phoneticPr fontId="4" type="noConversion"/>
  </si>
  <si>
    <t>种子3</t>
    <phoneticPr fontId="4" type="noConversion"/>
  </si>
  <si>
    <t>鬼1</t>
    <phoneticPr fontId="4" type="noConversion"/>
  </si>
  <si>
    <t>种子2</t>
    <phoneticPr fontId="4" type="noConversion"/>
  </si>
  <si>
    <t>鬼3</t>
    <phoneticPr fontId="4" type="noConversion"/>
  </si>
  <si>
    <t>蛋1</t>
    <phoneticPr fontId="4" type="noConversion"/>
  </si>
  <si>
    <t>蛋2</t>
    <phoneticPr fontId="4" type="noConversion"/>
  </si>
  <si>
    <t>蛋3</t>
    <phoneticPr fontId="4" type="noConversion"/>
  </si>
  <si>
    <t>鬼2</t>
    <phoneticPr fontId="4" type="noConversion"/>
  </si>
  <si>
    <t>Skill_Monster_Infinite_9_2_ZhongZi</t>
  </si>
  <si>
    <t>Skill_Monster_Infinite_10_2_ZhongZi</t>
  </si>
  <si>
    <t>Skill_Monster_Infinite_11_1_ZhongZi</t>
  </si>
  <si>
    <t>Skill_Monster_Infinite_12_2_ZhongZi</t>
  </si>
  <si>
    <t>Skill_Monster_Infinite_12_3_ZhongZi</t>
  </si>
  <si>
    <t>Skill_Monster_Infinite_13_1_Gui</t>
  </si>
  <si>
    <t>Skill_Monster_Infinite_14_1_Gui</t>
  </si>
  <si>
    <t>Skill_Monster_Infinite_15_1_Gui</t>
  </si>
  <si>
    <t>Skill_Monster_Infinite_15_2_ZhongZi</t>
  </si>
  <si>
    <t>Skill_Monster_Infinite_16_2_Gui</t>
  </si>
  <si>
    <t>Skill_Monster_Infinite_17_2_Dan</t>
  </si>
  <si>
    <t>Skill_Monster_Infinite_18_1_Dan</t>
  </si>
  <si>
    <t>Skill_Monster_Infinite_19_3_ZhongZi</t>
  </si>
  <si>
    <t>Skill_Monster_Infinite_20_1_Dan</t>
  </si>
  <si>
    <t>Skill_Monster_Infinite_20_2_Gui</t>
  </si>
  <si>
    <t>Skill_Monster_Infinite_20_3_ZhongZi</t>
  </si>
  <si>
    <t>Skill_Monster_Infinite_20_4_Dan</t>
  </si>
  <si>
    <t>FixedBlood</t>
  </si>
  <si>
    <t>DamageUnit_Infinite_9_2_ZhongZi</t>
  </si>
  <si>
    <t>无限模式怪物恢复技能_固定回血</t>
    <phoneticPr fontId="4" type="noConversion"/>
  </si>
  <si>
    <t>DamageUnit_Infinite_10_2_ZhongZi</t>
  </si>
  <si>
    <t>DamageUnit_Infinite_11_1_ZhongZi</t>
  </si>
  <si>
    <t>DamageUnit_Infinite_12_2_ZhongZi</t>
  </si>
  <si>
    <t>DamageUnit_Infinite_12_3_ZhongZi</t>
  </si>
  <si>
    <t>DamageUnit_Infinite_15_2_ZhongZi</t>
  </si>
  <si>
    <t>DamageUnit_Infinite_19_3_ZhongZi</t>
  </si>
  <si>
    <t>DamageUnit_Infinite_20_3_ZhongZi</t>
  </si>
  <si>
    <t>卡池</t>
    <phoneticPr fontId="4" type="noConversion"/>
  </si>
  <si>
    <t>加农炮</t>
    <phoneticPr fontId="4" type="noConversion"/>
  </si>
  <si>
    <t>每关敌人（难度≈杀光怪所需时间）：</t>
    <phoneticPr fontId="4" type="noConversion"/>
  </si>
  <si>
    <t>波次1</t>
    <phoneticPr fontId="4" type="noConversion"/>
  </si>
  <si>
    <t>波次2</t>
  </si>
  <si>
    <t>波次3</t>
  </si>
  <si>
    <t>波次4</t>
  </si>
  <si>
    <t>波次5</t>
  </si>
  <si>
    <t>火焰塔</t>
    <phoneticPr fontId="4" type="noConversion"/>
  </si>
  <si>
    <t>加速塔</t>
    <phoneticPr fontId="4" type="noConversion"/>
  </si>
  <si>
    <t>龙击炮</t>
    <phoneticPr fontId="4" type="noConversion"/>
  </si>
  <si>
    <t>混合</t>
    <phoneticPr fontId="4" type="noConversion"/>
  </si>
  <si>
    <t>混合+</t>
    <phoneticPr fontId="4" type="noConversion"/>
  </si>
  <si>
    <t>混合++</t>
    <phoneticPr fontId="4" type="noConversion"/>
  </si>
  <si>
    <t>普通+快速</t>
    <phoneticPr fontId="4" type="noConversion"/>
  </si>
  <si>
    <t>集群+快速</t>
    <phoneticPr fontId="4" type="noConversion"/>
  </si>
  <si>
    <t>普通+治疗</t>
    <phoneticPr fontId="4" type="noConversion"/>
  </si>
  <si>
    <t>集群+治疗</t>
    <phoneticPr fontId="4" type="noConversion"/>
  </si>
  <si>
    <t>隐身+快速</t>
    <phoneticPr fontId="4" type="noConversion"/>
  </si>
  <si>
    <t>隐身+集群</t>
    <phoneticPr fontId="4" type="noConversion"/>
  </si>
  <si>
    <t>隐身+治疗</t>
    <phoneticPr fontId="4" type="noConversion"/>
  </si>
  <si>
    <t>隐身+普通</t>
    <phoneticPr fontId="4" type="noConversion"/>
  </si>
  <si>
    <t>弱化</t>
    <phoneticPr fontId="4" type="noConversion"/>
  </si>
  <si>
    <t>弱化+快速</t>
    <phoneticPr fontId="4" type="noConversion"/>
  </si>
  <si>
    <t>弱化+治疗</t>
    <phoneticPr fontId="4" type="noConversion"/>
  </si>
  <si>
    <t>弱化+隐身</t>
    <phoneticPr fontId="4" type="noConversion"/>
  </si>
  <si>
    <t>弱化+BOSS</t>
    <phoneticPr fontId="4" type="noConversion"/>
  </si>
  <si>
    <t>治疗+快速</t>
    <phoneticPr fontId="4" type="noConversion"/>
  </si>
  <si>
    <t>时长</t>
    <phoneticPr fontId="4" type="noConversion"/>
  </si>
  <si>
    <t>怪物出怪间隔（s）</t>
    <phoneticPr fontId="4" type="noConversion"/>
  </si>
  <si>
    <t>单局养成速度（所需回合数）</t>
    <phoneticPr fontId="4" type="noConversion"/>
  </si>
  <si>
    <t>ID</t>
    <phoneticPr fontId="4" type="noConversion"/>
  </si>
  <si>
    <t>回复怪</t>
    <phoneticPr fontId="4" type="noConversion"/>
  </si>
  <si>
    <t>虚弱怪</t>
    <phoneticPr fontId="4" type="noConversion"/>
  </si>
  <si>
    <t>TowerDefenseCfg_Challenge1</t>
  </si>
  <si>
    <t>TowerDefenseCfg_Challenge2</t>
  </si>
  <si>
    <t>TowerDefenseCfg_Challenge3</t>
  </si>
  <si>
    <t>TowerDefenseCfg_Challenge4</t>
  </si>
  <si>
    <t>TowerDefenseCfg_Challenge5</t>
  </si>
  <si>
    <t>挑战关卡1</t>
    <phoneticPr fontId="4" type="noConversion"/>
  </si>
  <si>
    <t>挑战关卡2</t>
  </si>
  <si>
    <t>挑战关卡3</t>
  </si>
  <si>
    <t>挑战关卡4</t>
  </si>
  <si>
    <t>挑战关卡5</t>
  </si>
  <si>
    <t>BuyTowerRefreshRule_Infinite</t>
    <phoneticPr fontId="4" type="noConversion"/>
  </si>
  <si>
    <t>BuyTowerRefreshRule_Challenge1</t>
  </si>
  <si>
    <t>MonsterWaveCallRule_Challenge1</t>
  </si>
  <si>
    <t>BuyTowerRefreshRule_Challenge2</t>
  </si>
  <si>
    <t>MonsterWaveCallRule_Challenge2</t>
  </si>
  <si>
    <t>BuyTowerRefreshRule_Challenge3</t>
  </si>
  <si>
    <t>MonsterWaveCallRule_Challenge3</t>
  </si>
  <si>
    <t>BuyTowerRefreshRule_Challenge4</t>
  </si>
  <si>
    <t>MonsterWaveCallRule_Challenge4</t>
  </si>
  <si>
    <t>BuyTowerRefreshRule_Challenge5</t>
  </si>
  <si>
    <t>MonsterWaveCallRule_Challenge5</t>
  </si>
  <si>
    <t>无限模式怪物1_1</t>
  </si>
  <si>
    <t>无限模式怪物2_1</t>
  </si>
  <si>
    <t>无限模式怪物2_2</t>
  </si>
  <si>
    <t>无限模式怪物3_1</t>
  </si>
  <si>
    <t>无限模式怪物3_2</t>
  </si>
  <si>
    <t>无限模式怪物4_1</t>
  </si>
  <si>
    <t>无限模式怪物4_2</t>
  </si>
  <si>
    <t>无限模式怪物5_1</t>
  </si>
  <si>
    <t>无限模式怪物5_2</t>
  </si>
  <si>
    <t>无限模式怪物6_1</t>
  </si>
  <si>
    <t>无限模式怪物6_2</t>
  </si>
  <si>
    <t>无限模式怪物7_1</t>
  </si>
  <si>
    <t>无限模式怪物7_2</t>
  </si>
  <si>
    <t>无限模式怪物8_1</t>
  </si>
  <si>
    <t>无限模式怪物8_2</t>
  </si>
  <si>
    <t>无限模式怪物9_1</t>
  </si>
  <si>
    <t>无限模式怪物9_2</t>
  </si>
  <si>
    <t>无限模式怪物10_1</t>
  </si>
  <si>
    <t>无限模式怪物10_2</t>
  </si>
  <si>
    <t>无限模式怪物11_1</t>
  </si>
  <si>
    <t>无限模式怪物11_2</t>
  </si>
  <si>
    <t>无限模式怪物12_1</t>
  </si>
  <si>
    <t>无限模式怪物12_2</t>
  </si>
  <si>
    <t>无限模式怪物12_3</t>
  </si>
  <si>
    <t>无限模式怪物13_1</t>
  </si>
  <si>
    <t>无限模式怪物14_1</t>
  </si>
  <si>
    <t>无限模式怪物14_2</t>
  </si>
  <si>
    <t>无限模式怪物15_1</t>
  </si>
  <si>
    <t>无限模式怪物15_2</t>
  </si>
  <si>
    <t>无限模式怪物16_1</t>
  </si>
  <si>
    <t>无限模式怪物16_2</t>
  </si>
  <si>
    <t>无限模式怪物17_1</t>
  </si>
  <si>
    <t>无限模式怪物17_2</t>
  </si>
  <si>
    <t>无限模式怪物18_1</t>
  </si>
  <si>
    <t>无限模式怪物18_2</t>
  </si>
  <si>
    <t>无限模式怪物19_1</t>
  </si>
  <si>
    <t>无限模式怪物19_2</t>
  </si>
  <si>
    <t>无限模式怪物19_3</t>
  </si>
  <si>
    <t>无限模式怪物20_1</t>
  </si>
  <si>
    <t>无限模式怪物20_2</t>
  </si>
  <si>
    <t>无限模式怪物20_3</t>
  </si>
  <si>
    <t>无限模式怪物20_4</t>
  </si>
  <si>
    <t>挑战关卡怪物1_1_1</t>
  </si>
  <si>
    <t>挑战关卡怪物1_2_1</t>
  </si>
  <si>
    <t>挑战关卡怪物1_3_1</t>
  </si>
  <si>
    <t>挑战关卡怪物1_3_2</t>
  </si>
  <si>
    <t>挑战关卡怪物1_4_1</t>
  </si>
  <si>
    <t>挑战关卡怪物1_4_2</t>
  </si>
  <si>
    <t>挑战关卡怪物1_5_1</t>
  </si>
  <si>
    <t>挑战关卡怪物1_5_2</t>
  </si>
  <si>
    <t>挑战关卡怪物2_1_1</t>
  </si>
  <si>
    <t>挑战关卡怪物2_2_1</t>
  </si>
  <si>
    <t>挑战关卡怪物2_2_2</t>
  </si>
  <si>
    <t>挑战关卡怪物2_3_1</t>
  </si>
  <si>
    <t>挑战关卡怪物2_3_2</t>
  </si>
  <si>
    <t>挑战关卡怪物2_4_1</t>
  </si>
  <si>
    <t>挑战关卡怪物2_4_2</t>
  </si>
  <si>
    <t>挑战关卡怪物2_4_3</t>
  </si>
  <si>
    <t>挑战关卡怪物2_5_1</t>
  </si>
  <si>
    <t>挑战关卡怪物2_5_2</t>
  </si>
  <si>
    <t>挑战关卡怪物2_5_3</t>
  </si>
  <si>
    <t>挑战关卡怪物3_2_1</t>
  </si>
  <si>
    <t>挑战关卡怪物3_2_2</t>
  </si>
  <si>
    <t>挑战关卡怪物3_3_1</t>
  </si>
  <si>
    <t>挑战关卡怪物3_3_2</t>
  </si>
  <si>
    <t>挑战关卡怪物3_4_1</t>
  </si>
  <si>
    <t>挑战关卡怪物3_4_2</t>
  </si>
  <si>
    <t>挑战关卡怪物3_4_3</t>
  </si>
  <si>
    <t>挑战关卡怪物3_5_1</t>
  </si>
  <si>
    <t>挑战关卡怪物3_5_2</t>
  </si>
  <si>
    <t>挑战关卡怪物3_5_3</t>
  </si>
  <si>
    <t>挑战关卡怪物4_1_1</t>
  </si>
  <si>
    <t>挑战关卡怪物4_2_1</t>
  </si>
  <si>
    <t>挑战关卡怪物4_2_2</t>
  </si>
  <si>
    <t>挑战关卡怪物4_3_1</t>
  </si>
  <si>
    <t>挑战关卡怪物4_3_2</t>
  </si>
  <si>
    <t>挑战关卡怪物4_4_1</t>
  </si>
  <si>
    <t>挑战关卡怪物4_4_2</t>
  </si>
  <si>
    <t>挑战关卡怪物4_5_1</t>
  </si>
  <si>
    <t>挑战关卡怪物4_5_2</t>
  </si>
  <si>
    <t>挑战关卡怪物5_1_1</t>
  </si>
  <si>
    <t>挑战关卡怪物5_2_1</t>
  </si>
  <si>
    <t>挑战关卡怪物5_2_2</t>
  </si>
  <si>
    <t>挑战关卡怪物5_3_1</t>
  </si>
  <si>
    <t>挑战关卡怪物5_3_2</t>
  </si>
  <si>
    <t>挑战关卡怪物5_3_3</t>
  </si>
  <si>
    <t>挑战关卡怪物5_4_1</t>
  </si>
  <si>
    <t>挑战关卡怪物5_4_2</t>
  </si>
  <si>
    <t>挑战关卡怪物5_5_1</t>
  </si>
  <si>
    <t>挑战关卡怪物5_5_2</t>
  </si>
  <si>
    <t>挑战关卡怪物5_5_3</t>
  </si>
  <si>
    <t>挑战关卡怪物5_5_4</t>
  </si>
  <si>
    <t>Unit_Monster_Challenge1_1_1</t>
  </si>
  <si>
    <t>Unit_Monster_Challenge1_2_1</t>
  </si>
  <si>
    <t>Unit_Monster_Challenge1_3_1</t>
  </si>
  <si>
    <t>Unit_Monster_Challenge1_3_2</t>
  </si>
  <si>
    <t>Unit_Monster_Challenge1_4_1</t>
  </si>
  <si>
    <t>Unit_Monster_Challenge1_4_2</t>
  </si>
  <si>
    <t>Unit_Monster_Challenge1_5_1</t>
  </si>
  <si>
    <t>Unit_Monster_Challenge1_5_2</t>
  </si>
  <si>
    <t>Unit_Monster_Challenge2_1_1</t>
  </si>
  <si>
    <t>Unit_Monster_Challenge2_2_1</t>
  </si>
  <si>
    <t>Unit_Monster_Challenge2_2_2</t>
  </si>
  <si>
    <t>Unit_Monster_Challenge2_3_1</t>
  </si>
  <si>
    <t>Unit_Monster_Challenge2_3_2</t>
  </si>
  <si>
    <t>Unit_Monster_Challenge2_4_1</t>
  </si>
  <si>
    <t>Unit_Monster_Challenge2_4_2</t>
  </si>
  <si>
    <t>Unit_Monster_Challenge2_4_3</t>
  </si>
  <si>
    <t>Unit_Monster_Challenge2_5_1</t>
  </si>
  <si>
    <t>Unit_Monster_Challenge2_5_2</t>
  </si>
  <si>
    <t>Unit_Monster_Challenge2_5_3</t>
  </si>
  <si>
    <t>Unit_Monster_Challenge3_2_1</t>
  </si>
  <si>
    <t>Unit_Monster_Challenge3_2_2</t>
  </si>
  <si>
    <t>Unit_Monster_Challenge3_3_1</t>
  </si>
  <si>
    <t>Unit_Monster_Challenge3_3_2</t>
  </si>
  <si>
    <t>Unit_Monster_Challenge3_4_1</t>
  </si>
  <si>
    <t>Unit_Monster_Challenge3_4_2</t>
  </si>
  <si>
    <t>Unit_Monster_Challenge3_4_3</t>
  </si>
  <si>
    <t>Unit_Monster_Challenge3_5_1</t>
  </si>
  <si>
    <t>Unit_Monster_Challenge3_5_2</t>
  </si>
  <si>
    <t>Unit_Monster_Challenge3_5_3</t>
  </si>
  <si>
    <t>Unit_Monster_Challenge4_1_1</t>
  </si>
  <si>
    <t>Unit_Monster_Challenge4_2_1</t>
  </si>
  <si>
    <t>Unit_Monster_Challenge4_2_2</t>
  </si>
  <si>
    <t>Unit_Monster_Challenge4_3_1</t>
  </si>
  <si>
    <t>Unit_Monster_Challenge4_3_2</t>
  </si>
  <si>
    <t>Unit_Monster_Challenge4_4_1</t>
  </si>
  <si>
    <t>Unit_Monster_Challenge4_4_2</t>
  </si>
  <si>
    <t>Unit_Monster_Challenge4_5_1</t>
  </si>
  <si>
    <t>Unit_Monster_Challenge4_5_2</t>
  </si>
  <si>
    <t>Unit_Monster_Challenge5_2_1</t>
  </si>
  <si>
    <t>Unit_Monster_Challenge5_2_2</t>
  </si>
  <si>
    <t>Unit_Monster_Challenge5_3_1</t>
  </si>
  <si>
    <t>Unit_Monster_Challenge5_3_2</t>
  </si>
  <si>
    <t>Unit_Monster_Challenge5_3_3</t>
  </si>
  <si>
    <t>Unit_Monster_Challenge5_4_1</t>
  </si>
  <si>
    <t>Unit_Monster_Challenge5_4_2</t>
  </si>
  <si>
    <t>Unit_Monster_Challenge5_5_1</t>
  </si>
  <si>
    <t>Unit_Monster_Challenge5_5_2</t>
  </si>
  <si>
    <t>Unit_Monster_Challenge5_5_3</t>
  </si>
  <si>
    <t>Unit_Monster_Challenge5_5_4</t>
  </si>
  <si>
    <t>Monster_Infinite_1_1</t>
    <phoneticPr fontId="4" type="noConversion"/>
  </si>
  <si>
    <t>Unit_Monster_Challenge5_1_1</t>
    <phoneticPr fontId="4" type="noConversion"/>
  </si>
  <si>
    <t>Monster_Challenge1_1_1</t>
  </si>
  <si>
    <t>Monster_Challenge1_2_1</t>
  </si>
  <si>
    <t>Monster_Challenge1_3_1</t>
  </si>
  <si>
    <t>Monster_Challenge1_3_2</t>
  </si>
  <si>
    <t>Monster_Challenge1_4_1</t>
  </si>
  <si>
    <t>Monster_Challenge1_4_2</t>
  </si>
  <si>
    <t>Monster_Challenge1_5_1</t>
  </si>
  <si>
    <t>Monster_Challenge1_5_2</t>
  </si>
  <si>
    <t>Monster_Challenge2_1_1</t>
  </si>
  <si>
    <t>Monster_Challenge2_2_1</t>
  </si>
  <si>
    <t>Monster_Challenge2_2_2</t>
  </si>
  <si>
    <t>Monster_Challenge2_3_1</t>
  </si>
  <si>
    <t>Monster_Challenge2_3_2</t>
  </si>
  <si>
    <t>Monster_Challenge2_4_1</t>
  </si>
  <si>
    <t>Monster_Challenge2_4_2</t>
  </si>
  <si>
    <t>Monster_Challenge2_4_3</t>
  </si>
  <si>
    <t>Monster_Challenge2_5_1</t>
  </si>
  <si>
    <t>Monster_Challenge2_5_2</t>
  </si>
  <si>
    <t>Monster_Challenge2_5_3</t>
  </si>
  <si>
    <t>Monster_Challenge3_2_1</t>
  </si>
  <si>
    <t>Monster_Challenge3_2_2</t>
  </si>
  <si>
    <t>Monster_Challenge3_3_1</t>
  </si>
  <si>
    <t>Monster_Challenge3_3_2</t>
  </si>
  <si>
    <t>Monster_Challenge3_4_1</t>
  </si>
  <si>
    <t>Monster_Challenge3_4_2</t>
  </si>
  <si>
    <t>Monster_Challenge3_4_3</t>
  </si>
  <si>
    <t>Monster_Challenge3_5_1</t>
  </si>
  <si>
    <t>Monster_Challenge3_5_2</t>
  </si>
  <si>
    <t>Monster_Challenge3_5_3</t>
  </si>
  <si>
    <t>Monster_Challenge4_1_1</t>
  </si>
  <si>
    <t>Monster_Challenge4_2_1</t>
  </si>
  <si>
    <t>Monster_Challenge4_2_2</t>
  </si>
  <si>
    <t>Monster_Challenge4_3_1</t>
  </si>
  <si>
    <t>Monster_Challenge4_3_2</t>
  </si>
  <si>
    <t>Monster_Challenge4_4_1</t>
  </si>
  <si>
    <t>Monster_Challenge4_4_2</t>
  </si>
  <si>
    <t>Monster_Challenge4_5_1</t>
  </si>
  <si>
    <t>Monster_Challenge4_5_2</t>
  </si>
  <si>
    <t>Monster_Challenge5_1_1</t>
  </si>
  <si>
    <t>Monster_Challenge5_2_1</t>
  </si>
  <si>
    <t>Monster_Challenge5_2_2</t>
  </si>
  <si>
    <t>Monster_Challenge5_3_1</t>
  </si>
  <si>
    <t>Monster_Challenge5_3_2</t>
  </si>
  <si>
    <t>Monster_Challenge5_3_3</t>
  </si>
  <si>
    <t>Monster_Challenge5_4_1</t>
  </si>
  <si>
    <t>Monster_Challenge5_4_2</t>
  </si>
  <si>
    <t>Monster_Challenge5_5_1</t>
  </si>
  <si>
    <t>Monster_Challenge5_5_2</t>
  </si>
  <si>
    <t>Monster_Challenge5_5_3</t>
  </si>
  <si>
    <t>Monster_Challenge5_5_4</t>
  </si>
  <si>
    <t>Unit_Monster_Challenge3_1_1</t>
    <phoneticPr fontId="4" type="noConversion"/>
  </si>
  <si>
    <t>Monster_Challenge3_1_1</t>
    <phoneticPr fontId="4" type="noConversion"/>
  </si>
  <si>
    <t>挑战关卡怪物3_1_1</t>
    <phoneticPr fontId="4" type="noConversion"/>
  </si>
  <si>
    <t>Skill_Monster_Challenge3_1_1</t>
  </si>
  <si>
    <t>Skill_Monster_Challenge3_2_1</t>
  </si>
  <si>
    <t>Skill_Monster_Challenge3_3_1</t>
  </si>
  <si>
    <t>Skill_Monster_Challenge3_4_1</t>
  </si>
  <si>
    <t>Skill_Monster_Challenge3_5_1</t>
  </si>
  <si>
    <t>Skill_Monster_Challenge4_5_2</t>
  </si>
  <si>
    <t>Skill_Monster_Challenge5_5_3</t>
  </si>
  <si>
    <t>BuffAdd_Monster_Challenge3_1_1</t>
  </si>
  <si>
    <t>BuffAdd_Monster_Challenge3_2_1</t>
  </si>
  <si>
    <t>BuffAdd_Monster_Challenge3_3_1</t>
  </si>
  <si>
    <t>BuffAdd_Monster_Challenge3_4_1</t>
  </si>
  <si>
    <t>BuffAdd_Monster_Challenge3_5_1</t>
  </si>
  <si>
    <t>BuffAdd_Monster_Challenge4_5_2</t>
  </si>
  <si>
    <t>BuffAdd_Monster_Challenge5_5_3</t>
  </si>
  <si>
    <t>DamageUnit_Monster_Challenge3_1_1</t>
  </si>
  <si>
    <t>挑战关卡怪物恢复技能_固定回血</t>
  </si>
  <si>
    <t>DamageUnit_Monster_Challenge3_2_1</t>
  </si>
  <si>
    <t>DamageUnit_Monster_Challenge3_3_1</t>
  </si>
  <si>
    <t>DamageUnit_Monster_Challenge3_4_1</t>
  </si>
  <si>
    <t>DamageUnit_Monster_Challenge3_5_1</t>
  </si>
  <si>
    <t>DamageUnit_Monster_Challenge4_5_2</t>
  </si>
  <si>
    <t>DamageUnit_Monster_Challenge5_5_3</t>
  </si>
  <si>
    <t>最低过关要求：放任意塔</t>
    <phoneticPr fontId="4" type="noConversion"/>
  </si>
  <si>
    <t>最低过关要求：放减速塔</t>
  </si>
  <si>
    <t>最低过关要求：升级塔</t>
  </si>
  <si>
    <t>最低过关要求：升级塔+曲折路线</t>
    <phoneticPr fontId="4" type="noConversion"/>
  </si>
  <si>
    <t>最低过关要求：升级塔+曲折路线+改变塔位置</t>
    <phoneticPr fontId="4" type="noConversion"/>
  </si>
  <si>
    <t>Skill_Monster_Challenge4_1_1</t>
  </si>
  <si>
    <t>Skill_Monster_Challenge4_2_1</t>
  </si>
  <si>
    <t>Skill_Monster_Challenge4_3_1</t>
  </si>
  <si>
    <t>Skill_Monster_Challenge4_4_1</t>
  </si>
  <si>
    <t>Skill_Monster_Challenge4_5_1</t>
  </si>
  <si>
    <t>Skill_Monster_Challenge5_3_3</t>
  </si>
  <si>
    <t>Skill_Monster_Challenge5_4_2</t>
  </si>
  <si>
    <t>Skill_Monster_Challenge5_5_2</t>
  </si>
  <si>
    <t>挑战关卡怪物技能_回复</t>
    <phoneticPr fontId="4" type="noConversion"/>
  </si>
  <si>
    <t>挑战关卡怪物技能_隐身</t>
    <phoneticPr fontId="4" type="noConversion"/>
  </si>
  <si>
    <t>BuffAdd_Monster_Challenge4_1_1</t>
  </si>
  <si>
    <t>BuffAdd_Monster_Challenge4_2_1</t>
  </si>
  <si>
    <t>BuffAdd_Monster_Challenge4_3_1</t>
  </si>
  <si>
    <t>BuffAdd_Monster_Challenge4_4_1</t>
  </si>
  <si>
    <t>BuffAdd_Monster_Challenge4_5_1</t>
  </si>
  <si>
    <t>BuffAdd_Monster_Challenge5_3_3</t>
  </si>
  <si>
    <t>BuffAdd_Monster_Challenge5_4_2</t>
  </si>
  <si>
    <t>BuffAdd_Monster_Challenge5_5_2</t>
  </si>
  <si>
    <t>Skill_Monster_Challenge5_1_1</t>
  </si>
  <si>
    <t>Skill_Monster_Challenge5_2_1</t>
  </si>
  <si>
    <t>Skill_Monster_Challenge5_3_1</t>
  </si>
  <si>
    <t>Skill_Monster_Challenge5_4_1</t>
  </si>
  <si>
    <t>Skill_Monster_Challenge5_5_1</t>
  </si>
  <si>
    <t>Skill_Monster_Challenge5_5_4</t>
  </si>
  <si>
    <t>赛季</t>
    <phoneticPr fontId="4" type="noConversion"/>
  </si>
  <si>
    <t>活动</t>
    <phoneticPr fontId="4" type="noConversion"/>
  </si>
  <si>
    <t>总时长(单位秒,超出后失败)</t>
  </si>
  <si>
    <t>偷钱</t>
    <phoneticPr fontId="4" type="noConversion"/>
  </si>
  <si>
    <t>鸟1</t>
    <phoneticPr fontId="4" type="noConversion"/>
  </si>
  <si>
    <t>鸟2</t>
  </si>
  <si>
    <t>鸟2</t>
    <phoneticPr fontId="4" type="noConversion"/>
  </si>
  <si>
    <t>鸟3</t>
  </si>
  <si>
    <t>鸟3</t>
    <phoneticPr fontId="4" type="noConversion"/>
  </si>
  <si>
    <t>ResUnit_Niao1</t>
    <phoneticPr fontId="4" type="noConversion"/>
  </si>
  <si>
    <t>ResUnit_Niao2</t>
  </si>
  <si>
    <t>ResUnit_Niao3</t>
  </si>
  <si>
    <t>加速</t>
    <phoneticPr fontId="4" type="noConversion"/>
  </si>
  <si>
    <t>挑战关卡6</t>
  </si>
  <si>
    <t>挑战关卡7</t>
  </si>
  <si>
    <t>挑战关卡8</t>
  </si>
  <si>
    <t>挑战关卡9</t>
  </si>
  <si>
    <t>挑战关卡10</t>
  </si>
  <si>
    <t>TowerDefenseCfg_Challenge6</t>
  </si>
  <si>
    <t>TowerDefenseCfg_Challenge7</t>
  </si>
  <si>
    <t>TowerDefenseCfg_Challenge8</t>
  </si>
  <si>
    <t>TowerDefenseCfg_Challenge9</t>
  </si>
  <si>
    <t>TowerDefenseCfg_Challenge10</t>
  </si>
  <si>
    <t>BuyTowerRefreshRule_Challenge6</t>
  </si>
  <si>
    <t>MonsterWaveCallRule_Challenge6</t>
  </si>
  <si>
    <t>BuyTowerRefreshRule_Challenge7</t>
  </si>
  <si>
    <t>MonsterWaveCallRule_Challenge7</t>
  </si>
  <si>
    <t>BuyTowerRefreshRule_Challenge8</t>
  </si>
  <si>
    <t>MonsterWaveCallRule_Challenge8</t>
  </si>
  <si>
    <t>BuyTowerRefreshRule_Challenge9</t>
  </si>
  <si>
    <t>MonsterWaveCallRule_Challenge9</t>
  </si>
  <si>
    <t>BuyTowerRefreshRule_Challenge10</t>
  </si>
  <si>
    <t>MonsterWaveCallRule_Challenge10</t>
  </si>
  <si>
    <t>create_action_id</t>
    <phoneticPr fontId="4" type="noConversion"/>
  </si>
  <si>
    <t>生成时Action事件id（对应ActionConfig文件夹下表格）</t>
    <phoneticPr fontId="4" type="noConversion"/>
  </si>
  <si>
    <t>Unit_Monster_Challenge6_1_1</t>
  </si>
  <si>
    <t>Unit_Monster_Challenge6_1_2</t>
  </si>
  <si>
    <t>Unit_Monster_Challenge6_2_1</t>
  </si>
  <si>
    <t>Unit_Monster_Challenge6_2_2</t>
  </si>
  <si>
    <t>Unit_Monster_Challenge6_3_1</t>
  </si>
  <si>
    <t>Unit_Monster_Challenge6_3_2</t>
  </si>
  <si>
    <t>Unit_Monster_Challenge6_3_3</t>
  </si>
  <si>
    <t>Unit_Monster_Challenge6_4_1</t>
  </si>
  <si>
    <t>Unit_Monster_Challenge6_4_2</t>
  </si>
  <si>
    <t>Unit_Monster_Challenge6_4_3</t>
  </si>
  <si>
    <t>Unit_Monster_Challenge6_5_1</t>
  </si>
  <si>
    <t>Unit_Monster_Challenge6_5_2</t>
  </si>
  <si>
    <t>Unit_Monster_Challenge6_5_3</t>
  </si>
  <si>
    <t>Unit_Monster_Challenge7_1_1</t>
  </si>
  <si>
    <t>Unit_Monster_Challenge7_1_2</t>
  </si>
  <si>
    <t>Unit_Monster_Challenge7_2_1</t>
  </si>
  <si>
    <t>Unit_Monster_Challenge7_2_2</t>
  </si>
  <si>
    <t>Unit_Monster_Challenge7_2_3</t>
  </si>
  <si>
    <t>Unit_Monster_Challenge7_3_1</t>
  </si>
  <si>
    <t>Unit_Monster_Challenge7_3_2</t>
  </si>
  <si>
    <t>Unit_Monster_Challenge7_3_3</t>
  </si>
  <si>
    <t>Unit_Monster_Challenge7_4_1</t>
  </si>
  <si>
    <t>Unit_Monster_Challenge7_4_2</t>
  </si>
  <si>
    <t>Unit_Monster_Challenge7_4_3</t>
  </si>
  <si>
    <t>Unit_Monster_Challenge7_4_4</t>
  </si>
  <si>
    <t>Unit_Monster_Challenge7_5_1</t>
  </si>
  <si>
    <t>Unit_Monster_Challenge7_5_2</t>
  </si>
  <si>
    <t>Unit_Monster_Challenge7_5_3</t>
  </si>
  <si>
    <t>Unit_Monster_Challenge7_5_4</t>
  </si>
  <si>
    <t>Unit_Monster_Challenge8_1_1</t>
  </si>
  <si>
    <t>Unit_Monster_Challenge8_1_2</t>
  </si>
  <si>
    <t>Unit_Monster_Challenge8_2_1</t>
  </si>
  <si>
    <t>Unit_Monster_Challenge8_2_2</t>
  </si>
  <si>
    <t>Unit_Monster_Challenge8_2_3</t>
  </si>
  <si>
    <t>Unit_Monster_Challenge8_3_1</t>
  </si>
  <si>
    <t>Unit_Monster_Challenge8_3_2</t>
  </si>
  <si>
    <t>Unit_Monster_Challenge8_3_3</t>
  </si>
  <si>
    <t>Unit_Monster_Challenge8_4_1</t>
  </si>
  <si>
    <t>Unit_Monster_Challenge8_4_2</t>
  </si>
  <si>
    <t>Unit_Monster_Challenge8_4_3</t>
  </si>
  <si>
    <t>Unit_Monster_Challenge8_4_4</t>
  </si>
  <si>
    <t>Unit_Monster_Challenge8_5_1</t>
  </si>
  <si>
    <t>Unit_Monster_Challenge8_5_2</t>
  </si>
  <si>
    <t>Unit_Monster_Challenge8_5_3</t>
  </si>
  <si>
    <t>Unit_Monster_Challenge8_5_4</t>
  </si>
  <si>
    <t>Unit_Monster_Challenge9_1_1</t>
  </si>
  <si>
    <t>Unit_Monster_Challenge9_1_2</t>
  </si>
  <si>
    <t>Unit_Monster_Challenge9_2_1</t>
  </si>
  <si>
    <t>Unit_Monster_Challenge9_2_2</t>
  </si>
  <si>
    <t>Unit_Monster_Challenge9_2_3</t>
  </si>
  <si>
    <t>Unit_Monster_Challenge9_3_1</t>
  </si>
  <si>
    <t>Unit_Monster_Challenge9_3_2</t>
  </si>
  <si>
    <t>Unit_Monster_Challenge9_3_3</t>
  </si>
  <si>
    <t>Unit_Monster_Challenge9_4_1</t>
  </si>
  <si>
    <t>Unit_Monster_Challenge9_4_2</t>
  </si>
  <si>
    <t>Unit_Monster_Challenge9_4_3</t>
  </si>
  <si>
    <t>Unit_Monster_Challenge9_5_1</t>
  </si>
  <si>
    <t>Unit_Monster_Challenge9_5_2</t>
  </si>
  <si>
    <t>Unit_Monster_Challenge9_5_3</t>
  </si>
  <si>
    <t>Unit_Monster_Challenge10_1_1</t>
  </si>
  <si>
    <t>Unit_Monster_Challenge10_1_2</t>
  </si>
  <si>
    <t>Unit_Monster_Challenge10_2_1</t>
  </si>
  <si>
    <t>Unit_Monster_Challenge10_2_2</t>
  </si>
  <si>
    <t>Unit_Monster_Challenge10_2_3</t>
  </si>
  <si>
    <t>Unit_Monster_Challenge10_3_1</t>
  </si>
  <si>
    <t>Unit_Monster_Challenge10_3_2</t>
  </si>
  <si>
    <t>Unit_Monster_Challenge10_3_3</t>
  </si>
  <si>
    <t>Unit_Monster_Challenge10_3_4</t>
  </si>
  <si>
    <t>Unit_Monster_Challenge10_4_1</t>
  </si>
  <si>
    <t>Unit_Monster_Challenge10_4_2</t>
  </si>
  <si>
    <t>Unit_Monster_Challenge10_4_3</t>
  </si>
  <si>
    <t>Unit_Monster_Challenge10_5_1</t>
  </si>
  <si>
    <t>Unit_Monster_Challenge10_5_2</t>
  </si>
  <si>
    <t>Unit_Monster_Challenge10_5_3</t>
  </si>
  <si>
    <t>Unit_Monster_Challenge10_5_4</t>
  </si>
  <si>
    <t>挑战关卡怪物6_1_1</t>
  </si>
  <si>
    <t>挑战关卡怪物6_1_2</t>
  </si>
  <si>
    <t>挑战关卡怪物6_2_1</t>
  </si>
  <si>
    <t>挑战关卡怪物6_2_2</t>
  </si>
  <si>
    <t>挑战关卡怪物6_3_1</t>
  </si>
  <si>
    <t>挑战关卡怪物6_3_2</t>
  </si>
  <si>
    <t>挑战关卡怪物6_3_3</t>
  </si>
  <si>
    <t>挑战关卡怪物6_4_1</t>
  </si>
  <si>
    <t>挑战关卡怪物6_4_2</t>
  </si>
  <si>
    <t>挑战关卡怪物6_4_3</t>
  </si>
  <si>
    <t>挑战关卡怪物6_5_1</t>
  </si>
  <si>
    <t>挑战关卡怪物6_5_2</t>
  </si>
  <si>
    <t>挑战关卡怪物6_5_3</t>
  </si>
  <si>
    <t>挑战关卡怪物7_1_1</t>
  </si>
  <si>
    <t>挑战关卡怪物7_1_2</t>
  </si>
  <si>
    <t>挑战关卡怪物7_2_1</t>
  </si>
  <si>
    <t>挑战关卡怪物7_2_2</t>
  </si>
  <si>
    <t>挑战关卡怪物7_2_3</t>
  </si>
  <si>
    <t>挑战关卡怪物7_3_1</t>
  </si>
  <si>
    <t>挑战关卡怪物7_3_2</t>
  </si>
  <si>
    <t>挑战关卡怪物7_3_3</t>
  </si>
  <si>
    <t>挑战关卡怪物7_4_1</t>
  </si>
  <si>
    <t>挑战关卡怪物7_4_2</t>
  </si>
  <si>
    <t>挑战关卡怪物7_4_3</t>
  </si>
  <si>
    <t>挑战关卡怪物7_4_4</t>
  </si>
  <si>
    <t>挑战关卡怪物7_5_1</t>
  </si>
  <si>
    <t>挑战关卡怪物7_5_2</t>
  </si>
  <si>
    <t>挑战关卡怪物7_5_3</t>
  </si>
  <si>
    <t>挑战关卡怪物7_5_4</t>
  </si>
  <si>
    <t>挑战关卡怪物8_1_1</t>
  </si>
  <si>
    <t>挑战关卡怪物8_1_2</t>
  </si>
  <si>
    <t>挑战关卡怪物8_2_1</t>
  </si>
  <si>
    <t>挑战关卡怪物8_2_2</t>
  </si>
  <si>
    <t>挑战关卡怪物8_2_3</t>
  </si>
  <si>
    <t>挑战关卡怪物8_3_1</t>
  </si>
  <si>
    <t>挑战关卡怪物8_3_2</t>
  </si>
  <si>
    <t>挑战关卡怪物8_3_3</t>
  </si>
  <si>
    <t>挑战关卡怪物8_4_1</t>
  </si>
  <si>
    <t>挑战关卡怪物8_4_2</t>
  </si>
  <si>
    <t>挑战关卡怪物8_4_3</t>
  </si>
  <si>
    <t>挑战关卡怪物8_4_4</t>
  </si>
  <si>
    <t>挑战关卡怪物8_5_1</t>
  </si>
  <si>
    <t>挑战关卡怪物8_5_2</t>
  </si>
  <si>
    <t>挑战关卡怪物8_5_3</t>
  </si>
  <si>
    <t>挑战关卡怪物8_5_4</t>
  </si>
  <si>
    <t>挑战关卡怪物9_1_1</t>
  </si>
  <si>
    <t>挑战关卡怪物9_1_2</t>
  </si>
  <si>
    <t>挑战关卡怪物9_2_1</t>
  </si>
  <si>
    <t>挑战关卡怪物9_2_2</t>
  </si>
  <si>
    <t>挑战关卡怪物9_2_3</t>
  </si>
  <si>
    <t>挑战关卡怪物9_3_1</t>
  </si>
  <si>
    <t>挑战关卡怪物9_3_2</t>
  </si>
  <si>
    <t>挑战关卡怪物9_3_3</t>
  </si>
  <si>
    <t>挑战关卡怪物9_4_1</t>
  </si>
  <si>
    <t>挑战关卡怪物9_4_2</t>
  </si>
  <si>
    <t>挑战关卡怪物9_4_3</t>
  </si>
  <si>
    <t>挑战关卡怪物9_5_1</t>
  </si>
  <si>
    <t>挑战关卡怪物9_5_2</t>
  </si>
  <si>
    <t>挑战关卡怪物9_5_3</t>
  </si>
  <si>
    <t>挑战关卡怪物10_1_1</t>
  </si>
  <si>
    <t>挑战关卡怪物10_1_2</t>
  </si>
  <si>
    <t>挑战关卡怪物10_2_1</t>
  </si>
  <si>
    <t>挑战关卡怪物10_2_2</t>
  </si>
  <si>
    <t>挑战关卡怪物10_2_3</t>
  </si>
  <si>
    <t>挑战关卡怪物10_3_1</t>
  </si>
  <si>
    <t>挑战关卡怪物10_3_2</t>
  </si>
  <si>
    <t>挑战关卡怪物10_3_3</t>
  </si>
  <si>
    <t>挑战关卡怪物10_3_4</t>
  </si>
  <si>
    <t>挑战关卡怪物10_4_1</t>
  </si>
  <si>
    <t>挑战关卡怪物10_4_2</t>
  </si>
  <si>
    <t>挑战关卡怪物10_4_3</t>
  </si>
  <si>
    <t>挑战关卡怪物10_5_1</t>
  </si>
  <si>
    <t>挑战关卡怪物10_5_2</t>
  </si>
  <si>
    <t>挑战关卡怪物10_5_3</t>
  </si>
  <si>
    <t>挑战关卡怪物10_5_4</t>
  </si>
  <si>
    <t>Monster_Challenge6_1_1</t>
  </si>
  <si>
    <t>Monster_Challenge6_1_2</t>
  </si>
  <si>
    <t>Monster_Challenge6_2_1</t>
  </si>
  <si>
    <t>Monster_Challenge6_2_2</t>
  </si>
  <si>
    <t>Monster_Challenge6_3_1</t>
  </si>
  <si>
    <t>Monster_Challenge6_3_2</t>
  </si>
  <si>
    <t>Monster_Challenge6_3_3</t>
  </si>
  <si>
    <t>Monster_Challenge6_4_1</t>
  </si>
  <si>
    <t>Monster_Challenge6_4_2</t>
  </si>
  <si>
    <t>Monster_Challenge6_4_3</t>
  </si>
  <si>
    <t>Monster_Challenge6_5_1</t>
  </si>
  <si>
    <t>Monster_Challenge6_5_2</t>
  </si>
  <si>
    <t>Monster_Challenge6_5_3</t>
  </si>
  <si>
    <t>Monster_Challenge7_1_1</t>
  </si>
  <si>
    <t>Monster_Challenge7_1_2</t>
  </si>
  <si>
    <t>Monster_Challenge7_2_1</t>
  </si>
  <si>
    <t>Monster_Challenge7_2_2</t>
  </si>
  <si>
    <t>Monster_Challenge7_2_3</t>
  </si>
  <si>
    <t>Monster_Challenge7_3_1</t>
  </si>
  <si>
    <t>Monster_Challenge7_3_2</t>
  </si>
  <si>
    <t>Monster_Challenge7_3_3</t>
  </si>
  <si>
    <t>Monster_Challenge7_4_1</t>
  </si>
  <si>
    <t>Monster_Challenge7_4_2</t>
  </si>
  <si>
    <t>Monster_Challenge7_4_3</t>
  </si>
  <si>
    <t>Monster_Challenge7_4_4</t>
  </si>
  <si>
    <t>Monster_Challenge7_5_1</t>
  </si>
  <si>
    <t>Monster_Challenge7_5_2</t>
  </si>
  <si>
    <t>Monster_Challenge7_5_3</t>
  </si>
  <si>
    <t>Monster_Challenge7_5_4</t>
  </si>
  <si>
    <t>Monster_Challenge8_1_1</t>
  </si>
  <si>
    <t>Monster_Challenge8_1_2</t>
  </si>
  <si>
    <t>Monster_Challenge8_2_1</t>
  </si>
  <si>
    <t>Monster_Challenge8_2_2</t>
  </si>
  <si>
    <t>Monster_Challenge8_2_3</t>
  </si>
  <si>
    <t>Monster_Challenge8_3_1</t>
  </si>
  <si>
    <t>Monster_Challenge8_3_2</t>
  </si>
  <si>
    <t>Monster_Challenge8_3_3</t>
  </si>
  <si>
    <t>Monster_Challenge8_4_1</t>
  </si>
  <si>
    <t>Monster_Challenge8_4_2</t>
  </si>
  <si>
    <t>Monster_Challenge8_4_3</t>
  </si>
  <si>
    <t>Monster_Challenge8_4_4</t>
  </si>
  <si>
    <t>Monster_Challenge8_5_1</t>
  </si>
  <si>
    <t>Monster_Challenge8_5_2</t>
  </si>
  <si>
    <t>Monster_Challenge8_5_3</t>
  </si>
  <si>
    <t>Monster_Challenge8_5_4</t>
  </si>
  <si>
    <t>Monster_Challenge9_1_1</t>
  </si>
  <si>
    <t>Monster_Challenge9_1_2</t>
  </si>
  <si>
    <t>Monster_Challenge9_2_1</t>
  </si>
  <si>
    <t>Monster_Challenge9_2_2</t>
  </si>
  <si>
    <t>Monster_Challenge9_2_3</t>
  </si>
  <si>
    <t>Monster_Challenge9_3_1</t>
  </si>
  <si>
    <t>Monster_Challenge9_3_2</t>
  </si>
  <si>
    <t>Monster_Challenge9_3_3</t>
  </si>
  <si>
    <t>Monster_Challenge9_4_1</t>
  </si>
  <si>
    <t>Monster_Challenge9_4_2</t>
  </si>
  <si>
    <t>Monster_Challenge9_4_3</t>
  </si>
  <si>
    <t>Monster_Challenge9_5_1</t>
  </si>
  <si>
    <t>Monster_Challenge9_5_2</t>
  </si>
  <si>
    <t>Monster_Challenge9_5_3</t>
  </si>
  <si>
    <t>Monster_Challenge10_1_1</t>
  </si>
  <si>
    <t>Monster_Challenge10_1_2</t>
  </si>
  <si>
    <t>Monster_Challenge10_2_1</t>
  </si>
  <si>
    <t>Monster_Challenge10_2_2</t>
  </si>
  <si>
    <t>Monster_Challenge10_2_3</t>
  </si>
  <si>
    <t>Monster_Challenge10_3_1</t>
  </si>
  <si>
    <t>Monster_Challenge10_3_2</t>
  </si>
  <si>
    <t>Monster_Challenge10_3_3</t>
  </si>
  <si>
    <t>Monster_Challenge10_3_4</t>
  </si>
  <si>
    <t>Monster_Challenge10_4_1</t>
  </si>
  <si>
    <t>Monster_Challenge10_4_2</t>
  </si>
  <si>
    <t>Monster_Challenge10_4_3</t>
  </si>
  <si>
    <t>Monster_Challenge10_5_1</t>
  </si>
  <si>
    <t>Monster_Challenge10_5_2</t>
  </si>
  <si>
    <t>Monster_Challenge10_5_3</t>
  </si>
  <si>
    <t>Monster_Challenge10_5_4</t>
  </si>
  <si>
    <t>挑战模式怪物6_1_1</t>
  </si>
  <si>
    <t>挑战模式怪物6_1_2</t>
  </si>
  <si>
    <t>挑战模式怪物6_2_1</t>
  </si>
  <si>
    <t>挑战模式怪物6_2_2</t>
  </si>
  <si>
    <t>挑战模式怪物6_3_1</t>
  </si>
  <si>
    <t>挑战模式怪物6_3_2</t>
  </si>
  <si>
    <t>挑战模式怪物6_3_3</t>
  </si>
  <si>
    <t>挑战模式怪物6_4_1</t>
  </si>
  <si>
    <t>挑战模式怪物6_4_2</t>
  </si>
  <si>
    <t>挑战模式怪物6_4_3</t>
  </si>
  <si>
    <t>挑战模式怪物6_5_1</t>
  </si>
  <si>
    <t>挑战模式怪物6_5_2</t>
  </si>
  <si>
    <t>挑战模式怪物6_5_3</t>
  </si>
  <si>
    <t>挑战模式怪物7_1_1</t>
  </si>
  <si>
    <t>挑战模式怪物7_1_2</t>
  </si>
  <si>
    <t>挑战模式怪物7_2_1</t>
  </si>
  <si>
    <t>挑战模式怪物7_2_2</t>
  </si>
  <si>
    <t>挑战模式怪物7_2_3</t>
  </si>
  <si>
    <t>挑战模式怪物7_3_1</t>
  </si>
  <si>
    <t>挑战模式怪物7_3_2</t>
  </si>
  <si>
    <t>挑战模式怪物7_3_3</t>
  </si>
  <si>
    <t>挑战模式怪物7_4_1</t>
  </si>
  <si>
    <t>挑战模式怪物7_4_2</t>
  </si>
  <si>
    <t>挑战模式怪物7_4_3</t>
  </si>
  <si>
    <t>挑战模式怪物7_4_4</t>
  </si>
  <si>
    <t>挑战模式怪物7_5_1</t>
  </si>
  <si>
    <t>挑战模式怪物7_5_2</t>
  </si>
  <si>
    <t>挑战模式怪物7_5_3</t>
  </si>
  <si>
    <t>挑战模式怪物7_5_4</t>
  </si>
  <si>
    <t>挑战模式怪物8_1_1</t>
  </si>
  <si>
    <t>挑战模式怪物8_1_2</t>
  </si>
  <si>
    <t>挑战模式怪物8_2_1</t>
  </si>
  <si>
    <t>挑战模式怪物8_2_2</t>
  </si>
  <si>
    <t>挑战模式怪物8_2_3</t>
  </si>
  <si>
    <t>挑战模式怪物8_3_1</t>
  </si>
  <si>
    <t>挑战模式怪物8_3_2</t>
  </si>
  <si>
    <t>挑战模式怪物8_3_3</t>
  </si>
  <si>
    <t>挑战模式怪物8_4_1</t>
  </si>
  <si>
    <t>挑战模式怪物8_4_2</t>
  </si>
  <si>
    <t>挑战模式怪物8_4_3</t>
  </si>
  <si>
    <t>挑战模式怪物8_4_4</t>
  </si>
  <si>
    <t>挑战模式怪物8_5_1</t>
  </si>
  <si>
    <t>挑战模式怪物8_5_2</t>
  </si>
  <si>
    <t>挑战模式怪物8_5_3</t>
  </si>
  <si>
    <t>挑战模式怪物8_5_4</t>
  </si>
  <si>
    <t>挑战模式怪物9_1_1</t>
  </si>
  <si>
    <t>挑战模式怪物9_1_2</t>
  </si>
  <si>
    <t>挑战模式怪物9_2_1</t>
  </si>
  <si>
    <t>挑战模式怪物9_2_2</t>
  </si>
  <si>
    <t>挑战模式怪物9_2_3</t>
  </si>
  <si>
    <t>挑战模式怪物9_3_1</t>
  </si>
  <si>
    <t>挑战模式怪物9_3_2</t>
  </si>
  <si>
    <t>挑战模式怪物9_3_3</t>
  </si>
  <si>
    <t>挑战模式怪物9_4_1</t>
  </si>
  <si>
    <t>挑战模式怪物9_4_2</t>
  </si>
  <si>
    <t>挑战模式怪物9_4_3</t>
  </si>
  <si>
    <t>挑战模式怪物9_5_1</t>
  </si>
  <si>
    <t>挑战模式怪物9_5_2</t>
  </si>
  <si>
    <t>挑战模式怪物9_5_3</t>
  </si>
  <si>
    <t>挑战模式怪物10_1_1</t>
  </si>
  <si>
    <t>挑战模式怪物10_1_2</t>
  </si>
  <si>
    <t>挑战模式怪物10_2_1</t>
  </si>
  <si>
    <t>挑战模式怪物10_2_2</t>
  </si>
  <si>
    <t>挑战模式怪物10_2_3</t>
  </si>
  <si>
    <t>挑战模式怪物10_3_1</t>
  </si>
  <si>
    <t>挑战模式怪物10_3_2</t>
  </si>
  <si>
    <t>挑战模式怪物10_3_3</t>
  </si>
  <si>
    <t>挑战模式怪物10_3_4</t>
  </si>
  <si>
    <t>挑战模式怪物10_4_1</t>
  </si>
  <si>
    <t>挑战模式怪物10_4_2</t>
  </si>
  <si>
    <t>挑战模式怪物10_4_3</t>
  </si>
  <si>
    <t>挑战模式怪物10_5_1</t>
  </si>
  <si>
    <t>挑战模式怪物10_5_2</t>
  </si>
  <si>
    <t>挑战模式怪物10_5_3</t>
  </si>
  <si>
    <t>挑战模式怪物10_5_4</t>
  </si>
  <si>
    <t>Skill_Monster_Challenge_Niao1</t>
  </si>
  <si>
    <t>挑战关卡怪物技能_加速</t>
    <phoneticPr fontId="4" type="noConversion"/>
  </si>
  <si>
    <t>BuffAdd_Monster_Challenge_Niao1</t>
    <phoneticPr fontId="4" type="noConversion"/>
  </si>
  <si>
    <t>Skill_Monster_Challenge_Niao2</t>
  </si>
  <si>
    <t>BuffAdd_Monster_Challenge_Niao2</t>
  </si>
  <si>
    <t>Skill_Monster_Challenge_Niao3</t>
  </si>
  <si>
    <t>BuffAdd_Monster_Challenge_Niao3</t>
  </si>
  <si>
    <t>加速怪</t>
    <phoneticPr fontId="4" type="noConversion"/>
  </si>
  <si>
    <t>循环</t>
    <phoneticPr fontId="4" type="noConversion"/>
  </si>
  <si>
    <t>毒</t>
    <phoneticPr fontId="4" type="noConversion"/>
  </si>
  <si>
    <t>目标</t>
    <phoneticPr fontId="4" type="noConversion"/>
  </si>
  <si>
    <t>总金币</t>
    <phoneticPr fontId="4" type="noConversion"/>
  </si>
  <si>
    <t>过关金币</t>
    <phoneticPr fontId="4" type="noConversion"/>
  </si>
  <si>
    <t>杀敌金币</t>
    <phoneticPr fontId="4" type="noConversion"/>
  </si>
  <si>
    <t>3级塔特性</t>
    <phoneticPr fontId="4" type="noConversion"/>
  </si>
  <si>
    <t>爆炸加大、新特效</t>
    <phoneticPr fontId="4" type="noConversion"/>
  </si>
  <si>
    <t>点燃敌人</t>
    <phoneticPr fontId="4" type="noConversion"/>
  </si>
  <si>
    <t>全范围毒</t>
    <phoneticPr fontId="4" type="noConversion"/>
  </si>
  <si>
    <t>变2个目标</t>
    <phoneticPr fontId="4" type="noConversion"/>
  </si>
  <si>
    <t>大范围</t>
    <phoneticPr fontId="4" type="noConversion"/>
  </si>
  <si>
    <t>最大目标</t>
    <phoneticPr fontId="4" type="noConversion"/>
  </si>
  <si>
    <t>可暴击，新特效</t>
    <phoneticPr fontId="4" type="noConversion"/>
  </si>
  <si>
    <t>暴击伤害(N%)（最终伤害=1+N%）</t>
    <phoneticPr fontId="4" type="noConversion"/>
  </si>
  <si>
    <t>3级暴击率/爆伤</t>
    <phoneticPr fontId="4" type="noConversion"/>
  </si>
  <si>
    <t>DamageUnit_Attribute_Buff_Line3_Fire</t>
    <phoneticPr fontId="4" type="noConversion"/>
  </si>
  <si>
    <t>按照属性进行计算（毒）_火焰塔LV3</t>
    <phoneticPr fontId="4" type="noConversion"/>
  </si>
  <si>
    <t>参数1</t>
    <phoneticPr fontId="4" type="noConversion"/>
  </si>
  <si>
    <t>参数2</t>
  </si>
  <si>
    <t>参数3</t>
  </si>
  <si>
    <t>参数4</t>
  </si>
  <si>
    <t>远处增伤率lv1/2/3</t>
    <phoneticPr fontId="4" type="noConversion"/>
  </si>
  <si>
    <t>低处增伤率lv1/2/3</t>
    <phoneticPr fontId="4" type="noConversion"/>
  </si>
  <si>
    <t>减速率lv1/2/3</t>
    <phoneticPr fontId="4" type="noConversion"/>
  </si>
  <si>
    <t>CD减少lv1/2/3</t>
    <phoneticPr fontId="4" type="noConversion"/>
  </si>
  <si>
    <t>3级灼烧总伤害/总时间/间隔/属性倍率</t>
    <phoneticPr fontId="4" type="noConversion"/>
  </si>
  <si>
    <t>3连发</t>
    <phoneticPr fontId="4" type="noConversion"/>
  </si>
  <si>
    <t>同时攻击3个</t>
    <phoneticPr fontId="4" type="noConversion"/>
  </si>
  <si>
    <t>玩家类型</t>
    <phoneticPr fontId="4" type="noConversion"/>
  </si>
  <si>
    <t>技巧</t>
    <phoneticPr fontId="4" type="noConversion"/>
  </si>
  <si>
    <t>低</t>
    <phoneticPr fontId="4" type="noConversion"/>
  </si>
  <si>
    <t>中</t>
    <phoneticPr fontId="4" type="noConversion"/>
  </si>
  <si>
    <t>高</t>
    <phoneticPr fontId="4" type="noConversion"/>
  </si>
  <si>
    <t>时间</t>
    <phoneticPr fontId="4" type="noConversion"/>
  </si>
  <si>
    <t>金钱</t>
    <phoneticPr fontId="4" type="noConversion"/>
  </si>
  <si>
    <t>匹配的游戏内容</t>
    <phoneticPr fontId="4" type="noConversion"/>
  </si>
  <si>
    <t>技巧低</t>
    <phoneticPr fontId="4" type="noConversion"/>
  </si>
  <si>
    <t>技巧中</t>
    <phoneticPr fontId="4" type="noConversion"/>
  </si>
  <si>
    <t>技巧高</t>
    <phoneticPr fontId="4" type="noConversion"/>
  </si>
  <si>
    <t>抵达内容的时间</t>
    <phoneticPr fontId="4" type="noConversion"/>
  </si>
  <si>
    <t>可玩时间</t>
    <phoneticPr fontId="4" type="noConversion"/>
  </si>
  <si>
    <t>挑战</t>
    <phoneticPr fontId="4" type="noConversion"/>
  </si>
  <si>
    <t>新手+挑战1</t>
    <phoneticPr fontId="4" type="noConversion"/>
  </si>
  <si>
    <t>匹配方法</t>
    <phoneticPr fontId="4" type="noConversion"/>
  </si>
  <si>
    <t>自主选择</t>
    <phoneticPr fontId="4" type="noConversion"/>
  </si>
  <si>
    <t>能力筛选</t>
    <phoneticPr fontId="4" type="noConversion"/>
  </si>
  <si>
    <t>星级</t>
    <phoneticPr fontId="4" type="noConversion"/>
  </si>
  <si>
    <t>最快抵达内容/打击自信/难度阶梯式</t>
    <phoneticPr fontId="4" type="noConversion"/>
  </si>
  <si>
    <t>可玩时间短/必能达到适应难度/能跟随玩家成长</t>
    <phoneticPr fontId="4" type="noConversion"/>
  </si>
  <si>
    <t>最快抵达内容/难度阶梯式/关卡变化小，难度不好控制</t>
    <phoneticPr fontId="4" type="noConversion"/>
  </si>
  <si>
    <t>奖励</t>
    <phoneticPr fontId="4" type="noConversion"/>
  </si>
  <si>
    <t>卡牌</t>
    <phoneticPr fontId="4" type="noConversion"/>
  </si>
  <si>
    <t>简单关卡缩短/活动关卡难度提升/高难关卡挑战时长增加</t>
    <phoneticPr fontId="4" type="noConversion"/>
  </si>
  <si>
    <t>玩家旅程</t>
    <phoneticPr fontId="4" type="noConversion"/>
  </si>
  <si>
    <t>引导</t>
    <phoneticPr fontId="4" type="noConversion"/>
  </si>
  <si>
    <t>设计不同的关卡特色</t>
    <phoneticPr fontId="4" type="noConversion"/>
  </si>
  <si>
    <t>每个关卡都有3种模式</t>
    <phoneticPr fontId="4" type="noConversion"/>
  </si>
  <si>
    <t>不断出现新关卡</t>
    <phoneticPr fontId="4" type="noConversion"/>
  </si>
  <si>
    <t>总览</t>
    <phoneticPr fontId="4" type="noConversion"/>
  </si>
  <si>
    <t>…</t>
    <phoneticPr fontId="4" type="noConversion"/>
  </si>
  <si>
    <t>单体群体搭配</t>
    <phoneticPr fontId="4" type="noConversion"/>
  </si>
  <si>
    <t>单体+群体怪</t>
    <phoneticPr fontId="4" type="noConversion"/>
  </si>
  <si>
    <t>升级</t>
    <phoneticPr fontId="4" type="noConversion"/>
  </si>
  <si>
    <t>毒雾-隐身</t>
    <phoneticPr fontId="4" type="noConversion"/>
  </si>
  <si>
    <t>龙-花</t>
    <phoneticPr fontId="4" type="noConversion"/>
  </si>
  <si>
    <t>远程炮台-弱化</t>
    <phoneticPr fontId="4" type="noConversion"/>
  </si>
  <si>
    <t>怪物对策</t>
    <phoneticPr fontId="4" type="noConversion"/>
  </si>
  <si>
    <t>路线设计要求</t>
    <phoneticPr fontId="4" type="noConversion"/>
  </si>
  <si>
    <t>火塔-直线</t>
    <phoneticPr fontId="4" type="noConversion"/>
  </si>
  <si>
    <t>毒雾-环形</t>
    <phoneticPr fontId="4" type="noConversion"/>
  </si>
  <si>
    <t>雷电-高台</t>
    <phoneticPr fontId="4" type="noConversion"/>
  </si>
  <si>
    <t>组合考验</t>
    <phoneticPr fontId="4" type="noConversion"/>
  </si>
  <si>
    <t>花+隐身</t>
    <phoneticPr fontId="4" type="noConversion"/>
  </si>
  <si>
    <t>花+弱化</t>
    <phoneticPr fontId="4" type="noConversion"/>
  </si>
  <si>
    <t>max塔</t>
    <phoneticPr fontId="4" type="noConversion"/>
  </si>
  <si>
    <t>可用塔</t>
    <phoneticPr fontId="4" type="noConversion"/>
  </si>
  <si>
    <t>弩箭/加农</t>
    <phoneticPr fontId="4" type="noConversion"/>
  </si>
  <si>
    <t>进阶怪物</t>
    <phoneticPr fontId="4" type="noConversion"/>
  </si>
  <si>
    <t>弩箭/加农/减速</t>
    <phoneticPr fontId="4" type="noConversion"/>
  </si>
  <si>
    <t>蜜蜂/蝙蝠/蛋</t>
    <phoneticPr fontId="4" type="noConversion"/>
  </si>
  <si>
    <t>蜜蜂2/蝙蝠2/蛋/蜘蛛</t>
    <phoneticPr fontId="4" type="noConversion"/>
  </si>
  <si>
    <t>弩箭/毒雾/减速</t>
    <phoneticPr fontId="4" type="noConversion"/>
  </si>
  <si>
    <t>弩箭/毒雾/减速/龙</t>
    <phoneticPr fontId="4" type="noConversion"/>
  </si>
  <si>
    <t>蜜蜂2/蝙蝠2/蛋/蜘蛛/花</t>
    <phoneticPr fontId="4" type="noConversion"/>
  </si>
  <si>
    <t>弩箭/火焰/减速/龙</t>
    <phoneticPr fontId="4" type="noConversion"/>
  </si>
  <si>
    <t>弩箭/加农/减速/龙/毒雾</t>
    <phoneticPr fontId="4" type="noConversion"/>
  </si>
  <si>
    <t>蜜蜂2/蝙蝠2/蛋/蜘蛛/鬼</t>
    <phoneticPr fontId="4" type="noConversion"/>
  </si>
  <si>
    <t>雷电/加农/减速/毒雾/火焰</t>
    <phoneticPr fontId="4" type="noConversion"/>
  </si>
  <si>
    <t>蜜蜂2/蝙蝠2/蛋/蜘蛛2</t>
    <phoneticPr fontId="4" type="noConversion"/>
  </si>
  <si>
    <t>弩箭/雷电/加农/减速/毒雾/火焰/龙</t>
    <phoneticPr fontId="4" type="noConversion"/>
  </si>
  <si>
    <t>蜜蜂2/蝙蝠2/蛋/蜘蛛2/弱化</t>
    <phoneticPr fontId="4" type="noConversion"/>
  </si>
  <si>
    <t>全部</t>
    <phoneticPr fontId="4" type="noConversion"/>
  </si>
  <si>
    <t>蜜蜂2/蝙蝠2/蛋/蜘蛛2/花/隐身</t>
    <phoneticPr fontId="4" type="noConversion"/>
  </si>
  <si>
    <t>蜜蜂2/蝙蝠2/蛋/蜘蛛2/花/弱化</t>
    <phoneticPr fontId="4" type="noConversion"/>
  </si>
  <si>
    <t>群体</t>
    <phoneticPr fontId="4" type="noConversion"/>
  </si>
  <si>
    <t>单体</t>
    <phoneticPr fontId="4" type="noConversion"/>
  </si>
  <si>
    <t>TowerDefenseCfgTutorialFirst</t>
  </si>
  <si>
    <t>新手引导</t>
    <phoneticPr fontId="4" type="noConversion"/>
  </si>
  <si>
    <t>BuyTowerRefreshRule_TutorialFirst</t>
  </si>
  <si>
    <t>MonsterWaveCallRule_TutorialFirst</t>
  </si>
  <si>
    <t>Unit_Monster_Tutorial_1_1</t>
  </si>
  <si>
    <t>Unit_Monster_Tutorial_2_1</t>
  </si>
  <si>
    <t>Unit_Monster_Tutorial_3_1</t>
  </si>
  <si>
    <t>Unit_Monster_Tutorial_3_2</t>
  </si>
  <si>
    <t>Unit_Monster_Tutorial_3_3</t>
  </si>
  <si>
    <t>Monster_Tutorial_1_1</t>
  </si>
  <si>
    <t>Monster_Tutorial_2_1</t>
  </si>
  <si>
    <t>Monster_Tutorial_3_1</t>
  </si>
  <si>
    <t>Monster_Tutorial_3_2</t>
  </si>
  <si>
    <t>新手关卡怪物1_1</t>
  </si>
  <si>
    <t>新手关卡怪物2_1</t>
  </si>
  <si>
    <t>新手关卡怪物2_2</t>
  </si>
  <si>
    <t>新手关卡怪物3_1</t>
  </si>
  <si>
    <t>新手关卡怪物3_2</t>
  </si>
  <si>
    <t>Monster_Tutorial_1_1</t>
    <phoneticPr fontId="4" type="noConversion"/>
  </si>
  <si>
    <t>Monster_Tutorial_3_3</t>
  </si>
  <si>
    <t>新手关卡怪物1_1_1</t>
    <phoneticPr fontId="4" type="noConversion"/>
  </si>
  <si>
    <t>新手关卡怪物1_2_1</t>
  </si>
  <si>
    <t>新手关卡怪物1_3_1</t>
  </si>
  <si>
    <t>新手关卡怪物1_3_2</t>
  </si>
  <si>
    <t>新手关卡怪物1_4_1</t>
  </si>
  <si>
    <t>游戏框架</t>
    <phoneticPr fontId="4" type="noConversion"/>
  </si>
  <si>
    <t>核心玩法</t>
    <phoneticPr fontId="4" type="noConversion"/>
  </si>
  <si>
    <t>操作</t>
    <phoneticPr fontId="4" type="noConversion"/>
  </si>
  <si>
    <t>策略</t>
    <phoneticPr fontId="4" type="noConversion"/>
  </si>
  <si>
    <t>运气</t>
    <phoneticPr fontId="4" type="noConversion"/>
  </si>
  <si>
    <t>相关机制</t>
    <phoneticPr fontId="4" type="noConversion"/>
  </si>
  <si>
    <t>拖动塔</t>
    <phoneticPr fontId="4" type="noConversion"/>
  </si>
  <si>
    <t>金币</t>
    <phoneticPr fontId="4" type="noConversion"/>
  </si>
  <si>
    <t>宝箱怪，初始无敌，移动一段距离后虚弱</t>
    <phoneticPr fontId="4" type="noConversion"/>
  </si>
  <si>
    <t>道具</t>
    <phoneticPr fontId="4" type="noConversion"/>
  </si>
  <si>
    <t>生存</t>
    <phoneticPr fontId="4" type="noConversion"/>
  </si>
  <si>
    <t>在场景中释放各类道具，位置和时机带来巨大收益变化</t>
    <phoneticPr fontId="4" type="noConversion"/>
  </si>
  <si>
    <t>更强的阵容</t>
    <phoneticPr fontId="4" type="noConversion"/>
  </si>
  <si>
    <t>防御塔之间的搭配组合</t>
    <phoneticPr fontId="4" type="noConversion"/>
  </si>
  <si>
    <t>组卡</t>
    <phoneticPr fontId="4" type="noConversion"/>
  </si>
  <si>
    <t>摆地形</t>
    <phoneticPr fontId="4" type="noConversion"/>
  </si>
  <si>
    <t>发挥防御塔</t>
    <phoneticPr fontId="4" type="noConversion"/>
  </si>
  <si>
    <t>防御塔受地形的影响</t>
    <phoneticPr fontId="4" type="noConversion"/>
  </si>
  <si>
    <t>收益</t>
    <phoneticPr fontId="4" type="noConversion"/>
  </si>
  <si>
    <t>应对敌人</t>
    <phoneticPr fontId="4" type="noConversion"/>
  </si>
  <si>
    <t>怪物受地形影响</t>
    <phoneticPr fontId="4" type="noConversion"/>
  </si>
  <si>
    <t>发挥道具</t>
    <phoneticPr fontId="4" type="noConversion"/>
  </si>
  <si>
    <t>道具受地形影响</t>
    <phoneticPr fontId="4" type="noConversion"/>
  </si>
  <si>
    <t>刷卡</t>
    <phoneticPr fontId="4" type="noConversion"/>
  </si>
  <si>
    <t>加快发育</t>
    <phoneticPr fontId="4" type="noConversion"/>
  </si>
  <si>
    <t>符文</t>
    <phoneticPr fontId="4" type="noConversion"/>
  </si>
  <si>
    <t>增加战力</t>
    <phoneticPr fontId="4" type="noConversion"/>
  </si>
  <si>
    <t>n波抽取一次，相互搭配有强力效果</t>
    <phoneticPr fontId="4" type="noConversion"/>
  </si>
  <si>
    <t>全杀bonus</t>
    <phoneticPr fontId="4" type="noConversion"/>
  </si>
  <si>
    <t>周边系统</t>
    <phoneticPr fontId="4" type="noConversion"/>
  </si>
  <si>
    <t>目的</t>
    <phoneticPr fontId="4" type="noConversion"/>
  </si>
  <si>
    <t>系统</t>
    <phoneticPr fontId="4" type="noConversion"/>
  </si>
  <si>
    <t>规则概述</t>
    <phoneticPr fontId="4" type="noConversion"/>
  </si>
  <si>
    <t>辅助成长</t>
    <phoneticPr fontId="4" type="noConversion"/>
  </si>
  <si>
    <t>养成</t>
    <phoneticPr fontId="4" type="noConversion"/>
  </si>
  <si>
    <t>整体能力持续强化，策略可难可易</t>
    <phoneticPr fontId="4" type="noConversion"/>
  </si>
  <si>
    <t>持续成长</t>
    <phoneticPr fontId="4" type="noConversion"/>
  </si>
  <si>
    <t>新关卡，要求新的策略/塔和怪物有克制关系</t>
    <phoneticPr fontId="4" type="noConversion"/>
  </si>
  <si>
    <t>具体设计</t>
    <phoneticPr fontId="4" type="noConversion"/>
  </si>
  <si>
    <t>远程轰炸：中等区域造成中等伤害</t>
    <phoneticPr fontId="4" type="noConversion"/>
  </si>
  <si>
    <t>暴风雪：对全体敌人造成小额伤害和减速</t>
    <phoneticPr fontId="4" type="noConversion"/>
  </si>
  <si>
    <t>输出搭配：单体/群体</t>
    <phoneticPr fontId="4" type="noConversion"/>
  </si>
  <si>
    <t>个体搭配：高价/低价/对付治疗/对付隐身/对付弱化/范围型buff</t>
    <phoneticPr fontId="4" type="noConversion"/>
  </si>
  <si>
    <t>高台/直线/环形/近距离/远距离/转角（持续点击加攻）</t>
    <phoneticPr fontId="4" type="noConversion"/>
  </si>
  <si>
    <t>同地形搭配：</t>
    <phoneticPr fontId="4" type="noConversion"/>
  </si>
  <si>
    <t>镭射：对一条直线造成中等伤害</t>
    <phoneticPr fontId="4" type="noConversion"/>
  </si>
  <si>
    <t>轨道炮：3s延迟后，对小片区域造成大额伤害和眩晕</t>
    <phoneticPr fontId="4" type="noConversion"/>
  </si>
  <si>
    <t>？羁绊：弩箭+加农=攻速提升/毒+火焰=破甲/雷电+冰=扩散</t>
    <phoneticPr fontId="4" type="noConversion"/>
  </si>
  <si>
    <t>商业化</t>
    <phoneticPr fontId="4" type="noConversion"/>
  </si>
  <si>
    <t>广告/道具购买/充值</t>
    <phoneticPr fontId="4" type="noConversion"/>
  </si>
  <si>
    <t>快速部署</t>
    <phoneticPr fontId="4" type="noConversion"/>
  </si>
  <si>
    <t>弩箭</t>
    <phoneticPr fontId="4" type="noConversion"/>
  </si>
  <si>
    <t>加农</t>
    <phoneticPr fontId="4" type="noConversion"/>
  </si>
  <si>
    <t>后期发力</t>
    <phoneticPr fontId="4" type="noConversion"/>
  </si>
  <si>
    <t>辅助</t>
    <phoneticPr fontId="4" type="noConversion"/>
  </si>
  <si>
    <t>冰魔</t>
    <phoneticPr fontId="4" type="noConversion"/>
  </si>
  <si>
    <t>火</t>
    <phoneticPr fontId="4" type="noConversion"/>
  </si>
  <si>
    <t>雷电</t>
    <phoneticPr fontId="4" type="noConversion"/>
  </si>
  <si>
    <t>龙</t>
    <phoneticPr fontId="4" type="noConversion"/>
  </si>
  <si>
    <t>中期</t>
    <phoneticPr fontId="4" type="noConversion"/>
  </si>
  <si>
    <t>对付治疗</t>
    <phoneticPr fontId="4" type="noConversion"/>
  </si>
  <si>
    <t>对付隐身</t>
    <phoneticPr fontId="4" type="noConversion"/>
  </si>
  <si>
    <t>对付弱化</t>
    <phoneticPr fontId="4" type="noConversion"/>
  </si>
  <si>
    <t>对付快速</t>
    <phoneticPr fontId="4" type="noConversion"/>
  </si>
  <si>
    <t xml:space="preserve">冰 </t>
    <phoneticPr fontId="4" type="noConversion"/>
  </si>
  <si>
    <t>对付加速</t>
    <phoneticPr fontId="4" type="noConversion"/>
  </si>
  <si>
    <t>对付高防</t>
    <phoneticPr fontId="4" type="noConversion"/>
  </si>
  <si>
    <t>新卡</t>
    <phoneticPr fontId="4" type="noConversion"/>
  </si>
  <si>
    <t>参考</t>
    <phoneticPr fontId="4" type="noConversion"/>
  </si>
  <si>
    <t>结论</t>
    <phoneticPr fontId="4" type="noConversion"/>
  </si>
  <si>
    <t>运气影响结果</t>
    <phoneticPr fontId="4" type="noConversion"/>
  </si>
  <si>
    <t>运气影响战斗体验</t>
    <phoneticPr fontId="4" type="noConversion"/>
  </si>
  <si>
    <t>有一定自由选择</t>
    <phoneticPr fontId="4" type="noConversion"/>
  </si>
  <si>
    <t>2波抽取一次，全场拿1-20个</t>
    <phoneticPr fontId="4" type="noConversion"/>
  </si>
  <si>
    <t>平均有3次数值升级</t>
    <phoneticPr fontId="4" type="noConversion"/>
  </si>
  <si>
    <t>单体攻击的目标+1/+2/+3</t>
    <phoneticPr fontId="4" type="noConversion"/>
  </si>
  <si>
    <t>不同等级dps提升为150%/200%/300%</t>
    <phoneticPr fontId="4" type="noConversion"/>
  </si>
  <si>
    <t>每次抽3个，3次可能遇到雷同的，普通5个，稀有3个，传说1个</t>
    <phoneticPr fontId="4" type="noConversion"/>
  </si>
  <si>
    <t>高处攻击强化，最多增伤50%/100%/200%</t>
    <phoneticPr fontId="4" type="noConversion"/>
  </si>
  <si>
    <t>每波开始后暴击率增加5%/10%/15%，持续20秒</t>
    <phoneticPr fontId="4" type="noConversion"/>
  </si>
  <si>
    <t>通用加强</t>
    <phoneticPr fontId="4" type="noConversion"/>
  </si>
  <si>
    <t>特定卡加强</t>
    <phoneticPr fontId="4" type="noConversion"/>
  </si>
  <si>
    <t>组合加强</t>
    <phoneticPr fontId="4" type="noConversion"/>
  </si>
  <si>
    <t>每波开始后在10s内伤害缓慢提升，直到最高50%/100%/200%</t>
    <phoneticPr fontId="4" type="noConversion"/>
  </si>
  <si>
    <t>防御塔最大数量+1/2/4</t>
    <phoneticPr fontId="4" type="noConversion"/>
  </si>
  <si>
    <t>攻击附加毒素，每秒造成当前生命1%/3%/5%的伤害</t>
    <phoneticPr fontId="4" type="noConversion"/>
  </si>
  <si>
    <t>所有buff时间延长50%/100%/200%</t>
    <phoneticPr fontId="4" type="noConversion"/>
  </si>
  <si>
    <t>暴击伤害增加50%/100%/200%</t>
    <phoneticPr fontId="4" type="noConversion"/>
  </si>
  <si>
    <t>所有子弹可弹射1/2/3次</t>
    <phoneticPr fontId="4" type="noConversion"/>
  </si>
  <si>
    <t>电磁塔：单体、持续攻击增伤、3级射程增加</t>
    <phoneticPr fontId="4" type="noConversion"/>
  </si>
  <si>
    <t>哥布林：单体、偷钱、3级概率偷取高额金币</t>
    <phoneticPr fontId="4" type="noConversion"/>
  </si>
  <si>
    <t>火箭塔：群体、抛物线低命中高伤、3级3连发</t>
    <phoneticPr fontId="4" type="noConversion"/>
  </si>
  <si>
    <t>圣剑塔：单体、暴击斩杀、3级10次攻击后必定暴击</t>
    <phoneticPr fontId="4" type="noConversion"/>
  </si>
  <si>
    <t>巫师塔：单体、暴击眩晕、3级3个目标</t>
    <phoneticPr fontId="4" type="noConversion"/>
  </si>
  <si>
    <t>标记塔：单体、标记敌人，增加被暴击概率，3级增加击杀金币</t>
    <phoneticPr fontId="4" type="noConversion"/>
  </si>
  <si>
    <t>闪电链：群体、降低生命上限、3级目标增多</t>
    <phoneticPr fontId="4" type="noConversion"/>
  </si>
  <si>
    <t>奥术天球：群体、缓慢魔法攻击、3级子弹弹射</t>
    <phoneticPr fontId="4" type="noConversion"/>
  </si>
  <si>
    <t>精灵：群体、杀怪增加攻击</t>
    <phoneticPr fontId="4" type="noConversion"/>
  </si>
  <si>
    <t>炸药桶：自爆高伤，3级+眩晕</t>
    <phoneticPr fontId="4" type="noConversion"/>
  </si>
  <si>
    <t>毒：根据当前生命掉血，3级+减甲</t>
    <phoneticPr fontId="4" type="noConversion"/>
  </si>
  <si>
    <t>毒蝎塔</t>
    <phoneticPr fontId="4" type="noConversion"/>
  </si>
  <si>
    <t>哥布林</t>
    <phoneticPr fontId="4" type="noConversion"/>
  </si>
  <si>
    <t>自爆</t>
    <phoneticPr fontId="4" type="noConversion"/>
  </si>
  <si>
    <t>毒伤</t>
    <phoneticPr fontId="4" type="noConversion"/>
  </si>
  <si>
    <t>毒伤lv1/2/3</t>
    <phoneticPr fontId="4" type="noConversion"/>
  </si>
  <si>
    <t>偷钱数lv1/2/3</t>
    <phoneticPr fontId="4" type="noConversion"/>
  </si>
  <si>
    <t>攻击</t>
  </si>
  <si>
    <t>Text_Key_Tower_UIAttribute_DuShang</t>
    <phoneticPr fontId="4" type="noConversion"/>
  </si>
  <si>
    <t>Timeline_TowerScorpio1</t>
  </si>
  <si>
    <t>Skill_TowerScorpio2</t>
  </si>
  <si>
    <t>Timeline_TowerScorpio2</t>
  </si>
  <si>
    <t>Skill_TowerScorpio3</t>
  </si>
  <si>
    <t>Timeline_TowerScorpio3</t>
  </si>
  <si>
    <t>Skill_TowerScorpio1</t>
    <phoneticPr fontId="4" type="noConversion"/>
  </si>
  <si>
    <t>毒蝎塔LV1攻击</t>
    <phoneticPr fontId="4" type="noConversion"/>
  </si>
  <si>
    <t>毒蝎塔LV2攻击</t>
  </si>
  <si>
    <t>毒蝎塔LV3攻击</t>
  </si>
  <si>
    <t>EffectCreate_LevelUp</t>
  </si>
  <si>
    <t>EffectCreate_LevelUp</t>
    <phoneticPr fontId="4" type="noConversion"/>
  </si>
  <si>
    <t>BuffAdd_AddCDDown1;EffectCreate_LevelUp</t>
    <phoneticPr fontId="4" type="noConversion"/>
  </si>
  <si>
    <t>BuffAdd_AddCDDown2;EffectCreate_LevelUp</t>
  </si>
  <si>
    <t>BuffAdd_AddCDDown3;EffectCreate_LevelUp</t>
  </si>
  <si>
    <t>Tow11</t>
    <phoneticPr fontId="4" type="noConversion"/>
  </si>
  <si>
    <t>2个目标</t>
    <phoneticPr fontId="4" type="noConversion"/>
  </si>
  <si>
    <t>Skill_TowerGoblin1</t>
  </si>
  <si>
    <t>Timeline_TowerGoblin1</t>
  </si>
  <si>
    <t>Skill_TowerGoblin2</t>
  </si>
  <si>
    <t>Timeline_TowerGoblin2</t>
  </si>
  <si>
    <t>Skill_TowerGoblin3</t>
  </si>
  <si>
    <t>Timeline_TowerGoblin3</t>
  </si>
  <si>
    <t>哥布林LV1攻击</t>
    <phoneticPr fontId="4" type="noConversion"/>
  </si>
  <si>
    <t>哥布林LV2攻击</t>
  </si>
  <si>
    <t>哥布林LV3攻击</t>
  </si>
  <si>
    <t>毒蝎塔</t>
  </si>
  <si>
    <t>哥布林</t>
    <phoneticPr fontId="25" type="noConversion"/>
  </si>
  <si>
    <t>Tow11_1</t>
  </si>
  <si>
    <t>Text_Key_TowerLabel_DOT;Text_Key_TowerLabel_Solo</t>
    <phoneticPr fontId="25" type="noConversion"/>
  </si>
  <si>
    <t>Unit_TowerScorpio1</t>
  </si>
  <si>
    <t>Tow11_2</t>
  </si>
  <si>
    <t>Unit_TowerScorpio2</t>
  </si>
  <si>
    <t>Tow11_3</t>
  </si>
  <si>
    <t>Unit_TowerScorpio3</t>
  </si>
  <si>
    <t>Tow21_1</t>
  </si>
  <si>
    <t>Text_Key_TowerLabel_GetCoins;Text_Key_TowerLabel_Solo</t>
    <phoneticPr fontId="25" type="noConversion"/>
  </si>
  <si>
    <t>Unit_TowerGoblin1</t>
  </si>
  <si>
    <t>Tow21_2</t>
  </si>
  <si>
    <t>Unit_TowerGoblin2</t>
  </si>
  <si>
    <t>Tow21_3</t>
  </si>
  <si>
    <t>Unit_TowerGoblin3</t>
  </si>
  <si>
    <t>偷取金币</t>
    <phoneticPr fontId="4" type="noConversion"/>
  </si>
  <si>
    <t>Tow21</t>
    <phoneticPr fontId="4" type="noConversion"/>
  </si>
  <si>
    <t>Text_Key_Tower_UIAttribute_Steal</t>
    <phoneticPr fontId="4" type="noConversion"/>
  </si>
  <si>
    <t>炸弹</t>
    <phoneticPr fontId="4" type="noConversion"/>
  </si>
  <si>
    <t>Tow25_1</t>
    <phoneticPr fontId="4" type="noConversion"/>
  </si>
  <si>
    <t>Tow25_2</t>
  </si>
  <si>
    <t>Tow25_3</t>
  </si>
  <si>
    <t>Tow25_2</t>
    <phoneticPr fontId="4" type="noConversion"/>
  </si>
  <si>
    <t>Tow25_3</t>
    <phoneticPr fontId="4" type="noConversion"/>
  </si>
  <si>
    <t>Unit_TowerBomb1</t>
    <phoneticPr fontId="4" type="noConversion"/>
  </si>
  <si>
    <t>Unit_TowerBomb2</t>
  </si>
  <si>
    <t>Unit_TowerBomb3</t>
  </si>
  <si>
    <t>Tow25</t>
    <phoneticPr fontId="4" type="noConversion"/>
  </si>
  <si>
    <t>Text_Key_Tower_UIAttribute_Dizzy</t>
    <phoneticPr fontId="4" type="noConversion"/>
  </si>
  <si>
    <t>性价比参数/眩晕</t>
    <phoneticPr fontId="4" type="noConversion"/>
  </si>
  <si>
    <t>Text_Key_Tower_UIAttribute_Content_OnlySeconds</t>
    <phoneticPr fontId="4" type="noConversion"/>
  </si>
  <si>
    <t>炸弹1攻击</t>
    <phoneticPr fontId="4" type="noConversion"/>
  </si>
  <si>
    <t>Skill_TowerBomb2</t>
  </si>
  <si>
    <t>炸弹2攻击</t>
  </si>
  <si>
    <t>Skill_TowerBomb3</t>
  </si>
  <si>
    <t>炸弹3攻击</t>
  </si>
  <si>
    <t>Skill_TowerBomb1</t>
    <phoneticPr fontId="4" type="noConversion"/>
  </si>
  <si>
    <t>Timeline_Skill_TowerBomb1</t>
    <phoneticPr fontId="4" type="noConversion"/>
  </si>
  <si>
    <t>Timeline_Skill_TowerBomb2</t>
  </si>
  <si>
    <t>Timeline_Skill_TowerBomb3</t>
  </si>
  <si>
    <t>string#ref=SelectObjectCfgCategory</t>
  </si>
  <si>
    <t>SelectObject_Skill_PlayerSolo1</t>
  </si>
  <si>
    <t>SelectObject_Skill_PlayerSolo2</t>
  </si>
  <si>
    <t>SelectObject_Skill_PlayerSolo3</t>
  </si>
  <si>
    <t>SelectObject_Skill_PlayerAoe1</t>
  </si>
  <si>
    <t>SelectObject_Skill_PlayerAoe2</t>
  </si>
  <si>
    <t>SelectObject_Skill_PlayerAoe3</t>
  </si>
  <si>
    <t>SelectObject_Skill_PlayerLine1</t>
  </si>
  <si>
    <t>SelectObject_Skill_PlayerLine2</t>
  </si>
  <si>
    <t>SelectObject_Skill_PlayerLine3</t>
  </si>
  <si>
    <t>SelectObject_Skill_PlayerCircle1</t>
  </si>
  <si>
    <t>SelectObject_Skill_PlayerCircle2</t>
  </si>
  <si>
    <t>SelectObject_Skill_PlayerCircle3</t>
  </si>
  <si>
    <t>SelectObject_Skill_TowerDragon1</t>
  </si>
  <si>
    <t>SelectObject_Skill_TowerDragon2</t>
  </si>
  <si>
    <t>SelectObject_Skill_TowerDragon3</t>
  </si>
  <si>
    <t>SelectObject_Skill_TowerElec1</t>
  </si>
  <si>
    <t>SelectObject_Skill_TowerElec2</t>
  </si>
  <si>
    <t>SelectObject_Skill_TowerElec3</t>
  </si>
  <si>
    <t>SelectObject_Skill_TowerIce1</t>
  </si>
  <si>
    <t>SelectObject_Skill_TowerIce2</t>
  </si>
  <si>
    <t>SelectObject_Skill_TowerIce3</t>
  </si>
  <si>
    <t>SelectObject_Self</t>
  </si>
  <si>
    <t>SelectObject_Skill_TowerScorpio1</t>
  </si>
  <si>
    <t>SelectObject_Skill_TowerScorpio2</t>
  </si>
  <si>
    <t>SelectObject_Skill_TowerScorpio3</t>
  </si>
  <si>
    <t>SelectObject_Skill_TowerGoblin1</t>
  </si>
  <si>
    <t>SelectObject_Skill_TowerGoblin2</t>
  </si>
  <si>
    <t>SelectObject_Skill_TowerGoblin3</t>
  </si>
  <si>
    <t>SelectObject_Skill_TowerBomb1</t>
  </si>
  <si>
    <t>SelectObject_Skill_TowerBomb2</t>
  </si>
  <si>
    <t>SelectObject_Skill_TowerBomb3</t>
  </si>
  <si>
    <t>节点</t>
    <phoneticPr fontId="4" type="noConversion"/>
  </si>
  <si>
    <t>第1天</t>
    <phoneticPr fontId="4" type="noConversion"/>
  </si>
  <si>
    <t>挑战/无限</t>
    <phoneticPr fontId="4" type="noConversion"/>
  </si>
  <si>
    <t>第2天</t>
    <phoneticPr fontId="4" type="noConversion"/>
  </si>
  <si>
    <t>新卡牌</t>
    <phoneticPr fontId="4" type="noConversion"/>
  </si>
  <si>
    <t>开放玩法</t>
    <phoneticPr fontId="4" type="noConversion"/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</si>
  <si>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</si>
  <si>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</si>
  <si>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</si>
  <si>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</si>
  <si>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</si>
  <si>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</si>
  <si>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</si>
  <si>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</si>
  <si>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</si>
  <si>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</si>
  <si>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</si>
  <si>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上阵</t>
    <phoneticPr fontId="4" type="noConversion"/>
  </si>
  <si>
    <t>新赛季</t>
    <phoneticPr fontId="4" type="noConversion"/>
  </si>
  <si>
    <t>第14天</t>
  </si>
  <si>
    <t>第15天</t>
  </si>
  <si>
    <t>第16天</t>
  </si>
  <si>
    <t>第17天</t>
  </si>
  <si>
    <t>第18天</t>
  </si>
  <si>
    <t>第19天</t>
  </si>
  <si>
    <t>第20天</t>
  </si>
  <si>
    <t>第21天</t>
  </si>
  <si>
    <t>赛季结算</t>
    <phoneticPr fontId="4" type="noConversion"/>
  </si>
  <si>
    <t>循环赛季</t>
    <phoneticPr fontId="4" type="noConversion"/>
  </si>
  <si>
    <t>第22天</t>
  </si>
  <si>
    <t>第23天</t>
  </si>
  <si>
    <t>第24天</t>
  </si>
  <si>
    <t>第25天</t>
  </si>
  <si>
    <t>第26天</t>
  </si>
  <si>
    <t>第27天</t>
  </si>
  <si>
    <t>第28天</t>
  </si>
  <si>
    <t>头像框</t>
    <phoneticPr fontId="4" type="noConversion"/>
  </si>
  <si>
    <t>成就奖</t>
    <phoneticPr fontId="4" type="noConversion"/>
  </si>
  <si>
    <t>开服天数</t>
    <phoneticPr fontId="4" type="noConversion"/>
  </si>
  <si>
    <t>运营计划</t>
    <phoneticPr fontId="4" type="noConversion"/>
  </si>
  <si>
    <t>游戏内容规划</t>
    <phoneticPr fontId="4" type="noConversion"/>
  </si>
  <si>
    <t>新道具</t>
    <phoneticPr fontId="4" type="noConversion"/>
  </si>
  <si>
    <t>版本计划</t>
    <phoneticPr fontId="4" type="noConversion"/>
  </si>
  <si>
    <t>7留测试</t>
    <phoneticPr fontId="4" type="noConversion"/>
  </si>
  <si>
    <t>月留测试</t>
    <phoneticPr fontId="4" type="noConversion"/>
  </si>
  <si>
    <t>付费测试</t>
    <phoneticPr fontId="4" type="noConversion"/>
  </si>
  <si>
    <t>公测</t>
    <phoneticPr fontId="4" type="noConversion"/>
  </si>
  <si>
    <t>版本</t>
    <phoneticPr fontId="4" type="noConversion"/>
  </si>
  <si>
    <t>功能解锁</t>
    <phoneticPr fontId="4" type="noConversion"/>
  </si>
  <si>
    <t>功能引导</t>
    <phoneticPr fontId="4" type="noConversion"/>
  </si>
  <si>
    <t>商店</t>
    <phoneticPr fontId="4" type="noConversion"/>
  </si>
  <si>
    <t>新增内容</t>
    <phoneticPr fontId="4" type="noConversion"/>
  </si>
  <si>
    <t>成就</t>
    <phoneticPr fontId="4" type="noConversion"/>
  </si>
  <si>
    <t>游戏后台</t>
    <phoneticPr fontId="4" type="noConversion"/>
  </si>
  <si>
    <t>活动后台</t>
    <phoneticPr fontId="4" type="noConversion"/>
  </si>
  <si>
    <t>官网</t>
    <phoneticPr fontId="4" type="noConversion"/>
  </si>
  <si>
    <t>渠道</t>
    <phoneticPr fontId="4" type="noConversion"/>
  </si>
  <si>
    <t>谷歌-加拿大</t>
    <phoneticPr fontId="4" type="noConversion"/>
  </si>
  <si>
    <t>ios-加拿大</t>
    <phoneticPr fontId="4" type="noConversion"/>
  </si>
  <si>
    <t>谷歌-北美</t>
    <phoneticPr fontId="4" type="noConversion"/>
  </si>
  <si>
    <t>ios-北美</t>
    <phoneticPr fontId="4" type="noConversion"/>
  </si>
  <si>
    <t>客服/社区</t>
    <phoneticPr fontId="4" type="noConversion"/>
  </si>
  <si>
    <t>活动计划</t>
    <phoneticPr fontId="4" type="noConversion"/>
  </si>
  <si>
    <t>形式</t>
    <phoneticPr fontId="4" type="noConversion"/>
  </si>
  <si>
    <t>拉新</t>
    <phoneticPr fontId="4" type="noConversion"/>
  </si>
  <si>
    <t>活跃/付费</t>
    <phoneticPr fontId="4" type="noConversion"/>
  </si>
  <si>
    <t>每月</t>
    <phoneticPr fontId="4" type="noConversion"/>
  </si>
  <si>
    <t>分享奖励</t>
    <phoneticPr fontId="4" type="noConversion"/>
  </si>
  <si>
    <t>卡牌/道具/成就</t>
    <phoneticPr fontId="4" type="noConversion"/>
  </si>
  <si>
    <t>全新赛季</t>
    <phoneticPr fontId="4" type="noConversion"/>
  </si>
  <si>
    <t>新卡牌/道具</t>
    <phoneticPr fontId="4" type="noConversion"/>
  </si>
  <si>
    <t>引导列表</t>
    <phoneticPr fontId="4" type="noConversion"/>
  </si>
  <si>
    <t>1.只引导当前玩家必要内容</t>
    <phoneticPr fontId="4" type="noConversion"/>
  </si>
  <si>
    <t>2.时长、步骤尽量少</t>
    <phoneticPr fontId="4" type="noConversion"/>
  </si>
  <si>
    <t>3.文案简明</t>
    <phoneticPr fontId="4" type="noConversion"/>
  </si>
  <si>
    <t>原则</t>
    <phoneticPr fontId="4" type="noConversion"/>
  </si>
  <si>
    <t>时期</t>
    <phoneticPr fontId="4" type="noConversion"/>
  </si>
  <si>
    <t>玩家目标</t>
    <phoneticPr fontId="4" type="noConversion"/>
  </si>
  <si>
    <t>引导内容</t>
    <phoneticPr fontId="4" type="noConversion"/>
  </si>
  <si>
    <t>步骤</t>
    <phoneticPr fontId="4" type="noConversion"/>
  </si>
  <si>
    <t>进入游戏</t>
    <phoneticPr fontId="4" type="noConversion"/>
  </si>
  <si>
    <t>进入首页</t>
    <phoneticPr fontId="4" type="noConversion"/>
  </si>
  <si>
    <t>了解游戏</t>
    <phoneticPr fontId="4" type="noConversion"/>
  </si>
  <si>
    <t>扫图</t>
    <phoneticPr fontId="4" type="noConversion"/>
  </si>
  <si>
    <t>确认</t>
    <phoneticPr fontId="4" type="noConversion"/>
  </si>
  <si>
    <t>放大本营</t>
    <phoneticPr fontId="4" type="noConversion"/>
  </si>
  <si>
    <t>放传送门</t>
    <phoneticPr fontId="4" type="noConversion"/>
  </si>
  <si>
    <t>买塔</t>
    <phoneticPr fontId="4" type="noConversion"/>
  </si>
  <si>
    <t>放塔</t>
    <phoneticPr fontId="4" type="noConversion"/>
  </si>
  <si>
    <t>开战</t>
    <phoneticPr fontId="4" type="noConversion"/>
  </si>
  <si>
    <t>刷新</t>
    <phoneticPr fontId="4" type="noConversion"/>
  </si>
  <si>
    <t>玩什么</t>
    <phoneticPr fontId="4" type="noConversion"/>
  </si>
  <si>
    <t>重载</t>
    <phoneticPr fontId="4" type="noConversion"/>
  </si>
  <si>
    <t>集齐8卡</t>
    <phoneticPr fontId="4" type="noConversion"/>
  </si>
  <si>
    <t>进阶玩法</t>
    <phoneticPr fontId="4" type="noConversion"/>
  </si>
  <si>
    <t>查看排行榜</t>
    <phoneticPr fontId="4" type="noConversion"/>
  </si>
  <si>
    <t>4.引导不能打断玩家连续体验</t>
    <phoneticPr fontId="4" type="noConversion"/>
  </si>
  <si>
    <t>投放计划</t>
    <phoneticPr fontId="4" type="noConversion"/>
  </si>
  <si>
    <t>内容</t>
    <phoneticPr fontId="4" type="noConversion"/>
  </si>
  <si>
    <t>付费</t>
    <phoneticPr fontId="4" type="noConversion"/>
  </si>
  <si>
    <t>每日</t>
    <phoneticPr fontId="4" type="noConversion"/>
  </si>
  <si>
    <t>免费</t>
    <phoneticPr fontId="4" type="noConversion"/>
  </si>
  <si>
    <t>游戏时长min</t>
    <phoneticPr fontId="4" type="noConversion"/>
  </si>
  <si>
    <t>∞</t>
    <phoneticPr fontId="4" type="noConversion"/>
  </si>
  <si>
    <t>单次游戏</t>
    <phoneticPr fontId="4" type="noConversion"/>
  </si>
  <si>
    <t>游戏间隔</t>
    <phoneticPr fontId="4" type="noConversion"/>
  </si>
  <si>
    <t>3个目标</t>
    <phoneticPr fontId="4" type="noConversion"/>
  </si>
  <si>
    <t>内容汇总</t>
    <phoneticPr fontId="4" type="noConversion"/>
  </si>
  <si>
    <t>塔</t>
    <phoneticPr fontId="4" type="noConversion"/>
  </si>
  <si>
    <t>挑战关卡</t>
    <phoneticPr fontId="4" type="noConversion"/>
  </si>
  <si>
    <t>总量</t>
    <phoneticPr fontId="4" type="noConversion"/>
  </si>
  <si>
    <t>详细</t>
    <phoneticPr fontId="4" type="noConversion"/>
  </si>
  <si>
    <t>火焰</t>
    <phoneticPr fontId="4" type="noConversion"/>
  </si>
  <si>
    <t xml:space="preserve">毒 </t>
    <phoneticPr fontId="4" type="noConversion"/>
  </si>
  <si>
    <t>冰</t>
    <phoneticPr fontId="4" type="noConversion"/>
  </si>
  <si>
    <t>活动关卡</t>
    <phoneticPr fontId="4" type="noConversion"/>
  </si>
  <si>
    <t>简单</t>
    <phoneticPr fontId="4" type="noConversion"/>
  </si>
  <si>
    <t>特殊怪</t>
    <phoneticPr fontId="4" type="noConversion"/>
  </si>
  <si>
    <t>大块头</t>
    <phoneticPr fontId="4" type="noConversion"/>
  </si>
  <si>
    <t>暴风雪</t>
    <phoneticPr fontId="4" type="noConversion"/>
  </si>
  <si>
    <t>陨石</t>
    <phoneticPr fontId="4" type="noConversion"/>
  </si>
  <si>
    <t>天火</t>
    <phoneticPr fontId="4" type="noConversion"/>
  </si>
  <si>
    <t>残血特攻</t>
    <phoneticPr fontId="4" type="noConversion"/>
  </si>
  <si>
    <t>任意1级塔</t>
    <phoneticPr fontId="4" type="noConversion"/>
  </si>
  <si>
    <t>单体1级塔</t>
    <phoneticPr fontId="4" type="noConversion"/>
  </si>
  <si>
    <t>群体1级塔</t>
    <phoneticPr fontId="4" type="noConversion"/>
  </si>
  <si>
    <t>远程1级塔</t>
    <phoneticPr fontId="4" type="noConversion"/>
  </si>
  <si>
    <t>特定2级塔</t>
    <phoneticPr fontId="4" type="noConversion"/>
  </si>
  <si>
    <t>任意2级塔</t>
    <phoneticPr fontId="4" type="noConversion"/>
  </si>
  <si>
    <t>迂回路线</t>
    <phoneticPr fontId="4" type="noConversion"/>
  </si>
  <si>
    <t>单体和群体</t>
    <phoneticPr fontId="4" type="noConversion"/>
  </si>
  <si>
    <t>挑战关卡2</t>
    <phoneticPr fontId="4" type="noConversion"/>
  </si>
  <si>
    <t>减速塔</t>
    <phoneticPr fontId="4" type="noConversion"/>
  </si>
  <si>
    <t>龙塔</t>
    <phoneticPr fontId="4" type="noConversion"/>
  </si>
  <si>
    <t>如何应对隐身</t>
    <phoneticPr fontId="4" type="noConversion"/>
  </si>
  <si>
    <t>如何应对弱化</t>
    <phoneticPr fontId="4" type="noConversion"/>
  </si>
  <si>
    <t>如何应对治疗</t>
    <phoneticPr fontId="4" type="noConversion"/>
  </si>
  <si>
    <t>怎么应对快速</t>
    <phoneticPr fontId="4" type="noConversion"/>
  </si>
  <si>
    <t>怎么应对单体群体</t>
    <phoneticPr fontId="4" type="noConversion"/>
  </si>
  <si>
    <t>挑战关卡3</t>
    <phoneticPr fontId="4" type="noConversion"/>
  </si>
  <si>
    <t>挑战关卡4</t>
    <phoneticPr fontId="4" type="noConversion"/>
  </si>
  <si>
    <t>挑战关卡5</t>
    <phoneticPr fontId="4" type="noConversion"/>
  </si>
  <si>
    <t>买弩箭</t>
    <phoneticPr fontId="4" type="noConversion"/>
  </si>
  <si>
    <t>开始</t>
    <phoneticPr fontId="4" type="noConversion"/>
  </si>
  <si>
    <t>买加农</t>
    <phoneticPr fontId="4" type="noConversion"/>
  </si>
  <si>
    <t>买减速</t>
    <phoneticPr fontId="4" type="noConversion"/>
  </si>
  <si>
    <t>买龙</t>
    <phoneticPr fontId="4" type="noConversion"/>
  </si>
  <si>
    <t>买火焰</t>
    <phoneticPr fontId="4" type="noConversion"/>
  </si>
  <si>
    <t>买毒</t>
    <phoneticPr fontId="4" type="noConversion"/>
  </si>
  <si>
    <t>毒塔升级</t>
    <phoneticPr fontId="4" type="noConversion"/>
  </si>
  <si>
    <t>攻击范围+挪塔</t>
    <phoneticPr fontId="4" type="noConversion"/>
  </si>
  <si>
    <t>拖动</t>
    <phoneticPr fontId="4" type="noConversion"/>
  </si>
  <si>
    <t>放置</t>
    <phoneticPr fontId="4" type="noConversion"/>
  </si>
  <si>
    <t>买雷电</t>
    <phoneticPr fontId="4" type="noConversion"/>
  </si>
  <si>
    <t>线下模式</t>
    <phoneticPr fontId="4" type="noConversion"/>
  </si>
  <si>
    <t>MonsterWaveCallRule_Offline</t>
  </si>
  <si>
    <t>Monster_Offline_1_1</t>
  </si>
  <si>
    <t>Monster_Offline_2_1</t>
  </si>
  <si>
    <t>Monster_Offline_2_2</t>
  </si>
  <si>
    <t>Monster_Offline_3_1</t>
  </si>
  <si>
    <t>Monster_Offline_3_2</t>
  </si>
  <si>
    <t>Monster_Offline_4_1</t>
  </si>
  <si>
    <t>Monster_Offline_4_2</t>
  </si>
  <si>
    <t>Monster_Offline_5_1</t>
  </si>
  <si>
    <t>Monster_Offline_5_2</t>
  </si>
  <si>
    <t>Monster_Offline_6_1</t>
  </si>
  <si>
    <t>Monster_Offline_6_2</t>
  </si>
  <si>
    <t>Monster_Offline_7_1</t>
  </si>
  <si>
    <t>Monster_Offline_7_2</t>
  </si>
  <si>
    <t>Monster_Offline_8_1</t>
  </si>
  <si>
    <t>Monster_Offline_8_2</t>
  </si>
  <si>
    <t>Monster_Offline_9_1</t>
  </si>
  <si>
    <t>Monster_Offline_9_2</t>
  </si>
  <si>
    <t>Monster_Offline_10_1</t>
  </si>
  <si>
    <t>Monster_Offline_10_2</t>
  </si>
  <si>
    <t>Monster_Offline_11_1</t>
  </si>
  <si>
    <t>Monster_Offline_11_2</t>
  </si>
  <si>
    <t>Monster_Offline_12_1</t>
  </si>
  <si>
    <t>Monster_Offline_13_1</t>
  </si>
  <si>
    <t>Monster_Offline_13_2</t>
  </si>
  <si>
    <t>Monster_Offline_14_1</t>
  </si>
  <si>
    <t>Monster_Offline_14_2</t>
  </si>
  <si>
    <t>Monster_Offline_15_1</t>
  </si>
  <si>
    <t>Monster_Offline_15_2</t>
  </si>
  <si>
    <t>Monster_Offline_15_3</t>
  </si>
  <si>
    <t>Monster_Offline_16_1</t>
  </si>
  <si>
    <t>Monster_Offline_16_2</t>
  </si>
  <si>
    <t>Monster_Offline_17_1</t>
  </si>
  <si>
    <t>Monster_Offline_17_2</t>
  </si>
  <si>
    <t>Monster_Offline_18_1</t>
  </si>
  <si>
    <t>Monster_Offline_18_2</t>
  </si>
  <si>
    <t>Monster_Offline_18_3</t>
  </si>
  <si>
    <t>Monster_Offline_19_1</t>
  </si>
  <si>
    <t>Monster_Offline_19_2</t>
  </si>
  <si>
    <t>Monster_Offline_19_3</t>
  </si>
  <si>
    <t>Monster_Offline_20_1</t>
  </si>
  <si>
    <t>Monster_Offline_20_2</t>
  </si>
  <si>
    <t>Monster_Offline_20_3</t>
  </si>
  <si>
    <t>Unit_Monster_Offline_1_1</t>
  </si>
  <si>
    <t>Unit_Monster_Offline_2_1</t>
  </si>
  <si>
    <t>Unit_Monster_Offline_2_2</t>
  </si>
  <si>
    <t>Unit_Monster_Offline_3_1</t>
  </si>
  <si>
    <t>Unit_Monster_Offline_3_2</t>
  </si>
  <si>
    <t>Unit_Monster_Offline_4_1</t>
  </si>
  <si>
    <t>Unit_Monster_Offline_4_2</t>
  </si>
  <si>
    <t>Unit_Monster_Offline_5_1</t>
  </si>
  <si>
    <t>Unit_Monster_Offline_5_2</t>
  </si>
  <si>
    <t>Unit_Monster_Offline_6_1</t>
  </si>
  <si>
    <t>Unit_Monster_Offline_6_2</t>
  </si>
  <si>
    <t>Unit_Monster_Offline_7_1</t>
  </si>
  <si>
    <t>Unit_Monster_Offline_7_2</t>
  </si>
  <si>
    <t>Unit_Monster_Offline_8_1</t>
  </si>
  <si>
    <t>Unit_Monster_Offline_8_2</t>
  </si>
  <si>
    <t>Unit_Monster_Offline_9_1</t>
  </si>
  <si>
    <t>Unit_Monster_Offline_9_2</t>
  </si>
  <si>
    <t>Unit_Monster_Offline_10_1</t>
  </si>
  <si>
    <t>Unit_Monster_Offline_10_2</t>
  </si>
  <si>
    <t>Unit_Monster_Offline_11_1</t>
  </si>
  <si>
    <t>Unit_Monster_Offline_11_2</t>
  </si>
  <si>
    <t>Unit_Monster_Offline_12_1</t>
  </si>
  <si>
    <t>Unit_Monster_Offline_13_1</t>
  </si>
  <si>
    <t>Unit_Monster_Offline_13_2</t>
  </si>
  <si>
    <t>Unit_Monster_Offline_14_1</t>
  </si>
  <si>
    <t>Unit_Monster_Offline_14_2</t>
  </si>
  <si>
    <t>Unit_Monster_Offline_15_1</t>
  </si>
  <si>
    <t>Unit_Monster_Offline_15_2</t>
  </si>
  <si>
    <t>Unit_Monster_Offline_15_3</t>
  </si>
  <si>
    <t>Unit_Monster_Offline_16_1</t>
  </si>
  <si>
    <t>Unit_Monster_Offline_16_2</t>
  </si>
  <si>
    <t>Unit_Monster_Offline_17_1</t>
  </si>
  <si>
    <t>Unit_Monster_Offline_17_2</t>
  </si>
  <si>
    <t>Unit_Monster_Offline_18_1</t>
  </si>
  <si>
    <t>Unit_Monster_Offline_18_2</t>
  </si>
  <si>
    <t>Unit_Monster_Offline_18_3</t>
  </si>
  <si>
    <t>Unit_Monster_Offline_19_1</t>
  </si>
  <si>
    <t>Unit_Monster_Offline_19_2</t>
  </si>
  <si>
    <t>Unit_Monster_Offline_19_3</t>
  </si>
  <si>
    <t>Unit_Monster_Offline_20_1</t>
  </si>
  <si>
    <t>Unit_Monster_Offline_20_2</t>
  </si>
  <si>
    <t>Unit_Monster_Offline_20_3</t>
  </si>
  <si>
    <t>线下模式怪物1_1</t>
  </si>
  <si>
    <t>线下模式怪物2_1</t>
  </si>
  <si>
    <t>线下模式怪物2_2</t>
  </si>
  <si>
    <t>线下模式怪物3_1</t>
  </si>
  <si>
    <t>线下模式怪物3_2</t>
  </si>
  <si>
    <t>线下模式怪物4_1</t>
  </si>
  <si>
    <t>线下模式怪物4_2</t>
  </si>
  <si>
    <t>线下模式怪物5_1</t>
  </si>
  <si>
    <t>线下模式怪物5_2</t>
  </si>
  <si>
    <t>线下模式怪物6_1</t>
  </si>
  <si>
    <t>线下模式怪物6_2</t>
  </si>
  <si>
    <t>线下模式怪物7_1</t>
  </si>
  <si>
    <t>线下模式怪物7_2</t>
  </si>
  <si>
    <t>线下模式怪物8_1</t>
  </si>
  <si>
    <t>线下模式怪物8_2</t>
  </si>
  <si>
    <t>线下模式怪物9_1</t>
  </si>
  <si>
    <t>线下模式怪物9_2</t>
  </si>
  <si>
    <t>线下模式怪物10_1</t>
  </si>
  <si>
    <t>线下模式怪物10_2</t>
  </si>
  <si>
    <t>线下模式怪物11_1</t>
  </si>
  <si>
    <t>线下模式怪物11_2</t>
  </si>
  <si>
    <t>线下模式怪物12_1</t>
  </si>
  <si>
    <t>线下模式怪物13_1</t>
  </si>
  <si>
    <t>线下模式怪物13_2</t>
  </si>
  <si>
    <t>线下模式怪物14_1</t>
  </si>
  <si>
    <t>线下模式怪物14_2</t>
  </si>
  <si>
    <t>线下模式怪物15_1</t>
  </si>
  <si>
    <t>线下模式怪物15_2</t>
  </si>
  <si>
    <t>线下模式怪物15_3</t>
  </si>
  <si>
    <t>线下模式怪物16_1</t>
  </si>
  <si>
    <t>线下模式怪物16_2</t>
  </si>
  <si>
    <t>线下模式怪物17_1</t>
  </si>
  <si>
    <t>线下模式怪物17_2</t>
  </si>
  <si>
    <t>线下模式怪物18_1</t>
  </si>
  <si>
    <t>线下模式怪物18_2</t>
  </si>
  <si>
    <t>线下模式怪物18_3</t>
  </si>
  <si>
    <t>线下模式怪物19_1</t>
  </si>
  <si>
    <t>线下模式怪物19_2</t>
  </si>
  <si>
    <t>线下模式怪物19_3</t>
  </si>
  <si>
    <t>线下模式怪物20_1</t>
  </si>
  <si>
    <t>线下模式怪物20_2</t>
  </si>
  <si>
    <t>线下模式怪物20_3</t>
  </si>
  <si>
    <t>挑战关卡怪物技能_弱化</t>
    <phoneticPr fontId="4" type="noConversion"/>
  </si>
  <si>
    <t>BuffAdd_Monster_Challenge5_1_1</t>
  </si>
  <si>
    <t>BuffAdd_Monster_Challenge5_2_1</t>
  </si>
  <si>
    <t>BuffAdd_Monster_Challenge5_3_1</t>
  </si>
  <si>
    <t>BuffAdd_Monster_Challenge5_4_1</t>
  </si>
  <si>
    <t>BuffAdd_Monster_Challenge5_5_1</t>
  </si>
  <si>
    <t>BuffAdd_Monster_Challenge5_5_4</t>
  </si>
  <si>
    <t>无限模式怪物技能</t>
  </si>
  <si>
    <t>BuffAdd_Infinite_9_2_ZhongZi</t>
  </si>
  <si>
    <t>BuffAdd_Infinite_10_2_ZhongZi</t>
  </si>
  <si>
    <t>BuffAdd_Infinite_11_1_ZhongZi</t>
  </si>
  <si>
    <t>BuffAdd_Infinite_12_2_ZhongZi</t>
  </si>
  <si>
    <t>BuffAdd_Infinite_12_3_ZhongZi</t>
  </si>
  <si>
    <t>BuffAdd_Infinite_13_1_Gui</t>
  </si>
  <si>
    <t>BuffAdd_Infinite_14_1_Gui</t>
  </si>
  <si>
    <t>BuffAdd_Infinite_15_1_Gui</t>
  </si>
  <si>
    <t>BuffAdd_Infinite_15_2_ZhongZi</t>
  </si>
  <si>
    <t>BuffAdd_Infinite_16_2_Gui</t>
  </si>
  <si>
    <t>BuffAdd_Infinite_17_2_Dan</t>
  </si>
  <si>
    <t>BuffAdd_Infinite_18_1_Dan</t>
  </si>
  <si>
    <r>
      <t>Skill_Monster_Infinite_1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_1_Dan</t>
    </r>
    <phoneticPr fontId="4" type="noConversion"/>
  </si>
  <si>
    <r>
      <t>BuffAdd_Infinite_1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_1_Dan</t>
    </r>
    <phoneticPr fontId="4" type="noConversion"/>
  </si>
  <si>
    <t>BuffAdd_Infinite_19_3_ZhongZi</t>
  </si>
  <si>
    <t>BuffAdd_Infinite_20_1_Dan</t>
  </si>
  <si>
    <t>BuffAdd_Infinite_20_2_Gui</t>
  </si>
  <si>
    <t>BuffAdd_Infinite_20_3_ZhongZi</t>
  </si>
  <si>
    <t>BuffAdd_Infinite_20_4_Dan</t>
  </si>
  <si>
    <r>
      <t>Skill</t>
    </r>
    <r>
      <rPr>
        <sz val="11"/>
        <color theme="1"/>
        <rFont val="等线"/>
        <family val="3"/>
        <charset val="134"/>
        <scheme val="minor"/>
      </rPr>
      <t>_Monster_Infinite_Boss</t>
    </r>
    <phoneticPr fontId="4" type="noConversion"/>
  </si>
  <si>
    <t>Boss出场技能</t>
    <phoneticPr fontId="4" type="noConversion"/>
  </si>
  <si>
    <t>PlayAudio_BossAppear</t>
  </si>
  <si>
    <t>通用技能_回复</t>
    <phoneticPr fontId="4" type="noConversion"/>
  </si>
  <si>
    <t>通用技能_隐身</t>
    <phoneticPr fontId="4" type="noConversion"/>
  </si>
  <si>
    <t>通用技能_弱化</t>
    <phoneticPr fontId="4" type="noConversion"/>
  </si>
  <si>
    <t>通用技能_加速</t>
    <phoneticPr fontId="4" type="noConversion"/>
  </si>
  <si>
    <t>BuyTowerRefreshRule_Infinite</t>
  </si>
  <si>
    <t>TowerDefenseCfg_Offline</t>
    <phoneticPr fontId="4" type="noConversion"/>
  </si>
  <si>
    <t>难度递增</t>
    <phoneticPr fontId="4" type="noConversion"/>
  </si>
  <si>
    <t>boss关递增</t>
    <phoneticPr fontId="4" type="noConversion"/>
  </si>
  <si>
    <t>0-5波</t>
    <phoneticPr fontId="4" type="noConversion"/>
  </si>
  <si>
    <t>5-10波</t>
    <phoneticPr fontId="4" type="noConversion"/>
  </si>
  <si>
    <t>10-15波</t>
    <phoneticPr fontId="4" type="noConversion"/>
  </si>
  <si>
    <t>15-20波</t>
    <phoneticPr fontId="4" type="noConversion"/>
  </si>
  <si>
    <t>Skill_Monster_Challenge3_1_1,NormalAttack</t>
  </si>
  <si>
    <t>Skill_Monster_Challenge4_1_1,NormalAttack</t>
  </si>
  <si>
    <t>Skill_Monster_Challenge5_1_1,NormalAttack</t>
  </si>
  <si>
    <t>0-4波</t>
    <phoneticPr fontId="4" type="noConversion"/>
  </si>
  <si>
    <t>5-8波</t>
    <phoneticPr fontId="4" type="noConversion"/>
  </si>
  <si>
    <t>9-12波</t>
    <phoneticPr fontId="4" type="noConversion"/>
  </si>
  <si>
    <t>13-16波</t>
    <phoneticPr fontId="4" type="noConversion"/>
  </si>
  <si>
    <t>17-20波</t>
    <phoneticPr fontId="4" type="noConversion"/>
  </si>
  <si>
    <t>玩家水平</t>
    <phoneticPr fontId="4" type="noConversion"/>
  </si>
  <si>
    <t>2级塔</t>
    <phoneticPr fontId="4" type="noConversion"/>
  </si>
  <si>
    <t>合理搭配或3级塔</t>
    <phoneticPr fontId="4" type="noConversion"/>
  </si>
  <si>
    <t>长路线+应对怪物</t>
    <phoneticPr fontId="4" type="noConversion"/>
  </si>
  <si>
    <t>长路线+应对怪物+高效输出</t>
    <phoneticPr fontId="4" type="noConversion"/>
  </si>
  <si>
    <t>长路线/发挥塔特性</t>
    <phoneticPr fontId="4" type="noConversion"/>
  </si>
  <si>
    <t>地形设计的趣味性/耐玩性</t>
    <phoneticPr fontId="4" type="noConversion"/>
  </si>
  <si>
    <t>设计直线、转弯、斜坡、交叉等的组合</t>
    <phoneticPr fontId="4" type="noConversion"/>
  </si>
  <si>
    <t>因为这些地形能然塔、怪物产生不同的效果？</t>
    <phoneticPr fontId="4" type="noConversion"/>
  </si>
  <si>
    <t>直线弩炮，扇形塔，轨道炮、加入陷阱</t>
    <phoneticPr fontId="4" type="noConversion"/>
  </si>
  <si>
    <t>关卡名称</t>
    <phoneticPr fontId="4" type="noConversion"/>
  </si>
  <si>
    <t>功能诉求</t>
    <phoneticPr fontId="4" type="noConversion"/>
  </si>
  <si>
    <t>表现形式</t>
    <phoneticPr fontId="4" type="noConversion"/>
  </si>
  <si>
    <t>体验测评</t>
    <phoneticPr fontId="4" type="noConversion"/>
  </si>
  <si>
    <t>兴趣曲线</t>
    <phoneticPr fontId="4" type="noConversion"/>
  </si>
  <si>
    <t>学习曲线</t>
    <phoneticPr fontId="4" type="noConversion"/>
  </si>
  <si>
    <t>难度曲线</t>
    <phoneticPr fontId="4" type="noConversion"/>
  </si>
  <si>
    <t>学习曲线诉求</t>
    <phoneticPr fontId="4" type="noConversion"/>
  </si>
  <si>
    <t>难度曲线诉求</t>
    <phoneticPr fontId="4" type="noConversion"/>
  </si>
  <si>
    <t>玩家反馈诉求</t>
    <phoneticPr fontId="4" type="noConversion"/>
  </si>
  <si>
    <t>新手关卡1</t>
    <phoneticPr fontId="4" type="noConversion"/>
  </si>
  <si>
    <t>感到新鲜和惊喜</t>
    <phoneticPr fontId="4" type="noConversion"/>
  </si>
  <si>
    <t>掌握单局流程和基本操作</t>
    <phoneticPr fontId="4" type="noConversion"/>
  </si>
  <si>
    <t>所有人都能过关</t>
    <phoneticPr fontId="4" type="noConversion"/>
  </si>
  <si>
    <t>竞品情况诉求</t>
    <phoneticPr fontId="4" type="noConversion"/>
  </si>
  <si>
    <t>能够买多个特色塔，出现多种怪物，体验一段激烈的战斗</t>
    <phoneticPr fontId="4" type="noConversion"/>
  </si>
  <si>
    <t>教学买塔、放置和开始，1波怪物</t>
    <phoneticPr fontId="4" type="noConversion"/>
  </si>
  <si>
    <t>大本营血量高，但怪物保持一定的强度</t>
    <phoneticPr fontId="4" type="noConversion"/>
  </si>
  <si>
    <t>峰终定律</t>
    <phoneticPr fontId="4" type="noConversion"/>
  </si>
  <si>
    <t>技巧持续上升没有尽头</t>
    <phoneticPr fontId="4" type="noConversion"/>
  </si>
  <si>
    <t>增量挑战-组合挑战-技巧领悟-自主实验-中场休息</t>
    <phoneticPr fontId="4" type="noConversion"/>
  </si>
  <si>
    <t>波浪</t>
    <phoneticPr fontId="4" type="noConversion"/>
  </si>
  <si>
    <t>接近成功时失败</t>
    <phoneticPr fontId="4" type="noConversion"/>
  </si>
  <si>
    <t>难度体现在玩家行为失误上</t>
    <phoneticPr fontId="4" type="noConversion"/>
  </si>
  <si>
    <t>目标设立</t>
    <phoneticPr fontId="4" type="noConversion"/>
  </si>
  <si>
    <t>短中长，由多到少</t>
    <phoneticPr fontId="4" type="noConversion"/>
  </si>
  <si>
    <t>首日</t>
    <phoneticPr fontId="4" type="noConversion"/>
  </si>
  <si>
    <t>无限关卡</t>
    <phoneticPr fontId="4" type="noConversion"/>
  </si>
  <si>
    <t>期望</t>
    <phoneticPr fontId="4" type="noConversion"/>
  </si>
  <si>
    <t>当前</t>
    <phoneticPr fontId="4" type="noConversion"/>
  </si>
  <si>
    <t>改进方案</t>
    <phoneticPr fontId="4" type="noConversion"/>
  </si>
  <si>
    <t>初始</t>
    <phoneticPr fontId="4" type="noConversion"/>
  </si>
  <si>
    <t>展现更多塔和怪</t>
    <phoneticPr fontId="4" type="noConversion"/>
  </si>
  <si>
    <t>最少的塔和怪物</t>
    <phoneticPr fontId="4" type="noConversion"/>
  </si>
  <si>
    <t>仅多出现1个新塔</t>
    <phoneticPr fontId="4" type="noConversion"/>
  </si>
  <si>
    <t>可用8个塔/金币更多/插入引导</t>
    <phoneticPr fontId="4" type="noConversion"/>
  </si>
  <si>
    <t>教学基本操作</t>
    <phoneticPr fontId="4" type="noConversion"/>
  </si>
  <si>
    <t>教学基本塔</t>
    <phoneticPr fontId="4" type="noConversion"/>
  </si>
  <si>
    <t>教学升级</t>
    <phoneticPr fontId="4" type="noConversion"/>
  </si>
  <si>
    <t>使玩家容易达到塔上限</t>
    <phoneticPr fontId="4" type="noConversion"/>
  </si>
  <si>
    <t>（2关1教学 ）教学拖动</t>
    <phoneticPr fontId="4" type="noConversion"/>
  </si>
  <si>
    <t>（2关1教学 ）教学高低地形</t>
    <phoneticPr fontId="4" type="noConversion"/>
  </si>
  <si>
    <t>（2关1教学 ）教学设计路线</t>
    <phoneticPr fontId="4" type="noConversion"/>
  </si>
  <si>
    <t>难度提升</t>
    <phoneticPr fontId="4" type="noConversion"/>
  </si>
  <si>
    <t>需要利用升级解决困难</t>
    <phoneticPr fontId="4" type="noConversion"/>
  </si>
  <si>
    <t>难度降低</t>
    <phoneticPr fontId="4" type="noConversion"/>
  </si>
  <si>
    <t>学会基本技巧</t>
    <phoneticPr fontId="4" type="noConversion"/>
  </si>
  <si>
    <t>最少的初始内容，使后续解锁产生落差</t>
    <phoneticPr fontId="4" type="noConversion"/>
  </si>
  <si>
    <t>比新手关难，但正常玩都能过</t>
    <phoneticPr fontId="4" type="noConversion"/>
  </si>
  <si>
    <t>为升级技能产生需求</t>
    <phoneticPr fontId="4" type="noConversion"/>
  </si>
  <si>
    <t>比上一关难</t>
    <phoneticPr fontId="4" type="noConversion"/>
  </si>
  <si>
    <t>学习新技巧：升级</t>
    <phoneticPr fontId="4" type="noConversion"/>
  </si>
  <si>
    <t>利用升级较为简单</t>
    <phoneticPr fontId="4" type="noConversion"/>
  </si>
  <si>
    <t>接触新塔</t>
    <phoneticPr fontId="4" type="noConversion"/>
  </si>
  <si>
    <t>练习并掌握升级</t>
    <phoneticPr fontId="4" type="noConversion"/>
  </si>
  <si>
    <t>新模式，新体验</t>
    <phoneticPr fontId="4" type="noConversion"/>
  </si>
  <si>
    <t>了解模式玩法</t>
    <phoneticPr fontId="4" type="noConversion"/>
  </si>
  <si>
    <t>有一定体验，但较快遇到阻碍</t>
    <phoneticPr fontId="4" type="noConversion"/>
  </si>
  <si>
    <t>接触新怪物</t>
    <phoneticPr fontId="4" type="noConversion"/>
  </si>
  <si>
    <t>加农弩箭</t>
    <phoneticPr fontId="4" type="noConversion"/>
  </si>
  <si>
    <t>组合1级塔可过</t>
    <phoneticPr fontId="4" type="noConversion"/>
  </si>
  <si>
    <t>使用基本塔</t>
    <phoneticPr fontId="4" type="noConversion"/>
  </si>
  <si>
    <t>钱多，位置少</t>
    <phoneticPr fontId="4" type="noConversion"/>
  </si>
  <si>
    <t>上一关奖励塔</t>
    <phoneticPr fontId="4" type="noConversion"/>
  </si>
  <si>
    <t>2级塔可过</t>
    <phoneticPr fontId="4" type="noConversion"/>
  </si>
  <si>
    <t>多个2级塔可过</t>
    <phoneticPr fontId="4" type="noConversion"/>
  </si>
  <si>
    <t>前期无新内容</t>
    <phoneticPr fontId="4" type="noConversion"/>
  </si>
  <si>
    <t>简单过3波</t>
    <phoneticPr fontId="4" type="noConversion"/>
  </si>
  <si>
    <t>塔多位置多出boss</t>
    <phoneticPr fontId="4" type="noConversion"/>
  </si>
  <si>
    <t>用户特点</t>
    <phoneticPr fontId="4" type="noConversion"/>
  </si>
  <si>
    <t>玩法配合</t>
    <phoneticPr fontId="4" type="noConversion"/>
  </si>
  <si>
    <t>获得新卡</t>
    <phoneticPr fontId="4" type="noConversion"/>
  </si>
  <si>
    <t>第2天</t>
  </si>
  <si>
    <t>学习新卡用法</t>
    <phoneticPr fontId="4" type="noConversion"/>
  </si>
  <si>
    <t>学习新怪物对策</t>
    <phoneticPr fontId="4" type="noConversion"/>
  </si>
  <si>
    <t>技巧深度</t>
    <phoneticPr fontId="4" type="noConversion"/>
  </si>
  <si>
    <t>阵容组合</t>
    <phoneticPr fontId="4" type="noConversion"/>
  </si>
  <si>
    <t>临场选择</t>
    <phoneticPr fontId="4" type="noConversion"/>
  </si>
  <si>
    <t>资源分配</t>
    <phoneticPr fontId="4" type="noConversion"/>
  </si>
  <si>
    <t>地形设计技巧</t>
    <phoneticPr fontId="4" type="noConversion"/>
  </si>
  <si>
    <t>设计虚拟陷阱与地形结合</t>
    <phoneticPr fontId="4" type="noConversion"/>
  </si>
  <si>
    <t>毒蝎</t>
    <phoneticPr fontId="4" type="noConversion"/>
  </si>
  <si>
    <t>闪电链</t>
    <phoneticPr fontId="4" type="noConversion"/>
  </si>
  <si>
    <t>远处特攻/抛物线</t>
    <phoneticPr fontId="4" type="noConversion"/>
  </si>
  <si>
    <t>散弹枪手</t>
    <phoneticPr fontId="4" type="noConversion"/>
  </si>
  <si>
    <t>近处特攻/扇形击退</t>
    <phoneticPr fontId="4" type="noConversion"/>
  </si>
  <si>
    <t>塔</t>
    <phoneticPr fontId="4" type="noConversion"/>
  </si>
  <si>
    <t>地形</t>
    <phoneticPr fontId="4" type="noConversion"/>
  </si>
  <si>
    <t>道具</t>
    <phoneticPr fontId="4" type="noConversion"/>
  </si>
  <si>
    <t>养成</t>
    <phoneticPr fontId="4" type="noConversion"/>
  </si>
  <si>
    <t>远</t>
    <phoneticPr fontId="4" type="noConversion"/>
  </si>
  <si>
    <t>近</t>
    <phoneticPr fontId="4" type="noConversion"/>
  </si>
  <si>
    <t>高</t>
    <phoneticPr fontId="4" type="noConversion"/>
  </si>
  <si>
    <t>低</t>
    <phoneticPr fontId="4" type="noConversion"/>
  </si>
  <si>
    <t>直</t>
    <phoneticPr fontId="4" type="noConversion"/>
  </si>
  <si>
    <t>曲</t>
    <phoneticPr fontId="4" type="noConversion"/>
  </si>
  <si>
    <t>怪</t>
    <phoneticPr fontId="4" type="noConversion"/>
  </si>
  <si>
    <t>单个</t>
    <phoneticPr fontId="4" type="noConversion"/>
  </si>
  <si>
    <t>群体</t>
    <phoneticPr fontId="4" type="noConversion"/>
  </si>
  <si>
    <t>肉</t>
    <phoneticPr fontId="4" type="noConversion"/>
  </si>
  <si>
    <t>隐身</t>
    <phoneticPr fontId="4" type="noConversion"/>
  </si>
  <si>
    <t>治疗</t>
    <phoneticPr fontId="4" type="noConversion"/>
  </si>
  <si>
    <t>弱化</t>
    <phoneticPr fontId="4" type="noConversion"/>
  </si>
  <si>
    <t>沉默破甲</t>
    <phoneticPr fontId="4" type="noConversion"/>
  </si>
  <si>
    <t>精灵弓手</t>
    <phoneticPr fontId="4" type="noConversion"/>
  </si>
  <si>
    <t>爆炸</t>
    <phoneticPr fontId="4" type="noConversion"/>
  </si>
  <si>
    <t>偷金币</t>
    <phoneticPr fontId="4" type="noConversion"/>
  </si>
  <si>
    <t>扣除最大生命</t>
    <phoneticPr fontId="4" type="noConversion"/>
  </si>
  <si>
    <t>活动怪</t>
    <phoneticPr fontId="4" type="noConversion"/>
  </si>
  <si>
    <t>融化雪人</t>
    <phoneticPr fontId="4" type="noConversion"/>
  </si>
  <si>
    <t>无敌乌龟</t>
    <phoneticPr fontId="4" type="noConversion"/>
  </si>
  <si>
    <t>高伤大块头</t>
    <phoneticPr fontId="4" type="noConversion"/>
  </si>
  <si>
    <t>净化护盾</t>
    <phoneticPr fontId="4" type="noConversion"/>
  </si>
  <si>
    <t>进攻号角</t>
    <phoneticPr fontId="4" type="noConversion"/>
  </si>
  <si>
    <t>加速鸟</t>
    <phoneticPr fontId="4" type="noConversion"/>
  </si>
  <si>
    <t>融化雪人</t>
    <phoneticPr fontId="4" type="noConversion"/>
  </si>
  <si>
    <t>无敌乌龟</t>
    <phoneticPr fontId="4" type="noConversion"/>
  </si>
  <si>
    <t>小概率斩杀</t>
    <phoneticPr fontId="4" type="noConversion"/>
  </si>
  <si>
    <t>圣剑</t>
    <phoneticPr fontId="4" type="noConversion"/>
  </si>
  <si>
    <t>随机金币袋</t>
    <phoneticPr fontId="4" type="noConversion"/>
  </si>
  <si>
    <t>激光塔</t>
    <phoneticPr fontId="4" type="noConversion"/>
  </si>
  <si>
    <t>直线特攻</t>
    <phoneticPr fontId="4" type="noConversion"/>
  </si>
  <si>
    <t>攻击+</t>
    <phoneticPr fontId="4" type="noConversion"/>
  </si>
  <si>
    <t>圣战旗帜</t>
    <phoneticPr fontId="4" type="noConversion"/>
  </si>
  <si>
    <t>单体</t>
    <phoneticPr fontId="4" type="noConversion"/>
  </si>
  <si>
    <t>增益</t>
    <phoneticPr fontId="4" type="noConversion"/>
  </si>
  <si>
    <t>减益</t>
    <phoneticPr fontId="4" type="noConversion"/>
  </si>
  <si>
    <t>消耗</t>
    <phoneticPr fontId="4" type="noConversion"/>
  </si>
  <si>
    <t>电磁</t>
    <phoneticPr fontId="4" type="noConversion"/>
  </si>
  <si>
    <t>持续电击强化</t>
    <phoneticPr fontId="4" type="noConversion"/>
  </si>
  <si>
    <t>奥术飞弹</t>
    <phoneticPr fontId="4" type="noConversion"/>
  </si>
  <si>
    <t>可单可群/攻击低/价格低</t>
    <phoneticPr fontId="4" type="noConversion"/>
  </si>
  <si>
    <t>当前问题</t>
    <phoneticPr fontId="4" type="noConversion"/>
  </si>
  <si>
    <t>点击放置塔进行升级以及跨回合时，玩家流失</t>
    <phoneticPr fontId="4" type="noConversion"/>
  </si>
  <si>
    <t>解决方案</t>
    <phoneticPr fontId="4" type="noConversion"/>
  </si>
  <si>
    <t>玩家困境</t>
    <phoneticPr fontId="4" type="noConversion"/>
  </si>
  <si>
    <t>教学内容</t>
    <phoneticPr fontId="4" type="noConversion"/>
  </si>
  <si>
    <t>练习</t>
    <phoneticPr fontId="4" type="noConversion"/>
  </si>
  <si>
    <t>怎么玩？</t>
    <phoneticPr fontId="4" type="noConversion"/>
  </si>
  <si>
    <t>扫图、放大本营、放塔</t>
    <phoneticPr fontId="4" type="noConversion"/>
  </si>
  <si>
    <t>新手无限关卡</t>
    <phoneticPr fontId="4" type="noConversion"/>
  </si>
  <si>
    <t>塔太多</t>
    <phoneticPr fontId="4" type="noConversion"/>
  </si>
  <si>
    <t>升级</t>
    <phoneticPr fontId="4" type="noConversion"/>
  </si>
  <si>
    <t>关卡1</t>
    <phoneticPr fontId="4" type="noConversion"/>
  </si>
  <si>
    <t>刷新</t>
    <phoneticPr fontId="4" type="noConversion"/>
  </si>
  <si>
    <t xml:space="preserve">没想要的塔 </t>
    <phoneticPr fontId="4" type="noConversion"/>
  </si>
  <si>
    <t>文案简化</t>
    <phoneticPr fontId="4" type="noConversion"/>
  </si>
  <si>
    <t>教学时机</t>
    <phoneticPr fontId="4" type="noConversion"/>
  </si>
  <si>
    <t>开始游戏</t>
    <phoneticPr fontId="4" type="noConversion"/>
  </si>
  <si>
    <t>升级特效优化</t>
    <phoneticPr fontId="4" type="noConversion"/>
  </si>
  <si>
    <t>点击升级无效时弹出tips说明</t>
    <phoneticPr fontId="4" type="noConversion"/>
  </si>
  <si>
    <t>新手引导移除升级和刷新教学</t>
    <phoneticPr fontId="4" type="noConversion"/>
  </si>
  <si>
    <t>ok</t>
    <phoneticPr fontId="4" type="noConversion"/>
  </si>
  <si>
    <t>远处抛物线</t>
    <phoneticPr fontId="4" type="noConversion"/>
  </si>
  <si>
    <t>2连发</t>
    <phoneticPr fontId="4" type="noConversion"/>
  </si>
  <si>
    <t>近处扇形击退</t>
    <phoneticPr fontId="4" type="noConversion"/>
  </si>
  <si>
    <t>可单可群</t>
    <phoneticPr fontId="4" type="noConversion"/>
  </si>
  <si>
    <t>击退带眩晕</t>
    <phoneticPr fontId="4" type="noConversion"/>
  </si>
  <si>
    <t>子弹增加</t>
    <phoneticPr fontId="4" type="noConversion"/>
  </si>
  <si>
    <t>范围扩大</t>
    <phoneticPr fontId="4" type="noConversion"/>
  </si>
  <si>
    <t>近处增伤率lv1/2/3；击退距离；眩晕时间</t>
    <phoneticPr fontId="4" type="noConversion"/>
  </si>
  <si>
    <t>3级射程</t>
    <phoneticPr fontId="4" type="noConversion"/>
  </si>
  <si>
    <t>详情里显示最大伤害</t>
    <phoneticPr fontId="4" type="noConversion"/>
  </si>
  <si>
    <t>赛季活动关卡</t>
    <phoneticPr fontId="4" type="noConversion"/>
  </si>
  <si>
    <t>赛季1关卡</t>
    <phoneticPr fontId="4" type="noConversion"/>
  </si>
  <si>
    <t>赛季2关卡</t>
    <phoneticPr fontId="4" type="noConversion"/>
  </si>
  <si>
    <t>赛季3关卡</t>
    <phoneticPr fontId="4" type="noConversion"/>
  </si>
  <si>
    <t>赛季4关卡</t>
    <phoneticPr fontId="4" type="noConversion"/>
  </si>
  <si>
    <t>学习</t>
    <phoneticPr fontId="4" type="noConversion"/>
  </si>
  <si>
    <t>兴趣</t>
    <phoneticPr fontId="4" type="noConversion"/>
  </si>
  <si>
    <t>波次6</t>
  </si>
  <si>
    <t>波次7</t>
  </si>
  <si>
    <t>波次8</t>
  </si>
  <si>
    <t>波次9</t>
  </si>
  <si>
    <t>波次10</t>
  </si>
  <si>
    <t>20%过关率</t>
    <phoneticPr fontId="4" type="noConversion"/>
  </si>
  <si>
    <t>50%过关率</t>
    <phoneticPr fontId="4" type="noConversion"/>
  </si>
  <si>
    <t>怪升级</t>
    <phoneticPr fontId="4" type="noConversion"/>
  </si>
  <si>
    <t>新怪</t>
    <phoneticPr fontId="4" type="noConversion"/>
  </si>
  <si>
    <t>怪升级/新卡</t>
    <phoneticPr fontId="4" type="noConversion"/>
  </si>
  <si>
    <t>90%过关率</t>
    <phoneticPr fontId="4" type="noConversion"/>
  </si>
  <si>
    <t>70%过关率</t>
    <phoneticPr fontId="4" type="noConversion"/>
  </si>
  <si>
    <t>加速怪1+普通</t>
    <phoneticPr fontId="4" type="noConversion"/>
  </si>
  <si>
    <t>加速怪1+治疗</t>
    <phoneticPr fontId="4" type="noConversion"/>
  </si>
  <si>
    <t>加速怪2+普通</t>
    <phoneticPr fontId="4" type="noConversion"/>
  </si>
  <si>
    <t>加速怪2+隐身</t>
    <phoneticPr fontId="4" type="noConversion"/>
  </si>
  <si>
    <t>普通</t>
  </si>
  <si>
    <t>集群怪</t>
  </si>
  <si>
    <t>混合</t>
  </si>
  <si>
    <t>混合++</t>
  </si>
  <si>
    <t>快速</t>
  </si>
  <si>
    <t>普通+快速</t>
  </si>
  <si>
    <t>集群+快速</t>
  </si>
  <si>
    <t>治疗</t>
  </si>
  <si>
    <t>普通+治疗</t>
  </si>
  <si>
    <t>集群+治疗</t>
  </si>
  <si>
    <t>隐身</t>
  </si>
  <si>
    <t>隐身+普通</t>
  </si>
  <si>
    <t>隐身+快速</t>
  </si>
  <si>
    <t>隐身+集群</t>
  </si>
  <si>
    <t>隐身+治疗</t>
  </si>
  <si>
    <t>弱化</t>
  </si>
  <si>
    <t>弱化+快速</t>
  </si>
  <si>
    <t>弱化+治疗</t>
  </si>
  <si>
    <t>弱化+隐身</t>
  </si>
  <si>
    <t>混合+BOSS</t>
    <phoneticPr fontId="4" type="noConversion"/>
  </si>
  <si>
    <t>混合++</t>
    <phoneticPr fontId="4" type="noConversion"/>
  </si>
  <si>
    <t>混合</t>
    <phoneticPr fontId="4" type="noConversion"/>
  </si>
  <si>
    <t>混合+</t>
    <phoneticPr fontId="4" type="noConversion"/>
  </si>
  <si>
    <t>加速怪2/3+全部</t>
    <phoneticPr fontId="4" type="noConversion"/>
  </si>
  <si>
    <t>肉怪1+普通</t>
    <phoneticPr fontId="4" type="noConversion"/>
  </si>
  <si>
    <t>肉怪1+治疗</t>
    <phoneticPr fontId="4" type="noConversion"/>
  </si>
  <si>
    <t>肉怪2+普通</t>
    <phoneticPr fontId="4" type="noConversion"/>
  </si>
  <si>
    <t>肉怪2+隐身</t>
    <phoneticPr fontId="4" type="noConversion"/>
  </si>
  <si>
    <t>肉怪2/3+全部</t>
    <phoneticPr fontId="4" type="noConversion"/>
  </si>
  <si>
    <t>雪人怪1+普通</t>
  </si>
  <si>
    <t>雪人怪1+治疗</t>
  </si>
  <si>
    <t>雪人怪2+普通</t>
  </si>
  <si>
    <t>雪人怪2+隐身</t>
  </si>
  <si>
    <t>雪人怪2/3+全部</t>
  </si>
  <si>
    <t>乌龟怪1+普通</t>
  </si>
  <si>
    <t>乌龟怪1+治疗</t>
  </si>
  <si>
    <t>乌龟怪2+普通</t>
  </si>
  <si>
    <t>乌龟怪2+隐身</t>
  </si>
  <si>
    <t>乌龟怪2/3+全部</t>
  </si>
  <si>
    <t>赛季1</t>
    <phoneticPr fontId="4" type="noConversion"/>
  </si>
  <si>
    <t>鸟1</t>
  </si>
  <si>
    <t>肉1</t>
  </si>
  <si>
    <t>肉2</t>
  </si>
  <si>
    <t>肉3</t>
  </si>
  <si>
    <t>雪人1</t>
  </si>
  <si>
    <t>雪人2</t>
  </si>
  <si>
    <t>雪人3</t>
  </si>
  <si>
    <t>乌龟1</t>
  </si>
  <si>
    <t>乌龟2</t>
  </si>
  <si>
    <t>乌龟3</t>
  </si>
  <si>
    <t>赛季2</t>
    <phoneticPr fontId="4" type="noConversion"/>
  </si>
  <si>
    <t>赛季3</t>
    <phoneticPr fontId="4" type="noConversion"/>
  </si>
  <si>
    <t>赛季4</t>
    <phoneticPr fontId="4" type="noConversion"/>
  </si>
  <si>
    <t>肉1</t>
    <phoneticPr fontId="4" type="noConversion"/>
  </si>
  <si>
    <t>肉2</t>
    <phoneticPr fontId="4" type="noConversion"/>
  </si>
  <si>
    <t>肉3</t>
    <phoneticPr fontId="4" type="noConversion"/>
  </si>
  <si>
    <t>ResUnit_Rou1</t>
  </si>
  <si>
    <t>ResUnit_Rou2</t>
  </si>
  <si>
    <t>ResUnit_Rou3</t>
  </si>
  <si>
    <t>ResUnit_XueRen1</t>
  </si>
  <si>
    <t>ResUnit_XueRen2</t>
  </si>
  <si>
    <t>ResUnit_XueRen3</t>
  </si>
  <si>
    <t>ResUnit_WuGui1</t>
  </si>
  <si>
    <t>ResUnit_WuGui2</t>
  </si>
  <si>
    <t>ResUnit_WuGui3</t>
  </si>
  <si>
    <t>高生命攻击</t>
    <phoneticPr fontId="4" type="noConversion"/>
  </si>
  <si>
    <t>持续变弱</t>
    <phoneticPr fontId="4" type="noConversion"/>
  </si>
  <si>
    <t>无敌技</t>
    <phoneticPr fontId="4" type="noConversion"/>
  </si>
  <si>
    <t>活动关</t>
    <phoneticPr fontId="4" type="noConversion"/>
  </si>
  <si>
    <t>赛季内可养满</t>
    <phoneticPr fontId="4" type="noConversion"/>
  </si>
  <si>
    <t>每项养成最大性价比相同</t>
    <phoneticPr fontId="4" type="noConversion"/>
  </si>
  <si>
    <t>占比</t>
    <phoneticPr fontId="4" type="noConversion"/>
  </si>
  <si>
    <t>具体数量</t>
    <phoneticPr fontId="4" type="noConversion"/>
  </si>
  <si>
    <t>钻石产出</t>
    <phoneticPr fontId="4" type="noConversion"/>
  </si>
  <si>
    <t>赛季周期</t>
    <phoneticPr fontId="4" type="noConversion"/>
  </si>
  <si>
    <t>每日局数：</t>
    <phoneticPr fontId="4" type="noConversion"/>
  </si>
  <si>
    <t>挑战产出</t>
    <phoneticPr fontId="4" type="noConversion"/>
  </si>
  <si>
    <t>挑战1</t>
    <phoneticPr fontId="4" type="noConversion"/>
  </si>
  <si>
    <t>挑战2</t>
  </si>
  <si>
    <t>挑战3</t>
  </si>
  <si>
    <t>挑战4</t>
  </si>
  <si>
    <t>挑战5</t>
  </si>
  <si>
    <t>挑战6</t>
  </si>
  <si>
    <t>挑战7</t>
  </si>
  <si>
    <t>挑战8</t>
  </si>
  <si>
    <t>挑战9</t>
  </si>
  <si>
    <t>挑战10</t>
  </si>
  <si>
    <t>权重</t>
    <phoneticPr fontId="4" type="noConversion"/>
  </si>
  <si>
    <t>首次挑战</t>
    <phoneticPr fontId="4" type="noConversion"/>
  </si>
  <si>
    <t>重复挑战</t>
    <phoneticPr fontId="4" type="noConversion"/>
  </si>
  <si>
    <t>首次奖励</t>
    <phoneticPr fontId="4" type="noConversion"/>
  </si>
  <si>
    <t>重复奖励</t>
    <phoneticPr fontId="4" type="noConversion"/>
  </si>
  <si>
    <t>无限产出</t>
    <phoneticPr fontId="4" type="noConversion"/>
  </si>
  <si>
    <t xml:space="preserve">挑战 </t>
    <phoneticPr fontId="4" type="noConversion"/>
  </si>
  <si>
    <t>首次产出</t>
    <phoneticPr fontId="4" type="noConversion"/>
  </si>
  <si>
    <t>实际产出</t>
    <phoneticPr fontId="4" type="noConversion"/>
  </si>
  <si>
    <t>钻石投放</t>
    <phoneticPr fontId="4" type="noConversion"/>
  </si>
  <si>
    <t>目标：</t>
    <phoneticPr fontId="4" type="noConversion"/>
  </si>
  <si>
    <t>手痛活动优先</t>
    <phoneticPr fontId="4" type="noConversion"/>
  </si>
  <si>
    <t>降低刷取的可能性</t>
    <phoneticPr fontId="4" type="noConversion"/>
  </si>
  <si>
    <t>养满加成：</t>
    <phoneticPr fontId="4" type="noConversion"/>
  </si>
  <si>
    <t>所需天数：</t>
    <phoneticPr fontId="4" type="noConversion"/>
  </si>
  <si>
    <t>各关卡具体产出</t>
    <phoneticPr fontId="4" type="noConversion"/>
  </si>
  <si>
    <t>产出概览</t>
    <phoneticPr fontId="4" type="noConversion"/>
  </si>
  <si>
    <t>加成</t>
    <phoneticPr fontId="4" type="noConversion"/>
  </si>
  <si>
    <t xml:space="preserve"> 塔最大数量+</t>
  </si>
  <si>
    <t xml:space="preserve"> 初始金币+</t>
  </si>
  <si>
    <t xml:space="preserve"> 伤害+</t>
  </si>
  <si>
    <t xml:space="preserve"> 塔价格-</t>
  </si>
  <si>
    <t xml:space="preserve"> 基地生命+</t>
  </si>
  <si>
    <t xml:space="preserve"> 基地恢复+</t>
  </si>
  <si>
    <t xml:space="preserve"> 攻击范围+</t>
  </si>
  <si>
    <t xml:space="preserve"> 攻击间隔-</t>
  </si>
  <si>
    <t xml:space="preserve"> 金币奖励+%</t>
  </si>
  <si>
    <t xml:space="preserve"> 复活+</t>
  </si>
  <si>
    <t xml:space="preserve"> 钻石奖励+%</t>
  </si>
  <si>
    <t>加成权重</t>
    <phoneticPr fontId="4" type="noConversion"/>
  </si>
  <si>
    <t>消耗权重</t>
    <phoneticPr fontId="4" type="noConversion"/>
  </si>
  <si>
    <t>LV1</t>
    <phoneticPr fontId="4" type="noConversion"/>
  </si>
  <si>
    <t>各项加成</t>
    <phoneticPr fontId="4" type="noConversion"/>
  </si>
  <si>
    <t>数值</t>
    <phoneticPr fontId="4" type="noConversion"/>
  </si>
  <si>
    <t>LV2</t>
  </si>
  <si>
    <t>LV3</t>
  </si>
  <si>
    <t>属性等价表</t>
    <phoneticPr fontId="4" type="noConversion"/>
  </si>
  <si>
    <t>塔数量</t>
    <phoneticPr fontId="4" type="noConversion"/>
  </si>
  <si>
    <t>基地生命</t>
    <phoneticPr fontId="4" type="noConversion"/>
  </si>
  <si>
    <t>攻击范围</t>
    <phoneticPr fontId="4" type="noConversion"/>
  </si>
  <si>
    <t>复活机会</t>
    <phoneticPr fontId="4" type="noConversion"/>
  </si>
  <si>
    <t xml:space="preserve"> 攻击间隔-%</t>
    <phoneticPr fontId="4" type="noConversion"/>
  </si>
  <si>
    <t>攻击间隔-</t>
    <phoneticPr fontId="4" type="noConversion"/>
  </si>
  <si>
    <t>局内金币</t>
    <phoneticPr fontId="4" type="noConversion"/>
  </si>
  <si>
    <t>对应属性</t>
    <phoneticPr fontId="4" type="noConversion"/>
  </si>
  <si>
    <t>价值</t>
    <phoneticPr fontId="4" type="noConversion"/>
  </si>
  <si>
    <t>换算关系</t>
    <phoneticPr fontId="4" type="noConversion"/>
  </si>
  <si>
    <t>加成选项</t>
    <phoneticPr fontId="4" type="noConversion"/>
  </si>
  <si>
    <t>总价值</t>
    <phoneticPr fontId="4" type="noConversion"/>
  </si>
  <si>
    <t>初始值</t>
    <phoneticPr fontId="4" type="noConversion"/>
  </si>
  <si>
    <t>增加战斗力</t>
    <phoneticPr fontId="4" type="noConversion"/>
  </si>
  <si>
    <t>养满数值</t>
    <phoneticPr fontId="4" type="noConversion"/>
  </si>
  <si>
    <t>初始战斗力</t>
    <phoneticPr fontId="4" type="noConversion"/>
  </si>
  <si>
    <t>养满战斗力</t>
    <phoneticPr fontId="4" type="noConversion"/>
  </si>
  <si>
    <t>增加比例</t>
    <phoneticPr fontId="4" type="noConversion"/>
  </si>
  <si>
    <t xml:space="preserve"> 钻石奖励+%</t>
    <phoneticPr fontId="4" type="noConversion"/>
  </si>
  <si>
    <t>局外钻石</t>
    <phoneticPr fontId="4" type="noConversion"/>
  </si>
  <si>
    <t xml:space="preserve"> 塔价格-</t>
    <phoneticPr fontId="4" type="noConversion"/>
  </si>
  <si>
    <t xml:space="preserve"> 伤害+%</t>
    <phoneticPr fontId="4" type="noConversion"/>
  </si>
  <si>
    <t>LV4</t>
    <phoneticPr fontId="4" type="noConversion"/>
  </si>
  <si>
    <t>详细加成</t>
    <phoneticPr fontId="4" type="noConversion"/>
  </si>
  <si>
    <t>各级加成消耗</t>
    <phoneticPr fontId="4" type="noConversion"/>
  </si>
  <si>
    <t>LV2</t>
    <phoneticPr fontId="4" type="noConversion"/>
  </si>
  <si>
    <t>LV3</t>
    <phoneticPr fontId="4" type="noConversion"/>
  </si>
  <si>
    <t>LV5</t>
    <phoneticPr fontId="4" type="noConversion"/>
  </si>
  <si>
    <t>等级</t>
    <phoneticPr fontId="4" type="noConversion"/>
  </si>
  <si>
    <t>总数</t>
    <phoneticPr fontId="4" type="noConversion"/>
  </si>
  <si>
    <t>实际消耗</t>
    <phoneticPr fontId="4" type="noConversion"/>
  </si>
  <si>
    <t>火箭</t>
    <phoneticPr fontId="4" type="noConversion"/>
  </si>
  <si>
    <t>展示怪1</t>
    <phoneticPr fontId="4" type="noConversion"/>
  </si>
  <si>
    <t>展示怪2</t>
    <phoneticPr fontId="4" type="noConversion"/>
  </si>
  <si>
    <t>展示怪3</t>
    <phoneticPr fontId="4" type="noConversion"/>
  </si>
  <si>
    <t>鸟3</t>
    <phoneticPr fontId="4" type="noConversion"/>
  </si>
  <si>
    <t>Monster_Season1_Challenge1_1_1</t>
  </si>
  <si>
    <t>Monster_Season1_Challenge1_1_2</t>
  </si>
  <si>
    <t>Monster_Season1_Challenge1_2_1</t>
  </si>
  <si>
    <t>Monster_Season1_Challenge1_2_2</t>
  </si>
  <si>
    <t>Monster_Season1_Challenge1_3_1</t>
  </si>
  <si>
    <t>Monster_Season1_Challenge1_3_2</t>
  </si>
  <si>
    <t>Monster_Season1_Challenge1_3_3</t>
  </si>
  <si>
    <t>Monster_Season1_Challenge2_1_1</t>
  </si>
  <si>
    <t>Monster_Season1_Challenge2_1_2</t>
  </si>
  <si>
    <t>Monster_Season1_Challenge2_2_1</t>
  </si>
  <si>
    <t>Monster_Season1_Challenge2_2_2</t>
  </si>
  <si>
    <t>Monster_Season1_Challenge2_2_3</t>
  </si>
  <si>
    <t>Monster_Season1_Challenge2_3_1</t>
  </si>
  <si>
    <t>Monster_Season1_Challenge2_3_2</t>
  </si>
  <si>
    <t>Monster_Season1_Challenge2_3_3</t>
  </si>
  <si>
    <t>Monster_Season1_Challenge2_4_1</t>
  </si>
  <si>
    <t>Monster_Season1_Challenge2_4_2</t>
  </si>
  <si>
    <t>Monster_Season1_Challenge2_4_3</t>
  </si>
  <si>
    <t>Monster_Season1_Challenge2_4_4</t>
  </si>
  <si>
    <t>Monster_Season1_Challenge2_5_1</t>
  </si>
  <si>
    <t>Monster_Season1_Challenge2_5_2</t>
  </si>
  <si>
    <t>Monster_Season1_Challenge2_5_3</t>
  </si>
  <si>
    <t>Monster_Season1_Challenge2_5_4</t>
  </si>
  <si>
    <t>Monster_Season1_Challenge3_1_1</t>
  </si>
  <si>
    <t>Monster_Season1_Challenge3_1_2</t>
  </si>
  <si>
    <t>Monster_Season1_Challenge3_2_1</t>
  </si>
  <si>
    <t>Monster_Season1_Challenge3_2_2</t>
  </si>
  <si>
    <t>Monster_Season1_Challenge3_2_3</t>
  </si>
  <si>
    <t>Monster_Season1_Challenge3_3_1</t>
  </si>
  <si>
    <t>Monster_Season1_Challenge3_3_2</t>
  </si>
  <si>
    <t>Monster_Season1_Challenge3_3_3</t>
  </si>
  <si>
    <t>Monster_Season1_Challenge4_1_1</t>
  </si>
  <si>
    <t>Monster_Season1_Challenge4_1_2</t>
  </si>
  <si>
    <t>Monster_Season1_Challenge4_2_1</t>
  </si>
  <si>
    <t>Monster_Season1_Challenge4_2_2</t>
  </si>
  <si>
    <t>Monster_Season1_Challenge4_2_3</t>
  </si>
  <si>
    <t>Monster_Season1_Challenge4_3_1</t>
  </si>
  <si>
    <t>Monster_Season1_Challenge4_3_2</t>
  </si>
  <si>
    <t>Monster_Season1_Challenge4_3_3</t>
  </si>
  <si>
    <t>Monster_Season1_Challenge4_4_1</t>
  </si>
  <si>
    <t>Monster_Season1_Challenge4_4_2</t>
  </si>
  <si>
    <t>Monster_Season1_Challenge4_4_3</t>
  </si>
  <si>
    <t>Monster_Season1_Challenge4_5_1</t>
  </si>
  <si>
    <t>Monster_Season1_Challenge4_5_2</t>
  </si>
  <si>
    <t>Monster_Season1_Challenge4_5_3</t>
  </si>
  <si>
    <t>Monster_Season1_Challenge5_1_1</t>
  </si>
  <si>
    <t>Monster_Season1_Challenge5_1_2</t>
  </si>
  <si>
    <t>Monster_Season1_Challenge5_2_1</t>
  </si>
  <si>
    <t>Monster_Season1_Challenge5_2_2</t>
  </si>
  <si>
    <t>Monster_Season1_Challenge5_2_3</t>
  </si>
  <si>
    <t>Monster_Season1_Challenge5_3_1</t>
  </si>
  <si>
    <t>Monster_Season1_Challenge5_3_2</t>
  </si>
  <si>
    <t>Monster_Season1_Challenge5_3_3</t>
  </si>
  <si>
    <t>Monster_Season1_Challenge5_3_4</t>
  </si>
  <si>
    <t>Monster_Season1_Challenge5_4_1</t>
  </si>
  <si>
    <t>Monster_Season1_Challenge5_4_2</t>
  </si>
  <si>
    <t>Monster_Season1_Challenge5_4_3</t>
  </si>
  <si>
    <t>Monster_Season1_Challenge5_5_1</t>
  </si>
  <si>
    <t>Monster_Season1_Challenge5_5_2</t>
  </si>
  <si>
    <t>Monster_Season1_Challenge5_5_3</t>
  </si>
  <si>
    <t>Monster_Season1_Challenge5_5_4</t>
  </si>
  <si>
    <t>Monster_Season1_Challenge5_6_1</t>
  </si>
  <si>
    <t>Monster_Season1_Challenge5_6_2</t>
  </si>
  <si>
    <t>Monster_Season1_Challenge5_6_3</t>
  </si>
  <si>
    <t>Monster_Season1_Challenge5_6_4</t>
  </si>
  <si>
    <t>Monster_Season1_Challenge5_7_1</t>
  </si>
  <si>
    <t>Monster_Season1_Challenge5_7_2</t>
  </si>
  <si>
    <t>Monster_Season1_Challenge5_7_3</t>
  </si>
  <si>
    <t>Monster_Season1_Challenge5_7_4</t>
  </si>
  <si>
    <t>Monster_Season1_Challenge5_8_1</t>
  </si>
  <si>
    <t>Monster_Season1_Challenge5_8_2</t>
  </si>
  <si>
    <t>Monster_Season1_Challenge5_8_3</t>
  </si>
  <si>
    <t>Monster_Season1_Challenge5_8_4</t>
  </si>
  <si>
    <t>Monster_Season2_Challenge1_1_1</t>
  </si>
  <si>
    <t>Monster_Season2_Challenge1_1_2</t>
  </si>
  <si>
    <t>Monster_Season2_Challenge1_2_1</t>
  </si>
  <si>
    <t>Monster_Season2_Challenge1_2_2</t>
  </si>
  <si>
    <t>Monster_Season2_Challenge1_3_1</t>
  </si>
  <si>
    <t>Monster_Season2_Challenge1_3_2</t>
  </si>
  <si>
    <t>Monster_Season2_Challenge1_3_3</t>
  </si>
  <si>
    <t>Monster_Season2_Challenge2_1_1</t>
  </si>
  <si>
    <t>Monster_Season2_Challenge2_1_2</t>
  </si>
  <si>
    <t>Monster_Season2_Challenge2_2_1</t>
  </si>
  <si>
    <t>Monster_Season2_Challenge2_2_2</t>
  </si>
  <si>
    <t>Monster_Season2_Challenge2_2_3</t>
  </si>
  <si>
    <t>Monster_Season2_Challenge2_3_1</t>
  </si>
  <si>
    <t>Monster_Season2_Challenge2_3_2</t>
  </si>
  <si>
    <t>Monster_Season2_Challenge2_3_3</t>
  </si>
  <si>
    <t>Monster_Season2_Challenge2_4_1</t>
  </si>
  <si>
    <t>Monster_Season2_Challenge2_4_2</t>
  </si>
  <si>
    <t>Monster_Season2_Challenge2_4_3</t>
  </si>
  <si>
    <t>Monster_Season2_Challenge2_4_4</t>
  </si>
  <si>
    <t>Monster_Season2_Challenge2_5_1</t>
  </si>
  <si>
    <t>Monster_Season2_Challenge2_5_2</t>
  </si>
  <si>
    <t>Monster_Season2_Challenge2_5_3</t>
  </si>
  <si>
    <t>Monster_Season2_Challenge2_5_4</t>
  </si>
  <si>
    <t>Monster_Season2_Challenge3_1_1</t>
  </si>
  <si>
    <t>Monster_Season2_Challenge3_1_2</t>
  </si>
  <si>
    <t>Monster_Season2_Challenge3_2_1</t>
  </si>
  <si>
    <t>Monster_Season2_Challenge3_2_2</t>
  </si>
  <si>
    <t>Monster_Season2_Challenge3_2_3</t>
  </si>
  <si>
    <t>Monster_Season2_Challenge3_3_1</t>
  </si>
  <si>
    <t>Monster_Season2_Challenge3_3_2</t>
  </si>
  <si>
    <t>Monster_Season2_Challenge3_3_3</t>
  </si>
  <si>
    <t>Monster_Season2_Challenge4_1_1</t>
  </si>
  <si>
    <t>Monster_Season2_Challenge4_1_2</t>
  </si>
  <si>
    <t>Monster_Season2_Challenge4_2_1</t>
  </si>
  <si>
    <t>Monster_Season2_Challenge4_2_2</t>
  </si>
  <si>
    <t>Monster_Season2_Challenge4_2_3</t>
  </si>
  <si>
    <t>Monster_Season2_Challenge4_3_1</t>
  </si>
  <si>
    <t>Monster_Season2_Challenge4_3_2</t>
  </si>
  <si>
    <t>Monster_Season2_Challenge4_3_3</t>
  </si>
  <si>
    <t>Monster_Season2_Challenge4_4_1</t>
  </si>
  <si>
    <t>Monster_Season2_Challenge4_4_2</t>
  </si>
  <si>
    <t>Monster_Season2_Challenge4_4_3</t>
  </si>
  <si>
    <t>Monster_Season2_Challenge4_5_1</t>
  </si>
  <si>
    <t>Monster_Season2_Challenge4_5_2</t>
  </si>
  <si>
    <t>Monster_Season2_Challenge4_5_3</t>
  </si>
  <si>
    <t>Monster_Season2_Challenge5_1_1</t>
  </si>
  <si>
    <t>Monster_Season2_Challenge5_1_2</t>
  </si>
  <si>
    <t>Monster_Season2_Challenge5_2_1</t>
  </si>
  <si>
    <t>Monster_Season2_Challenge5_2_2</t>
  </si>
  <si>
    <t>Monster_Season2_Challenge5_2_3</t>
  </si>
  <si>
    <t>Monster_Season2_Challenge5_3_1</t>
  </si>
  <si>
    <t>Monster_Season2_Challenge5_3_2</t>
  </si>
  <si>
    <t>Monster_Season2_Challenge5_3_3</t>
  </si>
  <si>
    <t>Monster_Season2_Challenge5_3_4</t>
  </si>
  <si>
    <t>Monster_Season2_Challenge5_4_1</t>
  </si>
  <si>
    <t>Monster_Season2_Challenge5_4_2</t>
  </si>
  <si>
    <t>Monster_Season2_Challenge5_4_3</t>
  </si>
  <si>
    <t>Monster_Season2_Challenge5_5_1</t>
  </si>
  <si>
    <t>Monster_Season2_Challenge5_5_2</t>
  </si>
  <si>
    <t>Monster_Season2_Challenge5_5_3</t>
  </si>
  <si>
    <t>Monster_Season2_Challenge5_5_4</t>
  </si>
  <si>
    <t>Monster_Season2_Challenge5_6_1</t>
  </si>
  <si>
    <t>Monster_Season2_Challenge5_6_2</t>
  </si>
  <si>
    <t>Monster_Season2_Challenge5_6_3</t>
  </si>
  <si>
    <t>Monster_Season2_Challenge5_6_4</t>
  </si>
  <si>
    <t>Monster_Season2_Challenge5_7_1</t>
  </si>
  <si>
    <t>Monster_Season2_Challenge5_7_2</t>
  </si>
  <si>
    <t>Monster_Season2_Challenge5_7_3</t>
  </si>
  <si>
    <t>Monster_Season2_Challenge5_7_4</t>
  </si>
  <si>
    <t>Monster_Season2_Challenge5_8_1</t>
  </si>
  <si>
    <t>Monster_Season2_Challenge5_8_2</t>
  </si>
  <si>
    <t>Monster_Season2_Challenge5_8_3</t>
  </si>
  <si>
    <t>Monster_Season2_Challenge5_8_4</t>
  </si>
  <si>
    <t>Monster_Season3_Challenge1_1_1</t>
  </si>
  <si>
    <t>Monster_Season3_Challenge1_1_2</t>
  </si>
  <si>
    <t>Monster_Season3_Challenge1_2_1</t>
  </si>
  <si>
    <t>Monster_Season3_Challenge1_2_2</t>
  </si>
  <si>
    <t>Monster_Season3_Challenge1_3_1</t>
  </si>
  <si>
    <t>Monster_Season3_Challenge1_3_2</t>
  </si>
  <si>
    <t>Monster_Season3_Challenge1_3_3</t>
  </si>
  <si>
    <t>Monster_Season3_Challenge2_1_1</t>
  </si>
  <si>
    <t>Monster_Season3_Challenge2_1_2</t>
  </si>
  <si>
    <t>Monster_Season3_Challenge2_2_1</t>
  </si>
  <si>
    <t>Monster_Season3_Challenge2_2_2</t>
  </si>
  <si>
    <t>Monster_Season3_Challenge2_2_3</t>
  </si>
  <si>
    <t>Monster_Season3_Challenge2_3_1</t>
  </si>
  <si>
    <t>Monster_Season3_Challenge2_3_2</t>
  </si>
  <si>
    <t>Monster_Season3_Challenge2_3_3</t>
  </si>
  <si>
    <t>Monster_Season3_Challenge2_4_1</t>
  </si>
  <si>
    <t>Monster_Season3_Challenge2_4_2</t>
  </si>
  <si>
    <t>Monster_Season3_Challenge2_4_3</t>
  </si>
  <si>
    <t>Monster_Season3_Challenge2_4_4</t>
  </si>
  <si>
    <t>Monster_Season3_Challenge2_5_1</t>
  </si>
  <si>
    <t>Monster_Season3_Challenge2_5_2</t>
  </si>
  <si>
    <t>Monster_Season3_Challenge2_5_3</t>
  </si>
  <si>
    <t>Monster_Season3_Challenge2_5_4</t>
  </si>
  <si>
    <t>Monster_Season3_Challenge3_1_1</t>
  </si>
  <si>
    <t>Monster_Season3_Challenge3_1_2</t>
  </si>
  <si>
    <t>Monster_Season3_Challenge3_2_1</t>
  </si>
  <si>
    <t>Monster_Season3_Challenge3_2_2</t>
  </si>
  <si>
    <t>Monster_Season3_Challenge3_2_3</t>
  </si>
  <si>
    <t>Monster_Season3_Challenge3_3_1</t>
  </si>
  <si>
    <t>Monster_Season3_Challenge3_3_2</t>
  </si>
  <si>
    <t>Monster_Season3_Challenge3_3_3</t>
  </si>
  <si>
    <t>Monster_Season3_Challenge4_1_1</t>
  </si>
  <si>
    <t>Monster_Season3_Challenge4_1_2</t>
  </si>
  <si>
    <t>Monster_Season3_Challenge4_2_1</t>
  </si>
  <si>
    <t>Monster_Season3_Challenge4_2_2</t>
  </si>
  <si>
    <t>Monster_Season3_Challenge4_2_3</t>
  </si>
  <si>
    <t>Monster_Season3_Challenge4_3_1</t>
  </si>
  <si>
    <t>Monster_Season3_Challenge4_3_2</t>
  </si>
  <si>
    <t>Monster_Season3_Challenge4_3_3</t>
  </si>
  <si>
    <t>Monster_Season3_Challenge4_4_1</t>
  </si>
  <si>
    <t>Monster_Season3_Challenge4_4_2</t>
  </si>
  <si>
    <t>Monster_Season3_Challenge4_4_3</t>
  </si>
  <si>
    <t>Monster_Season3_Challenge4_5_1</t>
  </si>
  <si>
    <t>Monster_Season3_Challenge4_5_2</t>
  </si>
  <si>
    <t>Monster_Season3_Challenge4_5_3</t>
  </si>
  <si>
    <t>Monster_Season3_Challenge5_1_1</t>
  </si>
  <si>
    <t>Monster_Season3_Challenge5_1_2</t>
  </si>
  <si>
    <t>Monster_Season3_Challenge5_2_1</t>
  </si>
  <si>
    <t>Monster_Season3_Challenge5_2_2</t>
  </si>
  <si>
    <t>Monster_Season3_Challenge5_2_3</t>
  </si>
  <si>
    <t>Monster_Season3_Challenge5_3_1</t>
  </si>
  <si>
    <t>Monster_Season3_Challenge5_3_2</t>
  </si>
  <si>
    <t>Monster_Season3_Challenge5_3_3</t>
  </si>
  <si>
    <t>Monster_Season3_Challenge5_3_4</t>
  </si>
  <si>
    <t>Monster_Season3_Challenge5_4_1</t>
  </si>
  <si>
    <t>Monster_Season3_Challenge5_4_2</t>
  </si>
  <si>
    <t>Monster_Season3_Challenge5_4_3</t>
  </si>
  <si>
    <t>Monster_Season3_Challenge5_5_1</t>
  </si>
  <si>
    <t>Monster_Season3_Challenge5_5_2</t>
  </si>
  <si>
    <t>Monster_Season3_Challenge5_5_3</t>
  </si>
  <si>
    <t>Monster_Season3_Challenge5_5_4</t>
  </si>
  <si>
    <t>Monster_Season3_Challenge5_6_1</t>
  </si>
  <si>
    <t>Monster_Season3_Challenge5_6_2</t>
  </si>
  <si>
    <t>Monster_Season3_Challenge5_6_3</t>
  </si>
  <si>
    <t>Monster_Season3_Challenge5_6_4</t>
  </si>
  <si>
    <t>Monster_Season3_Challenge5_7_1</t>
  </si>
  <si>
    <t>Monster_Season3_Challenge5_7_2</t>
  </si>
  <si>
    <t>Monster_Season3_Challenge5_7_3</t>
  </si>
  <si>
    <t>Monster_Season3_Challenge5_7_4</t>
  </si>
  <si>
    <t>Monster_Season3_Challenge5_8_1</t>
  </si>
  <si>
    <t>Monster_Season3_Challenge5_8_2</t>
  </si>
  <si>
    <t>Monster_Season3_Challenge5_8_3</t>
  </si>
  <si>
    <t>Monster_Season3_Challenge5_8_4</t>
  </si>
  <si>
    <t>Monster_Season4_Challenge1_1_1</t>
  </si>
  <si>
    <t>Monster_Season4_Challenge1_1_2</t>
  </si>
  <si>
    <t>Monster_Season4_Challenge1_2_1</t>
  </si>
  <si>
    <t>Monster_Season4_Challenge1_2_2</t>
  </si>
  <si>
    <t>Monster_Season4_Challenge1_3_1</t>
  </si>
  <si>
    <t>Monster_Season4_Challenge1_3_2</t>
  </si>
  <si>
    <t>Monster_Season4_Challenge1_3_3</t>
  </si>
  <si>
    <t>Monster_Season4_Challenge2_1_1</t>
  </si>
  <si>
    <t>Monster_Season4_Challenge2_1_2</t>
  </si>
  <si>
    <t>Monster_Season4_Challenge2_2_1</t>
  </si>
  <si>
    <t>Monster_Season4_Challenge2_2_2</t>
  </si>
  <si>
    <t>Monster_Season4_Challenge2_2_3</t>
  </si>
  <si>
    <t>Monster_Season4_Challenge2_3_1</t>
  </si>
  <si>
    <t>Monster_Season4_Challenge2_3_2</t>
  </si>
  <si>
    <t>Monster_Season4_Challenge2_3_3</t>
  </si>
  <si>
    <t>Monster_Season4_Challenge2_4_1</t>
  </si>
  <si>
    <t>Monster_Season4_Challenge2_4_2</t>
  </si>
  <si>
    <t>Monster_Season4_Challenge2_4_3</t>
  </si>
  <si>
    <t>Monster_Season4_Challenge2_4_4</t>
  </si>
  <si>
    <t>Monster_Season4_Challenge2_5_1</t>
  </si>
  <si>
    <t>Monster_Season4_Challenge2_5_2</t>
  </si>
  <si>
    <t>Monster_Season4_Challenge2_5_3</t>
  </si>
  <si>
    <t>Monster_Season4_Challenge2_5_4</t>
  </si>
  <si>
    <t>Monster_Season4_Challenge3_1_1</t>
  </si>
  <si>
    <t>Monster_Season4_Challenge3_1_2</t>
  </si>
  <si>
    <t>Monster_Season4_Challenge3_2_1</t>
  </si>
  <si>
    <t>Monster_Season4_Challenge3_2_2</t>
  </si>
  <si>
    <t>Monster_Season4_Challenge3_2_3</t>
  </si>
  <si>
    <t>Monster_Season4_Challenge3_3_1</t>
  </si>
  <si>
    <t>Monster_Season4_Challenge3_3_2</t>
  </si>
  <si>
    <t>Monster_Season4_Challenge3_3_3</t>
  </si>
  <si>
    <t>Monster_Season4_Challenge4_1_1</t>
  </si>
  <si>
    <t>Monster_Season4_Challenge4_1_2</t>
  </si>
  <si>
    <t>Monster_Season4_Challenge4_2_1</t>
  </si>
  <si>
    <t>Monster_Season4_Challenge4_2_2</t>
  </si>
  <si>
    <t>Monster_Season4_Challenge4_2_3</t>
  </si>
  <si>
    <t>Monster_Season4_Challenge4_3_1</t>
  </si>
  <si>
    <t>Monster_Season4_Challenge4_3_2</t>
  </si>
  <si>
    <t>Monster_Season4_Challenge4_3_3</t>
  </si>
  <si>
    <t>Monster_Season4_Challenge4_4_1</t>
  </si>
  <si>
    <t>Monster_Season4_Challenge4_4_2</t>
  </si>
  <si>
    <t>Monster_Season4_Challenge4_4_3</t>
  </si>
  <si>
    <t>Monster_Season4_Challenge4_5_1</t>
  </si>
  <si>
    <t>Monster_Season4_Challenge4_5_2</t>
  </si>
  <si>
    <t>Monster_Season4_Challenge4_5_3</t>
  </si>
  <si>
    <t>Monster_Season4_Challenge5_1_1</t>
  </si>
  <si>
    <t>Monster_Season4_Challenge5_1_2</t>
  </si>
  <si>
    <t>Monster_Season4_Challenge5_2_1</t>
  </si>
  <si>
    <t>Monster_Season4_Challenge5_2_2</t>
  </si>
  <si>
    <t>Monster_Season4_Challenge5_2_3</t>
  </si>
  <si>
    <t>Monster_Season4_Challenge5_3_1</t>
  </si>
  <si>
    <t>Monster_Season4_Challenge5_3_2</t>
  </si>
  <si>
    <t>Monster_Season4_Challenge5_3_3</t>
  </si>
  <si>
    <t>Monster_Season4_Challenge5_3_4</t>
  </si>
  <si>
    <t>Monster_Season4_Challenge5_4_1</t>
  </si>
  <si>
    <t>Monster_Season4_Challenge5_4_2</t>
  </si>
  <si>
    <t>Monster_Season4_Challenge5_4_3</t>
  </si>
  <si>
    <t>Monster_Season4_Challenge5_5_1</t>
  </si>
  <si>
    <t>Monster_Season4_Challenge5_5_2</t>
  </si>
  <si>
    <t>Monster_Season4_Challenge5_5_3</t>
  </si>
  <si>
    <t>Monster_Season4_Challenge5_5_4</t>
  </si>
  <si>
    <t>Monster_Season4_Challenge5_6_1</t>
  </si>
  <si>
    <t>Monster_Season4_Challenge5_6_2</t>
  </si>
  <si>
    <t>Monster_Season4_Challenge5_6_3</t>
  </si>
  <si>
    <t>Monster_Season4_Challenge5_6_4</t>
  </si>
  <si>
    <t>Monster_Season4_Challenge5_7_1</t>
  </si>
  <si>
    <t>Monster_Season4_Challenge5_7_2</t>
  </si>
  <si>
    <t>Monster_Season4_Challenge5_7_3</t>
  </si>
  <si>
    <t>Monster_Season4_Challenge5_7_4</t>
  </si>
  <si>
    <t>Monster_Season4_Challenge5_8_1</t>
  </si>
  <si>
    <t>Monster_Season4_Challenge5_8_2</t>
  </si>
  <si>
    <t>Monster_Season4_Challenge5_8_3</t>
  </si>
  <si>
    <t>Monster_Season4_Challenge5_8_4</t>
  </si>
  <si>
    <t>Unit_Monster_Season1_Challenge1_1_1</t>
  </si>
  <si>
    <t>Unit_Monster_Season1_Challenge1_1_2</t>
  </si>
  <si>
    <t>Unit_Monster_Season1_Challenge1_2_1</t>
  </si>
  <si>
    <t>Unit_Monster_Season1_Challenge1_2_2</t>
  </si>
  <si>
    <t>Unit_Monster_Season1_Challenge1_3_1</t>
  </si>
  <si>
    <t>Unit_Monster_Season1_Challenge1_3_2</t>
  </si>
  <si>
    <t>Unit_Monster_Season1_Challenge1_3_3</t>
  </si>
  <si>
    <t>Unit_Monster_Season1_Challenge2_1_1</t>
  </si>
  <si>
    <t>Unit_Monster_Season1_Challenge2_1_2</t>
  </si>
  <si>
    <t>Unit_Monster_Season1_Challenge2_2_1</t>
  </si>
  <si>
    <t>Unit_Monster_Season1_Challenge2_2_2</t>
  </si>
  <si>
    <t>Unit_Monster_Season1_Challenge2_2_3</t>
  </si>
  <si>
    <t>Unit_Monster_Season1_Challenge2_3_1</t>
  </si>
  <si>
    <t>Unit_Monster_Season1_Challenge2_3_2</t>
  </si>
  <si>
    <t>Unit_Monster_Season1_Challenge2_3_3</t>
  </si>
  <si>
    <t>Unit_Monster_Season1_Challenge2_4_1</t>
  </si>
  <si>
    <t>Unit_Monster_Season1_Challenge2_4_2</t>
  </si>
  <si>
    <t>Unit_Monster_Season1_Challenge2_4_3</t>
  </si>
  <si>
    <t>Unit_Monster_Season1_Challenge2_4_4</t>
  </si>
  <si>
    <t>Unit_Monster_Season1_Challenge2_5_1</t>
  </si>
  <si>
    <t>Unit_Monster_Season1_Challenge2_5_2</t>
  </si>
  <si>
    <t>Unit_Monster_Season1_Challenge2_5_3</t>
  </si>
  <si>
    <t>Unit_Monster_Season1_Challenge2_5_4</t>
  </si>
  <si>
    <t>Unit_Monster_Season1_Challenge3_1_1</t>
  </si>
  <si>
    <t>Unit_Monster_Season1_Challenge3_1_2</t>
  </si>
  <si>
    <t>Unit_Monster_Season1_Challenge3_2_1</t>
  </si>
  <si>
    <t>Unit_Monster_Season1_Challenge3_2_2</t>
  </si>
  <si>
    <t>Unit_Monster_Season1_Challenge3_2_3</t>
  </si>
  <si>
    <t>Unit_Monster_Season1_Challenge3_3_1</t>
  </si>
  <si>
    <t>Unit_Monster_Season1_Challenge3_3_2</t>
  </si>
  <si>
    <t>Unit_Monster_Season1_Challenge3_3_3</t>
  </si>
  <si>
    <t>Unit_Monster_Season1_Challenge4_1_1</t>
  </si>
  <si>
    <t>Unit_Monster_Season1_Challenge4_1_2</t>
  </si>
  <si>
    <t>Unit_Monster_Season1_Challenge4_2_1</t>
  </si>
  <si>
    <t>Unit_Monster_Season1_Challenge4_2_2</t>
  </si>
  <si>
    <t>Unit_Monster_Season1_Challenge4_2_3</t>
  </si>
  <si>
    <t>Unit_Monster_Season1_Challenge4_3_1</t>
  </si>
  <si>
    <t>Unit_Monster_Season1_Challenge4_3_2</t>
  </si>
  <si>
    <t>Unit_Monster_Season1_Challenge4_3_3</t>
  </si>
  <si>
    <t>Unit_Monster_Season1_Challenge4_4_1</t>
  </si>
  <si>
    <t>Unit_Monster_Season1_Challenge4_4_2</t>
  </si>
  <si>
    <t>Unit_Monster_Season1_Challenge4_4_3</t>
  </si>
  <si>
    <t>Unit_Monster_Season1_Challenge4_5_1</t>
  </si>
  <si>
    <t>Unit_Monster_Season1_Challenge4_5_2</t>
  </si>
  <si>
    <t>Unit_Monster_Season1_Challenge4_5_3</t>
  </si>
  <si>
    <t>Unit_Monster_Season1_Challenge5_1_1</t>
  </si>
  <si>
    <t>Unit_Monster_Season1_Challenge5_1_2</t>
  </si>
  <si>
    <t>Unit_Monster_Season1_Challenge5_2_1</t>
  </si>
  <si>
    <t>Unit_Monster_Season1_Challenge5_2_2</t>
  </si>
  <si>
    <t>Unit_Monster_Season1_Challenge5_2_3</t>
  </si>
  <si>
    <t>Unit_Monster_Season1_Challenge5_3_1</t>
  </si>
  <si>
    <t>Unit_Monster_Season1_Challenge5_3_2</t>
  </si>
  <si>
    <t>Unit_Monster_Season1_Challenge5_3_3</t>
  </si>
  <si>
    <t>Unit_Monster_Season1_Challenge5_3_4</t>
  </si>
  <si>
    <t>Unit_Monster_Season1_Challenge5_4_1</t>
  </si>
  <si>
    <t>Unit_Monster_Season1_Challenge5_4_2</t>
  </si>
  <si>
    <t>Unit_Monster_Season1_Challenge5_4_3</t>
  </si>
  <si>
    <t>Unit_Monster_Season1_Challenge5_5_1</t>
  </si>
  <si>
    <t>Unit_Monster_Season1_Challenge5_5_2</t>
  </si>
  <si>
    <t>Unit_Monster_Season1_Challenge5_5_3</t>
  </si>
  <si>
    <t>Unit_Monster_Season1_Challenge5_5_4</t>
  </si>
  <si>
    <t>Unit_Monster_Season1_Challenge5_6_1</t>
  </si>
  <si>
    <t>Unit_Monster_Season1_Challenge5_6_2</t>
  </si>
  <si>
    <t>Unit_Monster_Season1_Challenge5_6_3</t>
  </si>
  <si>
    <t>Unit_Monster_Season1_Challenge5_6_4</t>
  </si>
  <si>
    <t>Unit_Monster_Season1_Challenge5_7_1</t>
  </si>
  <si>
    <t>Unit_Monster_Season1_Challenge5_7_2</t>
  </si>
  <si>
    <t>Unit_Monster_Season1_Challenge5_7_3</t>
  </si>
  <si>
    <t>Unit_Monster_Season1_Challenge5_7_4</t>
  </si>
  <si>
    <t>Unit_Monster_Season1_Challenge5_8_1</t>
  </si>
  <si>
    <t>Unit_Monster_Season1_Challenge5_8_2</t>
  </si>
  <si>
    <t>Unit_Monster_Season1_Challenge5_8_3</t>
  </si>
  <si>
    <t>Unit_Monster_Season1_Challenge5_8_4</t>
  </si>
  <si>
    <t>Unit_Monster_Season2_Challenge1_1_1</t>
  </si>
  <si>
    <t>Unit_Monster_Season2_Challenge1_1_2</t>
  </si>
  <si>
    <t>Unit_Monster_Season2_Challenge1_2_1</t>
  </si>
  <si>
    <t>Unit_Monster_Season2_Challenge1_2_2</t>
  </si>
  <si>
    <t>Unit_Monster_Season2_Challenge1_3_1</t>
  </si>
  <si>
    <t>Unit_Monster_Season2_Challenge1_3_2</t>
  </si>
  <si>
    <t>Unit_Monster_Season2_Challenge1_3_3</t>
  </si>
  <si>
    <t>Unit_Monster_Season2_Challenge2_1_1</t>
  </si>
  <si>
    <t>Unit_Monster_Season2_Challenge2_1_2</t>
  </si>
  <si>
    <t>Unit_Monster_Season2_Challenge2_2_1</t>
  </si>
  <si>
    <t>Unit_Monster_Season2_Challenge2_2_2</t>
  </si>
  <si>
    <t>Unit_Monster_Season2_Challenge2_2_3</t>
  </si>
  <si>
    <t>Unit_Monster_Season2_Challenge2_3_1</t>
  </si>
  <si>
    <t>Unit_Monster_Season2_Challenge2_3_2</t>
  </si>
  <si>
    <t>Unit_Monster_Season2_Challenge2_3_3</t>
  </si>
  <si>
    <t>Unit_Monster_Season2_Challenge2_4_1</t>
  </si>
  <si>
    <t>Unit_Monster_Season2_Challenge2_4_2</t>
  </si>
  <si>
    <t>Unit_Monster_Season2_Challenge2_4_3</t>
  </si>
  <si>
    <t>Unit_Monster_Season2_Challenge2_4_4</t>
  </si>
  <si>
    <t>Unit_Monster_Season2_Challenge2_5_1</t>
  </si>
  <si>
    <t>Unit_Monster_Season2_Challenge2_5_2</t>
  </si>
  <si>
    <t>Unit_Monster_Season2_Challenge2_5_3</t>
  </si>
  <si>
    <t>Unit_Monster_Season2_Challenge2_5_4</t>
  </si>
  <si>
    <t>Unit_Monster_Season2_Challenge3_1_1</t>
  </si>
  <si>
    <t>Unit_Monster_Season2_Challenge3_1_2</t>
  </si>
  <si>
    <t>Unit_Monster_Season2_Challenge3_2_1</t>
  </si>
  <si>
    <t>Unit_Monster_Season2_Challenge3_2_2</t>
  </si>
  <si>
    <t>Unit_Monster_Season2_Challenge3_2_3</t>
  </si>
  <si>
    <t>Unit_Monster_Season2_Challenge3_3_1</t>
  </si>
  <si>
    <t>Unit_Monster_Season2_Challenge3_3_2</t>
  </si>
  <si>
    <t>Unit_Monster_Season2_Challenge3_3_3</t>
  </si>
  <si>
    <t>Unit_Monster_Season2_Challenge4_1_1</t>
  </si>
  <si>
    <t>Unit_Monster_Season2_Challenge4_1_2</t>
  </si>
  <si>
    <t>Unit_Monster_Season2_Challenge4_2_1</t>
  </si>
  <si>
    <t>Unit_Monster_Season2_Challenge4_2_2</t>
  </si>
  <si>
    <t>Unit_Monster_Season2_Challenge4_2_3</t>
  </si>
  <si>
    <t>Unit_Monster_Season2_Challenge4_3_1</t>
  </si>
  <si>
    <t>Unit_Monster_Season2_Challenge4_3_2</t>
  </si>
  <si>
    <t>Unit_Monster_Season2_Challenge4_3_3</t>
  </si>
  <si>
    <t>Unit_Monster_Season2_Challenge4_4_1</t>
  </si>
  <si>
    <t>Unit_Monster_Season2_Challenge4_4_2</t>
  </si>
  <si>
    <t>Unit_Monster_Season2_Challenge4_4_3</t>
  </si>
  <si>
    <t>Unit_Monster_Season2_Challenge4_5_1</t>
  </si>
  <si>
    <t>Unit_Monster_Season2_Challenge4_5_2</t>
  </si>
  <si>
    <t>Unit_Monster_Season2_Challenge4_5_3</t>
  </si>
  <si>
    <t>Unit_Monster_Season2_Challenge5_1_1</t>
  </si>
  <si>
    <t>Unit_Monster_Season2_Challenge5_1_2</t>
  </si>
  <si>
    <t>Unit_Monster_Season2_Challenge5_2_1</t>
  </si>
  <si>
    <t>Unit_Monster_Season2_Challenge5_2_2</t>
  </si>
  <si>
    <t>Unit_Monster_Season2_Challenge5_2_3</t>
  </si>
  <si>
    <t>Unit_Monster_Season2_Challenge5_3_1</t>
  </si>
  <si>
    <t>Unit_Monster_Season2_Challenge5_3_2</t>
  </si>
  <si>
    <t>Unit_Monster_Season2_Challenge5_3_3</t>
  </si>
  <si>
    <t>Unit_Monster_Season2_Challenge5_3_4</t>
  </si>
  <si>
    <t>Unit_Monster_Season2_Challenge5_4_1</t>
  </si>
  <si>
    <t>Unit_Monster_Season2_Challenge5_4_2</t>
  </si>
  <si>
    <t>Unit_Monster_Season2_Challenge5_4_3</t>
  </si>
  <si>
    <t>Unit_Monster_Season2_Challenge5_5_1</t>
  </si>
  <si>
    <t>Unit_Monster_Season2_Challenge5_5_2</t>
  </si>
  <si>
    <t>Unit_Monster_Season2_Challenge5_5_3</t>
  </si>
  <si>
    <t>Unit_Monster_Season2_Challenge5_5_4</t>
  </si>
  <si>
    <t>Unit_Monster_Season2_Challenge5_6_1</t>
  </si>
  <si>
    <t>Unit_Monster_Season2_Challenge5_6_2</t>
  </si>
  <si>
    <t>Unit_Monster_Season2_Challenge5_6_3</t>
  </si>
  <si>
    <t>Unit_Monster_Season2_Challenge5_6_4</t>
  </si>
  <si>
    <t>Unit_Monster_Season2_Challenge5_7_1</t>
  </si>
  <si>
    <t>Unit_Monster_Season2_Challenge5_7_2</t>
  </si>
  <si>
    <t>Unit_Monster_Season2_Challenge5_7_3</t>
  </si>
  <si>
    <t>Unit_Monster_Season2_Challenge5_7_4</t>
  </si>
  <si>
    <t>Unit_Monster_Season2_Challenge5_8_1</t>
  </si>
  <si>
    <t>Unit_Monster_Season2_Challenge5_8_2</t>
  </si>
  <si>
    <t>Unit_Monster_Season2_Challenge5_8_3</t>
  </si>
  <si>
    <t>Unit_Monster_Season2_Challenge5_8_4</t>
  </si>
  <si>
    <t>Unit_Monster_Season3_Challenge1_1_1</t>
  </si>
  <si>
    <t>Unit_Monster_Season3_Challenge1_1_2</t>
  </si>
  <si>
    <t>Unit_Monster_Season3_Challenge1_2_1</t>
  </si>
  <si>
    <t>Unit_Monster_Season3_Challenge1_2_2</t>
  </si>
  <si>
    <t>Unit_Monster_Season3_Challenge1_3_1</t>
  </si>
  <si>
    <t>Unit_Monster_Season3_Challenge1_3_2</t>
  </si>
  <si>
    <t>Unit_Monster_Season3_Challenge1_3_3</t>
  </si>
  <si>
    <t>Unit_Monster_Season3_Challenge2_1_1</t>
  </si>
  <si>
    <t>Unit_Monster_Season3_Challenge2_1_2</t>
  </si>
  <si>
    <t>Unit_Monster_Season3_Challenge2_2_1</t>
  </si>
  <si>
    <t>Unit_Monster_Season3_Challenge2_2_2</t>
  </si>
  <si>
    <t>Unit_Monster_Season3_Challenge2_2_3</t>
  </si>
  <si>
    <t>Unit_Monster_Season3_Challenge2_3_1</t>
  </si>
  <si>
    <t>Unit_Monster_Season3_Challenge2_3_2</t>
  </si>
  <si>
    <t>Unit_Monster_Season3_Challenge2_3_3</t>
  </si>
  <si>
    <t>Unit_Monster_Season3_Challenge2_4_1</t>
  </si>
  <si>
    <t>Unit_Monster_Season3_Challenge2_4_2</t>
  </si>
  <si>
    <t>Unit_Monster_Season3_Challenge2_4_3</t>
  </si>
  <si>
    <t>Unit_Monster_Season3_Challenge2_4_4</t>
  </si>
  <si>
    <t>Unit_Monster_Season3_Challenge2_5_1</t>
  </si>
  <si>
    <t>Unit_Monster_Season3_Challenge2_5_2</t>
  </si>
  <si>
    <t>Unit_Monster_Season3_Challenge2_5_3</t>
  </si>
  <si>
    <t>Unit_Monster_Season3_Challenge2_5_4</t>
  </si>
  <si>
    <t>Unit_Monster_Season3_Challenge3_1_1</t>
  </si>
  <si>
    <t>Unit_Monster_Season3_Challenge3_1_2</t>
  </si>
  <si>
    <t>Unit_Monster_Season3_Challenge3_2_1</t>
  </si>
  <si>
    <t>Unit_Monster_Season3_Challenge3_2_2</t>
  </si>
  <si>
    <t>Unit_Monster_Season3_Challenge3_2_3</t>
  </si>
  <si>
    <t>Unit_Monster_Season3_Challenge3_3_1</t>
  </si>
  <si>
    <t>Unit_Monster_Season3_Challenge3_3_2</t>
  </si>
  <si>
    <t>Unit_Monster_Season3_Challenge3_3_3</t>
  </si>
  <si>
    <t>Unit_Monster_Season3_Challenge4_1_1</t>
  </si>
  <si>
    <t>Unit_Monster_Season3_Challenge4_1_2</t>
  </si>
  <si>
    <t>Unit_Monster_Season3_Challenge4_2_1</t>
  </si>
  <si>
    <t>Unit_Monster_Season3_Challenge4_2_2</t>
  </si>
  <si>
    <t>Unit_Monster_Season3_Challenge4_2_3</t>
  </si>
  <si>
    <t>Unit_Monster_Season3_Challenge4_3_1</t>
  </si>
  <si>
    <t>Unit_Monster_Season3_Challenge4_3_2</t>
  </si>
  <si>
    <t>Unit_Monster_Season3_Challenge4_3_3</t>
  </si>
  <si>
    <t>Unit_Monster_Season3_Challenge4_4_1</t>
  </si>
  <si>
    <t>Unit_Monster_Season3_Challenge4_4_2</t>
  </si>
  <si>
    <t>Unit_Monster_Season3_Challenge4_4_3</t>
  </si>
  <si>
    <t>Unit_Monster_Season3_Challenge4_5_1</t>
  </si>
  <si>
    <t>Unit_Monster_Season3_Challenge4_5_2</t>
  </si>
  <si>
    <t>Unit_Monster_Season3_Challenge4_5_3</t>
  </si>
  <si>
    <t>Unit_Monster_Season3_Challenge5_1_1</t>
  </si>
  <si>
    <t>Unit_Monster_Season3_Challenge5_1_2</t>
  </si>
  <si>
    <t>Unit_Monster_Season3_Challenge5_2_1</t>
  </si>
  <si>
    <t>Unit_Monster_Season3_Challenge5_2_2</t>
  </si>
  <si>
    <t>Unit_Monster_Season3_Challenge5_2_3</t>
  </si>
  <si>
    <t>Unit_Monster_Season3_Challenge5_3_1</t>
  </si>
  <si>
    <t>Unit_Monster_Season3_Challenge5_3_2</t>
  </si>
  <si>
    <t>Unit_Monster_Season3_Challenge5_3_3</t>
  </si>
  <si>
    <t>Unit_Monster_Season3_Challenge5_3_4</t>
  </si>
  <si>
    <t>Unit_Monster_Season3_Challenge5_4_1</t>
  </si>
  <si>
    <t>Unit_Monster_Season3_Challenge5_4_2</t>
  </si>
  <si>
    <t>Unit_Monster_Season3_Challenge5_4_3</t>
  </si>
  <si>
    <t>Unit_Monster_Season3_Challenge5_5_1</t>
  </si>
  <si>
    <t>Unit_Monster_Season3_Challenge5_5_2</t>
  </si>
  <si>
    <t>Unit_Monster_Season3_Challenge5_5_3</t>
  </si>
  <si>
    <t>Unit_Monster_Season3_Challenge5_5_4</t>
  </si>
  <si>
    <t>Unit_Monster_Season3_Challenge5_6_1</t>
  </si>
  <si>
    <t>Unit_Monster_Season3_Challenge5_6_2</t>
  </si>
  <si>
    <t>Unit_Monster_Season3_Challenge5_6_3</t>
  </si>
  <si>
    <t>Unit_Monster_Season3_Challenge5_6_4</t>
  </si>
  <si>
    <t>Unit_Monster_Season3_Challenge5_7_1</t>
  </si>
  <si>
    <t>Unit_Monster_Season3_Challenge5_7_2</t>
  </si>
  <si>
    <t>Unit_Monster_Season3_Challenge5_7_3</t>
  </si>
  <si>
    <t>Unit_Monster_Season3_Challenge5_7_4</t>
  </si>
  <si>
    <t>Unit_Monster_Season3_Challenge5_8_1</t>
  </si>
  <si>
    <t>Unit_Monster_Season3_Challenge5_8_2</t>
  </si>
  <si>
    <t>Unit_Monster_Season3_Challenge5_8_3</t>
  </si>
  <si>
    <t>Unit_Monster_Season3_Challenge5_8_4</t>
  </si>
  <si>
    <t>Unit_Monster_Season4_Challenge1_1_1</t>
  </si>
  <si>
    <t>Unit_Monster_Season4_Challenge1_1_2</t>
  </si>
  <si>
    <t>Unit_Monster_Season4_Challenge1_2_1</t>
  </si>
  <si>
    <t>Unit_Monster_Season4_Challenge1_2_2</t>
  </si>
  <si>
    <t>Unit_Monster_Season4_Challenge1_3_1</t>
  </si>
  <si>
    <t>Unit_Monster_Season4_Challenge1_3_2</t>
  </si>
  <si>
    <t>Unit_Monster_Season4_Challenge1_3_3</t>
  </si>
  <si>
    <t>Unit_Monster_Season4_Challenge2_1_1</t>
  </si>
  <si>
    <t>Unit_Monster_Season4_Challenge2_1_2</t>
  </si>
  <si>
    <t>Unit_Monster_Season4_Challenge2_2_1</t>
  </si>
  <si>
    <t>Unit_Monster_Season4_Challenge2_2_2</t>
  </si>
  <si>
    <t>Unit_Monster_Season4_Challenge2_2_3</t>
  </si>
  <si>
    <t>Unit_Monster_Season4_Challenge2_3_1</t>
  </si>
  <si>
    <t>Unit_Monster_Season4_Challenge2_3_2</t>
  </si>
  <si>
    <t>Unit_Monster_Season4_Challenge2_3_3</t>
  </si>
  <si>
    <t>Unit_Monster_Season4_Challenge2_4_1</t>
  </si>
  <si>
    <t>Unit_Monster_Season4_Challenge2_4_2</t>
  </si>
  <si>
    <t>Unit_Monster_Season4_Challenge2_4_3</t>
  </si>
  <si>
    <t>Unit_Monster_Season4_Challenge2_4_4</t>
  </si>
  <si>
    <t>Unit_Monster_Season4_Challenge2_5_1</t>
  </si>
  <si>
    <t>Unit_Monster_Season4_Challenge2_5_2</t>
  </si>
  <si>
    <t>Unit_Monster_Season4_Challenge2_5_3</t>
  </si>
  <si>
    <t>Unit_Monster_Season4_Challenge2_5_4</t>
  </si>
  <si>
    <t>Unit_Monster_Season4_Challenge3_1_1</t>
  </si>
  <si>
    <t>Unit_Monster_Season4_Challenge3_1_2</t>
  </si>
  <si>
    <t>Unit_Monster_Season4_Challenge3_2_1</t>
  </si>
  <si>
    <t>Unit_Monster_Season4_Challenge3_2_2</t>
  </si>
  <si>
    <t>Unit_Monster_Season4_Challenge3_2_3</t>
  </si>
  <si>
    <t>Unit_Monster_Season4_Challenge3_3_1</t>
  </si>
  <si>
    <t>Unit_Monster_Season4_Challenge3_3_2</t>
  </si>
  <si>
    <t>Unit_Monster_Season4_Challenge3_3_3</t>
  </si>
  <si>
    <t>Unit_Monster_Season4_Challenge4_1_1</t>
  </si>
  <si>
    <t>Unit_Monster_Season4_Challenge4_1_2</t>
  </si>
  <si>
    <t>Unit_Monster_Season4_Challenge4_2_1</t>
  </si>
  <si>
    <t>Unit_Monster_Season4_Challenge4_2_2</t>
  </si>
  <si>
    <t>Unit_Monster_Season4_Challenge4_2_3</t>
  </si>
  <si>
    <t>Unit_Monster_Season4_Challenge4_3_1</t>
  </si>
  <si>
    <t>Unit_Monster_Season4_Challenge4_3_2</t>
  </si>
  <si>
    <t>Unit_Monster_Season4_Challenge4_3_3</t>
  </si>
  <si>
    <t>Unit_Monster_Season4_Challenge4_4_1</t>
  </si>
  <si>
    <t>Unit_Monster_Season4_Challenge4_4_2</t>
  </si>
  <si>
    <t>Unit_Monster_Season4_Challenge4_4_3</t>
  </si>
  <si>
    <t>Unit_Monster_Season4_Challenge4_5_1</t>
  </si>
  <si>
    <t>Unit_Monster_Season4_Challenge4_5_2</t>
  </si>
  <si>
    <t>Unit_Monster_Season4_Challenge4_5_3</t>
  </si>
  <si>
    <t>Unit_Monster_Season4_Challenge5_1_1</t>
  </si>
  <si>
    <t>Unit_Monster_Season4_Challenge5_1_2</t>
  </si>
  <si>
    <t>Unit_Monster_Season4_Challenge5_2_1</t>
  </si>
  <si>
    <t>Unit_Monster_Season4_Challenge5_2_2</t>
  </si>
  <si>
    <t>Unit_Monster_Season4_Challenge5_2_3</t>
  </si>
  <si>
    <t>Unit_Monster_Season4_Challenge5_3_1</t>
  </si>
  <si>
    <t>Unit_Monster_Season4_Challenge5_3_2</t>
  </si>
  <si>
    <t>Unit_Monster_Season4_Challenge5_3_3</t>
  </si>
  <si>
    <t>Unit_Monster_Season4_Challenge5_3_4</t>
  </si>
  <si>
    <t>Unit_Monster_Season4_Challenge5_4_1</t>
  </si>
  <si>
    <t>Unit_Monster_Season4_Challenge5_4_2</t>
  </si>
  <si>
    <t>Unit_Monster_Season4_Challenge5_4_3</t>
  </si>
  <si>
    <t>Unit_Monster_Season4_Challenge5_5_1</t>
  </si>
  <si>
    <t>Unit_Monster_Season4_Challenge5_5_2</t>
  </si>
  <si>
    <t>Unit_Monster_Season4_Challenge5_5_3</t>
  </si>
  <si>
    <t>Unit_Monster_Season4_Challenge5_5_4</t>
  </si>
  <si>
    <t>Unit_Monster_Season4_Challenge5_6_1</t>
  </si>
  <si>
    <t>Unit_Monster_Season4_Challenge5_6_2</t>
  </si>
  <si>
    <t>Unit_Monster_Season4_Challenge5_6_3</t>
  </si>
  <si>
    <t>Unit_Monster_Season4_Challenge5_6_4</t>
  </si>
  <si>
    <t>Unit_Monster_Season4_Challenge5_7_1</t>
  </si>
  <si>
    <t>Unit_Monster_Season4_Challenge5_7_2</t>
  </si>
  <si>
    <t>Unit_Monster_Season4_Challenge5_7_3</t>
  </si>
  <si>
    <t>Unit_Monster_Season4_Challenge5_7_4</t>
  </si>
  <si>
    <t>Unit_Monster_Season4_Challenge5_8_1</t>
  </si>
  <si>
    <t>Unit_Monster_Season4_Challenge5_8_2</t>
  </si>
  <si>
    <t>Unit_Monster_Season4_Challenge5_8_3</t>
  </si>
  <si>
    <t>Unit_Monster_Season4_Challenge5_8_4</t>
  </si>
  <si>
    <t>赛季1_挑战怪物1_1_1</t>
  </si>
  <si>
    <t>赛季1_挑战怪物1_1_2</t>
  </si>
  <si>
    <t>赛季1_挑战怪物1_2_1</t>
  </si>
  <si>
    <t>赛季1_挑战怪物1_2_2</t>
  </si>
  <si>
    <t>赛季1_挑战怪物1_3_1</t>
  </si>
  <si>
    <t>赛季1_挑战怪物1_3_2</t>
  </si>
  <si>
    <t>赛季1_挑战怪物1_3_3</t>
  </si>
  <si>
    <t>赛季1_挑战怪物2_1_1</t>
  </si>
  <si>
    <t>赛季1_挑战怪物2_1_2</t>
  </si>
  <si>
    <t>赛季1_挑战怪物2_2_1</t>
  </si>
  <si>
    <t>赛季1_挑战怪物2_2_2</t>
  </si>
  <si>
    <t>赛季1_挑战怪物2_2_3</t>
  </si>
  <si>
    <t>赛季1_挑战怪物2_3_1</t>
  </si>
  <si>
    <t>赛季1_挑战怪物2_3_2</t>
  </si>
  <si>
    <t>赛季1_挑战怪物2_3_3</t>
  </si>
  <si>
    <t>赛季1_挑战怪物2_4_1</t>
  </si>
  <si>
    <t>赛季1_挑战怪物2_4_2</t>
  </si>
  <si>
    <t>赛季1_挑战怪物2_4_3</t>
  </si>
  <si>
    <t>赛季1_挑战怪物2_4_4</t>
  </si>
  <si>
    <t>赛季1_挑战怪物2_5_1</t>
  </si>
  <si>
    <t>赛季1_挑战怪物2_5_2</t>
  </si>
  <si>
    <t>赛季1_挑战怪物2_5_3</t>
  </si>
  <si>
    <t>赛季1_挑战怪物2_5_4</t>
  </si>
  <si>
    <t>赛季1_挑战怪物3_1_1</t>
  </si>
  <si>
    <t>赛季1_挑战怪物3_1_2</t>
  </si>
  <si>
    <t>赛季1_挑战怪物3_2_1</t>
  </si>
  <si>
    <t>赛季1_挑战怪物3_2_2</t>
  </si>
  <si>
    <t>赛季1_挑战怪物3_2_3</t>
  </si>
  <si>
    <t>赛季1_挑战怪物3_3_1</t>
  </si>
  <si>
    <t>赛季1_挑战怪物3_3_2</t>
  </si>
  <si>
    <t>赛季1_挑战怪物3_3_3</t>
  </si>
  <si>
    <t>赛季1_挑战怪物4_1_1</t>
  </si>
  <si>
    <t>赛季1_挑战怪物4_1_2</t>
  </si>
  <si>
    <t>赛季1_挑战怪物4_2_1</t>
  </si>
  <si>
    <t>赛季1_挑战怪物4_2_2</t>
  </si>
  <si>
    <t>赛季1_挑战怪物4_2_3</t>
  </si>
  <si>
    <t>赛季1_挑战怪物4_3_1</t>
  </si>
  <si>
    <t>赛季1_挑战怪物4_3_2</t>
  </si>
  <si>
    <t>赛季1_挑战怪物4_3_3</t>
  </si>
  <si>
    <t>赛季1_挑战怪物4_4_1</t>
  </si>
  <si>
    <t>赛季1_挑战怪物4_4_2</t>
  </si>
  <si>
    <t>赛季1_挑战怪物4_4_3</t>
  </si>
  <si>
    <t>赛季1_挑战怪物4_5_1</t>
  </si>
  <si>
    <t>赛季1_挑战怪物4_5_2</t>
  </si>
  <si>
    <t>赛季1_挑战怪物4_5_3</t>
  </si>
  <si>
    <t>赛季1_挑战怪物5_1_1</t>
  </si>
  <si>
    <t>赛季1_挑战怪物5_1_2</t>
  </si>
  <si>
    <t>赛季1_挑战怪物5_2_1</t>
  </si>
  <si>
    <t>赛季1_挑战怪物5_2_2</t>
  </si>
  <si>
    <t>赛季1_挑战怪物5_2_3</t>
  </si>
  <si>
    <t>赛季1_挑战怪物5_3_1</t>
  </si>
  <si>
    <t>赛季1_挑战怪物5_3_2</t>
  </si>
  <si>
    <t>赛季1_挑战怪物5_3_3</t>
  </si>
  <si>
    <t>赛季1_挑战怪物5_3_4</t>
  </si>
  <si>
    <t>赛季1_挑战怪物5_4_1</t>
  </si>
  <si>
    <t>赛季1_挑战怪物5_4_2</t>
  </si>
  <si>
    <t>赛季1_挑战怪物5_4_3</t>
  </si>
  <si>
    <t>赛季1_挑战怪物5_5_1</t>
  </si>
  <si>
    <t>赛季1_挑战怪物5_5_2</t>
  </si>
  <si>
    <t>赛季1_挑战怪物5_5_3</t>
  </si>
  <si>
    <t>赛季1_挑战怪物5_5_4</t>
  </si>
  <si>
    <t>赛季1_挑战怪物5_6_1</t>
  </si>
  <si>
    <t>赛季1_挑战怪物5_6_2</t>
  </si>
  <si>
    <t>赛季1_挑战怪物5_6_3</t>
  </si>
  <si>
    <t>赛季1_挑战怪物5_6_4</t>
  </si>
  <si>
    <t>赛季1_挑战怪物5_7_1</t>
  </si>
  <si>
    <t>赛季1_挑战怪物5_7_2</t>
  </si>
  <si>
    <t>赛季1_挑战怪物5_7_3</t>
  </si>
  <si>
    <t>赛季1_挑战怪物5_7_4</t>
  </si>
  <si>
    <t>赛季1_挑战怪物5_8_1</t>
  </si>
  <si>
    <t>赛季1_挑战怪物5_8_2</t>
  </si>
  <si>
    <t>赛季1_挑战怪物5_8_3</t>
  </si>
  <si>
    <t>赛季1_挑战怪物5_8_4</t>
  </si>
  <si>
    <t>赛季2_挑战怪物1_1_1</t>
  </si>
  <si>
    <t>赛季2_挑战怪物1_1_2</t>
  </si>
  <si>
    <t>赛季2_挑战怪物1_2_1</t>
  </si>
  <si>
    <t>赛季2_挑战怪物1_2_2</t>
  </si>
  <si>
    <t>赛季2_挑战怪物1_3_1</t>
  </si>
  <si>
    <t>赛季2_挑战怪物1_3_2</t>
  </si>
  <si>
    <t>赛季2_挑战怪物1_3_3</t>
  </si>
  <si>
    <t>赛季2_挑战怪物2_1_1</t>
  </si>
  <si>
    <t>赛季2_挑战怪物2_1_2</t>
  </si>
  <si>
    <t>赛季2_挑战怪物2_2_1</t>
  </si>
  <si>
    <t>赛季2_挑战怪物2_2_2</t>
  </si>
  <si>
    <t>赛季2_挑战怪物2_2_3</t>
  </si>
  <si>
    <t>赛季2_挑战怪物2_3_1</t>
  </si>
  <si>
    <t>赛季2_挑战怪物2_3_2</t>
  </si>
  <si>
    <t>赛季2_挑战怪物2_3_3</t>
  </si>
  <si>
    <t>赛季2_挑战怪物2_4_1</t>
  </si>
  <si>
    <t>赛季2_挑战怪物2_4_2</t>
  </si>
  <si>
    <t>赛季2_挑战怪物2_4_3</t>
  </si>
  <si>
    <t>赛季2_挑战怪物2_4_4</t>
  </si>
  <si>
    <t>赛季2_挑战怪物2_5_1</t>
  </si>
  <si>
    <t>赛季2_挑战怪物2_5_2</t>
  </si>
  <si>
    <t>赛季2_挑战怪物2_5_3</t>
  </si>
  <si>
    <t>赛季2_挑战怪物2_5_4</t>
  </si>
  <si>
    <t>赛季2_挑战怪物3_1_1</t>
  </si>
  <si>
    <t>赛季2_挑战怪物3_1_2</t>
  </si>
  <si>
    <t>赛季2_挑战怪物3_2_1</t>
  </si>
  <si>
    <t>赛季2_挑战怪物3_2_2</t>
  </si>
  <si>
    <t>赛季2_挑战怪物3_2_3</t>
  </si>
  <si>
    <t>赛季2_挑战怪物3_3_1</t>
  </si>
  <si>
    <t>赛季2_挑战怪物3_3_2</t>
  </si>
  <si>
    <t>赛季2_挑战怪物3_3_3</t>
  </si>
  <si>
    <t>赛季2_挑战怪物4_1_1</t>
  </si>
  <si>
    <t>赛季2_挑战怪物4_1_2</t>
  </si>
  <si>
    <t>赛季2_挑战怪物4_2_1</t>
  </si>
  <si>
    <t>赛季2_挑战怪物4_2_2</t>
  </si>
  <si>
    <t>赛季2_挑战怪物4_2_3</t>
  </si>
  <si>
    <t>赛季2_挑战怪物4_3_1</t>
  </si>
  <si>
    <t>赛季2_挑战怪物4_3_2</t>
  </si>
  <si>
    <t>赛季2_挑战怪物4_3_3</t>
  </si>
  <si>
    <t>赛季2_挑战怪物4_4_1</t>
  </si>
  <si>
    <t>赛季2_挑战怪物4_4_2</t>
  </si>
  <si>
    <t>赛季2_挑战怪物4_4_3</t>
  </si>
  <si>
    <t>赛季2_挑战怪物4_5_1</t>
  </si>
  <si>
    <t>赛季2_挑战怪物4_5_2</t>
  </si>
  <si>
    <t>赛季2_挑战怪物4_5_3</t>
  </si>
  <si>
    <t>赛季2_挑战怪物5_1_1</t>
  </si>
  <si>
    <t>赛季2_挑战怪物5_1_2</t>
  </si>
  <si>
    <t>赛季2_挑战怪物5_2_1</t>
  </si>
  <si>
    <t>赛季2_挑战怪物5_2_2</t>
  </si>
  <si>
    <t>赛季2_挑战怪物5_2_3</t>
  </si>
  <si>
    <t>赛季2_挑战怪物5_3_1</t>
  </si>
  <si>
    <t>赛季2_挑战怪物5_3_2</t>
  </si>
  <si>
    <t>赛季2_挑战怪物5_3_3</t>
  </si>
  <si>
    <t>赛季2_挑战怪物5_3_4</t>
  </si>
  <si>
    <t>赛季2_挑战怪物5_4_1</t>
  </si>
  <si>
    <t>赛季2_挑战怪物5_4_2</t>
  </si>
  <si>
    <t>赛季2_挑战怪物5_4_3</t>
  </si>
  <si>
    <t>赛季2_挑战怪物5_5_1</t>
  </si>
  <si>
    <t>赛季2_挑战怪物5_5_2</t>
  </si>
  <si>
    <t>赛季2_挑战怪物5_5_3</t>
  </si>
  <si>
    <t>赛季2_挑战怪物5_5_4</t>
  </si>
  <si>
    <t>赛季2_挑战怪物5_6_1</t>
  </si>
  <si>
    <t>赛季2_挑战怪物5_6_2</t>
  </si>
  <si>
    <t>赛季2_挑战怪物5_6_3</t>
  </si>
  <si>
    <t>赛季2_挑战怪物5_6_4</t>
  </si>
  <si>
    <t>赛季2_挑战怪物5_7_1</t>
  </si>
  <si>
    <t>赛季2_挑战怪物5_7_2</t>
  </si>
  <si>
    <t>赛季2_挑战怪物5_7_3</t>
  </si>
  <si>
    <t>赛季2_挑战怪物5_7_4</t>
  </si>
  <si>
    <t>赛季2_挑战怪物5_8_1</t>
  </si>
  <si>
    <t>赛季2_挑战怪物5_8_2</t>
  </si>
  <si>
    <t>赛季2_挑战怪物5_8_3</t>
  </si>
  <si>
    <t>赛季2_挑战怪物5_8_4</t>
  </si>
  <si>
    <t>赛季3_挑战怪物1_1_1</t>
  </si>
  <si>
    <t>赛季3_挑战怪物1_1_2</t>
  </si>
  <si>
    <t>赛季3_挑战怪物1_2_1</t>
  </si>
  <si>
    <t>赛季3_挑战怪物1_2_2</t>
  </si>
  <si>
    <t>赛季3_挑战怪物1_3_1</t>
  </si>
  <si>
    <t>赛季3_挑战怪物1_3_2</t>
  </si>
  <si>
    <t>赛季3_挑战怪物1_3_3</t>
  </si>
  <si>
    <t>赛季3_挑战怪物2_1_1</t>
  </si>
  <si>
    <t>赛季3_挑战怪物2_1_2</t>
  </si>
  <si>
    <t>赛季3_挑战怪物2_2_1</t>
  </si>
  <si>
    <t>赛季3_挑战怪物2_2_2</t>
  </si>
  <si>
    <t>赛季3_挑战怪物2_2_3</t>
  </si>
  <si>
    <t>赛季3_挑战怪物2_3_1</t>
  </si>
  <si>
    <t>赛季3_挑战怪物2_3_2</t>
  </si>
  <si>
    <t>赛季3_挑战怪物2_3_3</t>
  </si>
  <si>
    <t>赛季3_挑战怪物2_4_1</t>
  </si>
  <si>
    <t>赛季3_挑战怪物2_4_2</t>
  </si>
  <si>
    <t>赛季3_挑战怪物2_4_3</t>
  </si>
  <si>
    <t>赛季3_挑战怪物2_4_4</t>
  </si>
  <si>
    <t>赛季3_挑战怪物2_5_1</t>
  </si>
  <si>
    <t>赛季3_挑战怪物2_5_2</t>
  </si>
  <si>
    <t>赛季3_挑战怪物2_5_3</t>
  </si>
  <si>
    <t>赛季3_挑战怪物2_5_4</t>
  </si>
  <si>
    <t>赛季3_挑战怪物3_1_1</t>
  </si>
  <si>
    <t>赛季3_挑战怪物3_1_2</t>
  </si>
  <si>
    <t>赛季3_挑战怪物3_2_1</t>
  </si>
  <si>
    <t>赛季3_挑战怪物3_2_2</t>
  </si>
  <si>
    <t>赛季3_挑战怪物3_2_3</t>
  </si>
  <si>
    <t>赛季3_挑战怪物3_3_1</t>
  </si>
  <si>
    <t>赛季3_挑战怪物3_3_2</t>
  </si>
  <si>
    <t>赛季3_挑战怪物3_3_3</t>
  </si>
  <si>
    <t>赛季3_挑战怪物4_1_1</t>
  </si>
  <si>
    <t>赛季3_挑战怪物4_1_2</t>
  </si>
  <si>
    <t>赛季3_挑战怪物4_2_1</t>
  </si>
  <si>
    <t>赛季3_挑战怪物4_2_2</t>
  </si>
  <si>
    <t>赛季3_挑战怪物4_2_3</t>
  </si>
  <si>
    <t>赛季3_挑战怪物4_3_1</t>
  </si>
  <si>
    <t>赛季3_挑战怪物4_3_2</t>
  </si>
  <si>
    <t>赛季3_挑战怪物4_3_3</t>
  </si>
  <si>
    <t>赛季3_挑战怪物4_4_1</t>
  </si>
  <si>
    <t>赛季3_挑战怪物4_4_2</t>
  </si>
  <si>
    <t>赛季3_挑战怪物4_4_3</t>
  </si>
  <si>
    <t>赛季3_挑战怪物4_5_1</t>
  </si>
  <si>
    <t>赛季3_挑战怪物4_5_2</t>
  </si>
  <si>
    <t>赛季3_挑战怪物4_5_3</t>
  </si>
  <si>
    <t>赛季3_挑战怪物5_1_1</t>
  </si>
  <si>
    <t>赛季3_挑战怪物5_1_2</t>
  </si>
  <si>
    <t>赛季3_挑战怪物5_2_1</t>
  </si>
  <si>
    <t>赛季3_挑战怪物5_2_2</t>
  </si>
  <si>
    <t>赛季3_挑战怪物5_2_3</t>
  </si>
  <si>
    <t>赛季3_挑战怪物5_3_1</t>
  </si>
  <si>
    <t>赛季3_挑战怪物5_3_2</t>
  </si>
  <si>
    <t>赛季3_挑战怪物5_3_3</t>
  </si>
  <si>
    <t>赛季3_挑战怪物5_3_4</t>
  </si>
  <si>
    <t>赛季3_挑战怪物5_4_1</t>
  </si>
  <si>
    <t>赛季3_挑战怪物5_4_2</t>
  </si>
  <si>
    <t>赛季3_挑战怪物5_4_3</t>
  </si>
  <si>
    <t>赛季3_挑战怪物5_5_1</t>
  </si>
  <si>
    <t>赛季3_挑战怪物5_5_2</t>
  </si>
  <si>
    <t>赛季3_挑战怪物5_5_3</t>
  </si>
  <si>
    <t>赛季3_挑战怪物5_5_4</t>
  </si>
  <si>
    <t>赛季3_挑战怪物5_6_1</t>
  </si>
  <si>
    <t>赛季3_挑战怪物5_6_2</t>
  </si>
  <si>
    <t>赛季3_挑战怪物5_6_3</t>
  </si>
  <si>
    <t>赛季3_挑战怪物5_6_4</t>
  </si>
  <si>
    <t>赛季3_挑战怪物5_7_1</t>
  </si>
  <si>
    <t>赛季3_挑战怪物5_7_2</t>
  </si>
  <si>
    <t>赛季3_挑战怪物5_7_3</t>
  </si>
  <si>
    <t>赛季3_挑战怪物5_7_4</t>
  </si>
  <si>
    <t>赛季3_挑战怪物5_8_1</t>
  </si>
  <si>
    <t>赛季3_挑战怪物5_8_2</t>
  </si>
  <si>
    <t>赛季3_挑战怪物5_8_3</t>
  </si>
  <si>
    <t>赛季3_挑战怪物5_8_4</t>
  </si>
  <si>
    <t>赛季4_挑战怪物1_1_1</t>
  </si>
  <si>
    <t>赛季4_挑战怪物1_1_2</t>
  </si>
  <si>
    <t>赛季4_挑战怪物1_2_1</t>
  </si>
  <si>
    <t>赛季4_挑战怪物1_2_2</t>
  </si>
  <si>
    <t>赛季4_挑战怪物1_3_1</t>
  </si>
  <si>
    <t>赛季4_挑战怪物1_3_2</t>
  </si>
  <si>
    <t>赛季4_挑战怪物1_3_3</t>
  </si>
  <si>
    <t>赛季4_挑战怪物2_1_1</t>
  </si>
  <si>
    <t>赛季4_挑战怪物2_1_2</t>
  </si>
  <si>
    <t>赛季4_挑战怪物2_2_1</t>
  </si>
  <si>
    <t>赛季4_挑战怪物2_2_2</t>
  </si>
  <si>
    <t>赛季4_挑战怪物2_2_3</t>
  </si>
  <si>
    <t>赛季4_挑战怪物2_3_1</t>
  </si>
  <si>
    <t>赛季4_挑战怪物2_3_2</t>
  </si>
  <si>
    <t>赛季4_挑战怪物2_3_3</t>
  </si>
  <si>
    <t>赛季4_挑战怪物2_4_1</t>
  </si>
  <si>
    <t>赛季4_挑战怪物2_4_2</t>
  </si>
  <si>
    <t>赛季4_挑战怪物2_4_3</t>
  </si>
  <si>
    <t>赛季4_挑战怪物2_4_4</t>
  </si>
  <si>
    <t>赛季4_挑战怪物2_5_1</t>
  </si>
  <si>
    <t>赛季4_挑战怪物2_5_2</t>
  </si>
  <si>
    <t>赛季4_挑战怪物2_5_3</t>
  </si>
  <si>
    <t>赛季4_挑战怪物2_5_4</t>
  </si>
  <si>
    <t>赛季4_挑战怪物3_1_1</t>
  </si>
  <si>
    <t>赛季4_挑战怪物3_1_2</t>
  </si>
  <si>
    <t>赛季4_挑战怪物3_2_1</t>
  </si>
  <si>
    <t>赛季4_挑战怪物3_2_2</t>
  </si>
  <si>
    <t>赛季4_挑战怪物3_2_3</t>
  </si>
  <si>
    <t>赛季4_挑战怪物3_3_1</t>
  </si>
  <si>
    <t>赛季4_挑战怪物3_3_2</t>
  </si>
  <si>
    <t>赛季4_挑战怪物3_3_3</t>
  </si>
  <si>
    <t>赛季4_挑战怪物4_1_1</t>
  </si>
  <si>
    <t>赛季4_挑战怪物4_1_2</t>
  </si>
  <si>
    <t>赛季4_挑战怪物4_2_1</t>
  </si>
  <si>
    <t>赛季4_挑战怪物4_2_2</t>
  </si>
  <si>
    <t>赛季4_挑战怪物4_2_3</t>
  </si>
  <si>
    <t>赛季4_挑战怪物4_3_1</t>
  </si>
  <si>
    <t>赛季4_挑战怪物4_3_2</t>
  </si>
  <si>
    <t>赛季4_挑战怪物4_3_3</t>
  </si>
  <si>
    <t>赛季4_挑战怪物4_4_1</t>
  </si>
  <si>
    <t>赛季4_挑战怪物4_4_2</t>
  </si>
  <si>
    <t>赛季4_挑战怪物4_4_3</t>
  </si>
  <si>
    <t>赛季4_挑战怪物4_5_1</t>
  </si>
  <si>
    <t>赛季4_挑战怪物4_5_2</t>
  </si>
  <si>
    <t>赛季4_挑战怪物4_5_3</t>
  </si>
  <si>
    <t>赛季4_挑战怪物5_1_1</t>
  </si>
  <si>
    <t>赛季4_挑战怪物5_1_2</t>
  </si>
  <si>
    <t>赛季4_挑战怪物5_2_1</t>
  </si>
  <si>
    <t>赛季4_挑战怪物5_2_2</t>
  </si>
  <si>
    <t>赛季4_挑战怪物5_2_3</t>
  </si>
  <si>
    <t>赛季4_挑战怪物5_3_1</t>
  </si>
  <si>
    <t>赛季4_挑战怪物5_3_2</t>
  </si>
  <si>
    <t>赛季4_挑战怪物5_3_3</t>
  </si>
  <si>
    <t>赛季4_挑战怪物5_3_4</t>
  </si>
  <si>
    <t>赛季4_挑战怪物5_4_1</t>
  </si>
  <si>
    <t>赛季4_挑战怪物5_4_2</t>
  </si>
  <si>
    <t>赛季4_挑战怪物5_4_3</t>
  </si>
  <si>
    <t>赛季4_挑战怪物5_5_1</t>
  </si>
  <si>
    <t>赛季4_挑战怪物5_5_2</t>
  </si>
  <si>
    <t>赛季4_挑战怪物5_5_3</t>
  </si>
  <si>
    <t>赛季4_挑战怪物5_5_4</t>
  </si>
  <si>
    <t>赛季4_挑战怪物5_6_1</t>
  </si>
  <si>
    <t>赛季4_挑战怪物5_6_2</t>
  </si>
  <si>
    <t>赛季4_挑战怪物5_6_3</t>
  </si>
  <si>
    <t>赛季4_挑战怪物5_6_4</t>
  </si>
  <si>
    <t>赛季4_挑战怪物5_7_1</t>
  </si>
  <si>
    <t>赛季4_挑战怪物5_7_2</t>
  </si>
  <si>
    <t>赛季4_挑战怪物5_7_3</t>
  </si>
  <si>
    <t>赛季4_挑战怪物5_7_4</t>
  </si>
  <si>
    <t>赛季4_挑战怪物5_8_1</t>
  </si>
  <si>
    <t>赛季4_挑战怪物5_8_2</t>
  </si>
  <si>
    <t>赛季4_挑战怪物5_8_3</t>
  </si>
  <si>
    <t>赛季4_挑战怪物5_8_4</t>
  </si>
  <si>
    <t>通用技能</t>
    <phoneticPr fontId="4" type="noConversion"/>
  </si>
  <si>
    <t>Skill_Monster_Heal</t>
  </si>
  <si>
    <t>Skill_Monster_Invisible</t>
  </si>
  <si>
    <t>Skill_Monster_Weaken</t>
  </si>
  <si>
    <t>子弹穿透</t>
    <phoneticPr fontId="4" type="noConversion"/>
  </si>
  <si>
    <t>Tow26_1</t>
  </si>
  <si>
    <t>Tow26_2</t>
  </si>
  <si>
    <t>Tow26_3</t>
  </si>
  <si>
    <t>魔像</t>
  </si>
  <si>
    <t>魔像</t>
    <phoneticPr fontId="4" type="noConversion"/>
  </si>
  <si>
    <t>火箭塔</t>
  </si>
  <si>
    <t>Tow23_1</t>
  </si>
  <si>
    <t>Tow23_2</t>
  </si>
  <si>
    <t>Tow23_3</t>
  </si>
  <si>
    <t>奥术天球</t>
  </si>
  <si>
    <t>Tow9_1</t>
  </si>
  <si>
    <t>Tow9_2</t>
  </si>
  <si>
    <t>Tow9_3</t>
  </si>
  <si>
    <t>水晶</t>
    <phoneticPr fontId="25" type="noConversion"/>
  </si>
  <si>
    <t>Tow17_1</t>
  </si>
  <si>
    <t>Tow17_2</t>
  </si>
  <si>
    <t>Tow17_3</t>
  </si>
  <si>
    <t>Unit_TowerFire1</t>
  </si>
  <si>
    <t>Unit_TowerFire2</t>
  </si>
  <si>
    <t>Unit_TowerFire3</t>
  </si>
  <si>
    <t>Unit_TowerMagicBall1</t>
  </si>
  <si>
    <t>Unit_TowerMagicBall2</t>
  </si>
  <si>
    <t>Unit_TowerMagicBall3</t>
  </si>
  <si>
    <t>Unit_TowerRocket1</t>
  </si>
  <si>
    <t>Unit_TowerRocket2</t>
  </si>
  <si>
    <t>Unit_TowerRocket3</t>
  </si>
  <si>
    <t>Unit_TowerGolem1</t>
  </si>
  <si>
    <t>Unit_TowerGolem2</t>
  </si>
  <si>
    <t>Unit_TowerGolem3</t>
  </si>
  <si>
    <t>Tow9_2</t>
    <phoneticPr fontId="4" type="noConversion"/>
  </si>
  <si>
    <t>Tow9_3</t>
    <phoneticPr fontId="4" type="noConversion"/>
  </si>
  <si>
    <t>Tow17_2</t>
    <phoneticPr fontId="4" type="noConversion"/>
  </si>
  <si>
    <t>Tow17_3</t>
    <phoneticPr fontId="4" type="noConversion"/>
  </si>
  <si>
    <t>Tow23_2</t>
    <phoneticPr fontId="4" type="noConversion"/>
  </si>
  <si>
    <t>Tow23_3</t>
    <phoneticPr fontId="4" type="noConversion"/>
  </si>
  <si>
    <t>Tow26_2</t>
    <phoneticPr fontId="4" type="noConversion"/>
  </si>
  <si>
    <t>Tow26_3</t>
    <phoneticPr fontId="4" type="noConversion"/>
  </si>
  <si>
    <t>火箭塔</t>
    <phoneticPr fontId="4" type="noConversion"/>
  </si>
  <si>
    <t>水晶</t>
    <phoneticPr fontId="4" type="noConversion"/>
  </si>
  <si>
    <t>奥术天球</t>
    <phoneticPr fontId="4" type="noConversion"/>
  </si>
  <si>
    <t>水晶</t>
  </si>
  <si>
    <r>
      <t>Text_Key_TowerLabel_Aoe</t>
    </r>
    <r>
      <rPr>
        <sz val="11"/>
        <color rgb="FF000000"/>
        <rFont val="等线"/>
        <family val="3"/>
        <charset val="134"/>
      </rPr>
      <t>;Text_Key_TowerLabel_Solo</t>
    </r>
    <phoneticPr fontId="25" type="noConversion"/>
  </si>
  <si>
    <t>Text_Key_TowerLabel_Aoe</t>
    <phoneticPr fontId="25" type="noConversion"/>
  </si>
  <si>
    <t>Tow26</t>
  </si>
  <si>
    <t>Tow9</t>
  </si>
  <si>
    <t>Tow17</t>
  </si>
  <si>
    <t>Tow23</t>
  </si>
  <si>
    <t>1/2级弹药/3级弹药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</si>
</sst>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5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rgb="FFFA7D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u/>
      <sz val="11"/>
      <color rgb="FF0563C1"/>
      <name val="等线"/>
      <family val="3"/>
      <charset val="134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4"/>
      <charset val="134"/>
      <scheme val="minor"/>
    </font>
    <font>
      <sz val="11"/>
      <color rgb="FF9C0006"/>
      <name val="等线"/>
      <family val="4"/>
      <charset val="134"/>
      <scheme val="minor"/>
    </font>
    <font>
      <i/>
      <sz val="11"/>
      <color rgb="FF7F7F7F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u/>
      <sz val="11"/>
      <color rgb="FFFA7D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3F3F3F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FFC000"/>
      <name val="等线"/>
      <family val="3"/>
      <charset val="134"/>
      <scheme val="minor"/>
    </font>
    <font>
      <b/>
      <sz val="11"/>
      <color rgb="FF3F3F76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indexed="64"/>
      </right>
      <top style="thin">
        <color rgb="FF3F3F3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0" fontId="1" fillId="2" borderId="1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7" fillId="0" borderId="0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0" borderId="0"/>
    <xf numFmtId="0" fontId="13" fillId="0" borderId="0" applyBorder="0" applyProtection="0"/>
    <xf numFmtId="0" fontId="12" fillId="6" borderId="0" applyBorder="0" applyProtection="0"/>
    <xf numFmtId="0" fontId="11" fillId="5" borderId="0" applyBorder="0" applyProtection="0"/>
    <xf numFmtId="0" fontId="12" fillId="6" borderId="0" applyBorder="0" applyProtection="0"/>
    <xf numFmtId="0" fontId="10" fillId="0" borderId="0"/>
    <xf numFmtId="0" fontId="11" fillId="5" borderId="0" applyBorder="0" applyProtection="0"/>
    <xf numFmtId="0" fontId="8" fillId="0" borderId="0"/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5" borderId="0" applyBorder="0" applyProtection="0"/>
    <xf numFmtId="0" fontId="8" fillId="0" borderId="0"/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29" fillId="0" borderId="0"/>
    <xf numFmtId="0" fontId="32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</cellStyleXfs>
  <cellXfs count="193">
    <xf numFmtId="0" fontId="0" fillId="0" borderId="0" xfId="0"/>
    <xf numFmtId="0" fontId="5" fillId="0" borderId="0" xfId="0" applyFont="1"/>
    <xf numFmtId="0" fontId="8" fillId="0" borderId="3" xfId="0" applyFont="1" applyBorder="1" applyAlignment="1">
      <alignment horizontal="center" vertical="center"/>
    </xf>
    <xf numFmtId="0" fontId="6" fillId="0" borderId="0" xfId="0" applyFont="1"/>
    <xf numFmtId="0" fontId="6" fillId="9" borderId="0" xfId="0" applyFont="1" applyFill="1"/>
    <xf numFmtId="0" fontId="18" fillId="0" borderId="0" xfId="4" applyFont="1" applyAlignment="1"/>
    <xf numFmtId="0" fontId="8" fillId="0" borderId="0" xfId="0" applyFont="1"/>
    <xf numFmtId="0" fontId="19" fillId="2" borderId="3" xfId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9" fillId="2" borderId="1" xfId="1" applyNumberFormat="1" applyFont="1" applyAlignment="1">
      <alignment horizontal="center"/>
    </xf>
    <xf numFmtId="0" fontId="19" fillId="2" borderId="1" xfId="1" applyFont="1" applyAlignment="1">
      <alignment horizontal="center" vertical="center"/>
    </xf>
    <xf numFmtId="0" fontId="20" fillId="3" borderId="2" xfId="2" applyNumberFormat="1" applyFont="1" applyAlignment="1">
      <alignment horizontal="center"/>
    </xf>
    <xf numFmtId="0" fontId="8" fillId="0" borderId="12" xfId="0" applyFont="1" applyBorder="1"/>
    <xf numFmtId="0" fontId="8" fillId="0" borderId="13" xfId="0" applyFont="1" applyBorder="1"/>
    <xf numFmtId="0" fontId="8" fillId="0" borderId="14" xfId="0" applyFont="1" applyBorder="1"/>
    <xf numFmtId="0" fontId="19" fillId="2" borderId="11" xfId="1" applyFont="1" applyBorder="1" applyAlignment="1"/>
    <xf numFmtId="0" fontId="19" fillId="2" borderId="5" xfId="1" applyFont="1" applyBorder="1" applyAlignment="1"/>
    <xf numFmtId="0" fontId="19" fillId="2" borderId="6" xfId="1" applyFont="1" applyBorder="1" applyAlignment="1"/>
    <xf numFmtId="0" fontId="20" fillId="3" borderId="18" xfId="2" applyFont="1" applyBorder="1" applyAlignment="1"/>
    <xf numFmtId="0" fontId="20" fillId="3" borderId="19" xfId="2" applyFont="1" applyBorder="1" applyAlignment="1"/>
    <xf numFmtId="0" fontId="20" fillId="3" borderId="20" xfId="2" applyFont="1" applyBorder="1" applyAlignment="1"/>
    <xf numFmtId="0" fontId="21" fillId="4" borderId="12" xfId="5" applyFont="1" applyFill="1" applyBorder="1" applyAlignment="1"/>
    <xf numFmtId="0" fontId="22" fillId="4" borderId="13" xfId="3" applyFont="1" applyFill="1" applyBorder="1" applyAlignment="1"/>
    <xf numFmtId="0" fontId="22" fillId="4" borderId="14" xfId="3" applyFont="1" applyFill="1" applyBorder="1" applyAlignment="1"/>
    <xf numFmtId="0" fontId="18" fillId="0" borderId="8" xfId="4" applyFont="1" applyBorder="1" applyAlignment="1"/>
    <xf numFmtId="0" fontId="18" fillId="0" borderId="9" xfId="4" applyFont="1" applyBorder="1" applyAlignment="1"/>
    <xf numFmtId="0" fontId="18" fillId="0" borderId="10" xfId="4" applyFont="1" applyBorder="1" applyAlignment="1"/>
    <xf numFmtId="0" fontId="22" fillId="0" borderId="3" xfId="3" applyFont="1" applyBorder="1" applyAlignment="1">
      <alignment horizontal="center" vertical="center"/>
    </xf>
    <xf numFmtId="0" fontId="23" fillId="0" borderId="0" xfId="0" applyFont="1"/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9" fillId="2" borderId="24" xfId="1" applyFont="1" applyBorder="1" applyAlignment="1">
      <alignment horizontal="center" vertical="center"/>
    </xf>
    <xf numFmtId="0" fontId="19" fillId="2" borderId="26" xfId="1" applyFont="1" applyBorder="1" applyAlignment="1">
      <alignment horizontal="center" vertical="center"/>
    </xf>
    <xf numFmtId="0" fontId="19" fillId="2" borderId="27" xfId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9" fillId="2" borderId="25" xfId="1" applyFont="1" applyBorder="1" applyAlignment="1">
      <alignment horizontal="center" vertical="center"/>
    </xf>
    <xf numFmtId="0" fontId="19" fillId="2" borderId="28" xfId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3" borderId="3" xfId="2" applyBorder="1" applyAlignment="1">
      <alignment horizontal="center"/>
    </xf>
    <xf numFmtId="0" fontId="9" fillId="0" borderId="3" xfId="5" applyBorder="1" applyAlignment="1">
      <alignment horizontal="center" vertical="center"/>
    </xf>
    <xf numFmtId="0" fontId="14" fillId="7" borderId="0" xfId="14" applyAlignment="1"/>
    <xf numFmtId="0" fontId="15" fillId="8" borderId="0" xfId="15" applyAlignment="1"/>
    <xf numFmtId="0" fontId="14" fillId="7" borderId="3" xfId="14" applyBorder="1" applyAlignment="1"/>
    <xf numFmtId="0" fontId="15" fillId="8" borderId="3" xfId="15" applyBorder="1" applyAlignment="1"/>
    <xf numFmtId="0" fontId="10" fillId="0" borderId="0" xfId="11"/>
    <xf numFmtId="0" fontId="11" fillId="5" borderId="3" xfId="9" applyBorder="1" applyProtection="1"/>
    <xf numFmtId="0" fontId="12" fillId="6" borderId="3" xfId="8" applyBorder="1" applyProtection="1"/>
    <xf numFmtId="0" fontId="0" fillId="0" borderId="3" xfId="0" applyBorder="1"/>
    <xf numFmtId="0" fontId="18" fillId="0" borderId="0" xfId="4" applyFont="1" applyAlignment="1">
      <alignment horizontal="left"/>
    </xf>
    <xf numFmtId="9" fontId="19" fillId="2" borderId="3" xfId="20" applyFont="1" applyFill="1" applyBorder="1" applyAlignment="1">
      <alignment horizontal="center" vertical="center"/>
    </xf>
    <xf numFmtId="9" fontId="19" fillId="2" borderId="3" xfId="1" applyNumberFormat="1" applyFont="1" applyBorder="1" applyAlignment="1">
      <alignment horizontal="center" vertical="center"/>
    </xf>
    <xf numFmtId="0" fontId="8" fillId="0" borderId="0" xfId="13"/>
    <xf numFmtId="0" fontId="2" fillId="3" borderId="2" xfId="2" applyAlignment="1"/>
    <xf numFmtId="0" fontId="14" fillId="7" borderId="3" xfId="14" applyBorder="1" applyAlignment="1">
      <alignment horizontal="left" vertical="center"/>
    </xf>
    <xf numFmtId="0" fontId="0" fillId="0" borderId="0" xfId="0" applyAlignment="1">
      <alignment horizontal="left"/>
    </xf>
    <xf numFmtId="0" fontId="15" fillId="8" borderId="3" xfId="15" applyBorder="1" applyAlignment="1">
      <alignment horizontal="left" vertical="center"/>
    </xf>
    <xf numFmtId="0" fontId="8" fillId="0" borderId="0" xfId="13" applyAlignment="1">
      <alignment horizontal="left" vertical="center"/>
    </xf>
    <xf numFmtId="0" fontId="26" fillId="0" borderId="0" xfId="13" applyFont="1" applyAlignment="1">
      <alignment horizontal="left"/>
    </xf>
    <xf numFmtId="0" fontId="27" fillId="0" borderId="0" xfId="13" applyFont="1" applyAlignment="1">
      <alignment horizontal="left"/>
    </xf>
    <xf numFmtId="0" fontId="8" fillId="0" borderId="0" xfId="13" applyAlignment="1">
      <alignment horizontal="left"/>
    </xf>
    <xf numFmtId="0" fontId="14" fillId="7" borderId="3" xfId="14" applyBorder="1" applyAlignment="1">
      <alignment horizontal="left"/>
    </xf>
    <xf numFmtId="0" fontId="15" fillId="8" borderId="3" xfId="15" applyBorder="1" applyAlignment="1">
      <alignment horizontal="left"/>
    </xf>
    <xf numFmtId="0" fontId="2" fillId="3" borderId="3" xfId="2" applyBorder="1" applyAlignment="1">
      <alignment horizontal="left"/>
    </xf>
    <xf numFmtId="0" fontId="0" fillId="0" borderId="0" xfId="0" applyAlignment="1">
      <alignment vertical="center"/>
    </xf>
    <xf numFmtId="0" fontId="14" fillId="7" borderId="15" xfId="14" applyBorder="1" applyAlignment="1">
      <alignment horizontal="left"/>
    </xf>
    <xf numFmtId="0" fontId="8" fillId="0" borderId="0" xfId="0" applyFont="1" applyAlignment="1">
      <alignment horizontal="left"/>
    </xf>
    <xf numFmtId="0" fontId="14" fillId="7" borderId="15" xfId="14" applyBorder="1" applyAlignment="1">
      <alignment horizontal="left" vertical="center"/>
    </xf>
    <xf numFmtId="0" fontId="14" fillId="7" borderId="15" xfId="14" applyBorder="1" applyAlignment="1">
      <alignment horizontal="left" vertical="center" wrapText="1"/>
    </xf>
    <xf numFmtId="0" fontId="2" fillId="3" borderId="2" xfId="2" applyAlignment="1">
      <alignment horizontal="left" vertical="center"/>
    </xf>
    <xf numFmtId="0" fontId="11" fillId="5" borderId="14" xfId="9" applyBorder="1" applyAlignment="1" applyProtection="1">
      <alignment horizontal="center"/>
    </xf>
    <xf numFmtId="0" fontId="12" fillId="6" borderId="14" xfId="8" applyBorder="1" applyAlignment="1" applyProtection="1">
      <alignment horizontal="center"/>
    </xf>
    <xf numFmtId="0" fontId="13" fillId="6" borderId="3" xfId="7" applyFill="1" applyBorder="1" applyProtection="1"/>
    <xf numFmtId="0" fontId="11" fillId="5" borderId="15" xfId="9" applyBorder="1" applyProtection="1"/>
    <xf numFmtId="0" fontId="28" fillId="0" borderId="0" xfId="0" applyFont="1"/>
    <xf numFmtId="0" fontId="10" fillId="0" borderId="0" xfId="0" applyFont="1"/>
    <xf numFmtId="0" fontId="28" fillId="0" borderId="0" xfId="9" applyFont="1" applyFill="1" applyBorder="1" applyProtection="1"/>
    <xf numFmtId="0" fontId="8" fillId="0" borderId="0" xfId="17"/>
    <xf numFmtId="0" fontId="2" fillId="3" borderId="2" xfId="2" applyAlignment="1">
      <alignment horizontal="center" vertical="center"/>
    </xf>
    <xf numFmtId="0" fontId="21" fillId="8" borderId="3" xfId="21" applyFill="1" applyBorder="1" applyAlignment="1"/>
    <xf numFmtId="0" fontId="19" fillId="2" borderId="12" xfId="1" applyFont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2" xfId="2" applyAlignment="1">
      <alignment vertical="center"/>
    </xf>
    <xf numFmtId="0" fontId="8" fillId="0" borderId="3" xfId="0" applyFont="1" applyBorder="1" applyAlignment="1">
      <alignment horizontal="left" vertical="center"/>
    </xf>
    <xf numFmtId="0" fontId="3" fillId="0" borderId="0" xfId="4" applyAlignment="1"/>
    <xf numFmtId="0" fontId="14" fillId="7" borderId="14" xfId="14" applyBorder="1" applyAlignment="1">
      <alignment horizontal="center"/>
    </xf>
    <xf numFmtId="0" fontId="15" fillId="8" borderId="14" xfId="15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1" xfId="1" applyAlignment="1">
      <alignment horizontal="left" vertical="center"/>
    </xf>
    <xf numFmtId="0" fontId="0" fillId="0" borderId="0" xfId="0" applyAlignment="1">
      <alignment horizontal="center"/>
    </xf>
    <xf numFmtId="0" fontId="2" fillId="3" borderId="2" xfId="2" applyAlignment="1">
      <alignment horizontal="center"/>
    </xf>
    <xf numFmtId="0" fontId="1" fillId="2" borderId="1" xfId="1" applyAlignment="1">
      <alignment horizontal="center"/>
    </xf>
    <xf numFmtId="0" fontId="14" fillId="7" borderId="0" xfId="14" applyAlignment="1">
      <alignment horizontal="left"/>
    </xf>
    <xf numFmtId="0" fontId="21" fillId="8" borderId="3" xfId="21" applyFill="1" applyBorder="1" applyAlignment="1">
      <alignment horizontal="left"/>
    </xf>
    <xf numFmtId="0" fontId="15" fillId="8" borderId="0" xfId="15" applyAlignment="1">
      <alignment horizontal="left"/>
    </xf>
    <xf numFmtId="0" fontId="2" fillId="3" borderId="2" xfId="2" applyAlignment="1">
      <alignment horizontal="left"/>
    </xf>
    <xf numFmtId="0" fontId="29" fillId="0" borderId="0" xfId="22" applyAlignment="1">
      <alignment horizontal="left"/>
    </xf>
    <xf numFmtId="0" fontId="14" fillId="7" borderId="12" xfId="14" applyBorder="1" applyAlignment="1">
      <alignment horizontal="left"/>
    </xf>
    <xf numFmtId="0" fontId="14" fillId="7" borderId="13" xfId="14" applyBorder="1" applyAlignment="1">
      <alignment horizontal="left"/>
    </xf>
    <xf numFmtId="0" fontId="14" fillId="7" borderId="0" xfId="14" applyBorder="1" applyAlignment="1">
      <alignment horizontal="left"/>
    </xf>
    <xf numFmtId="0" fontId="15" fillId="8" borderId="12" xfId="15" applyBorder="1" applyAlignment="1">
      <alignment horizontal="left"/>
    </xf>
    <xf numFmtId="0" fontId="15" fillId="8" borderId="0" xfId="15" applyBorder="1" applyAlignment="1">
      <alignment horizontal="left"/>
    </xf>
    <xf numFmtId="0" fontId="14" fillId="7" borderId="4" xfId="14" applyBorder="1" applyAlignment="1">
      <alignment horizontal="left"/>
    </xf>
    <xf numFmtId="0" fontId="3" fillId="0" borderId="0" xfId="4" applyAlignment="1">
      <alignment horizontal="left"/>
    </xf>
    <xf numFmtId="0" fontId="3" fillId="0" borderId="0" xfId="4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4" borderId="7" xfId="4" applyFill="1" applyBorder="1" applyAlignment="1">
      <alignment horizontal="left" vertical="center"/>
    </xf>
    <xf numFmtId="0" fontId="30" fillId="0" borderId="0" xfId="0" applyFont="1"/>
    <xf numFmtId="0" fontId="19" fillId="2" borderId="17" xfId="1" applyFont="1" applyBorder="1" applyAlignment="1">
      <alignment horizontal="center" vertical="center"/>
    </xf>
    <xf numFmtId="0" fontId="19" fillId="2" borderId="3" xfId="1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31" fillId="0" borderId="0" xfId="2" applyFont="1" applyFill="1" applyBorder="1" applyAlignment="1">
      <alignment horizontal="left"/>
    </xf>
    <xf numFmtId="0" fontId="30" fillId="0" borderId="0" xfId="2" applyFont="1" applyFill="1" applyBorder="1" applyAlignment="1">
      <alignment horizontal="left"/>
    </xf>
    <xf numFmtId="9" fontId="19" fillId="2" borderId="12" xfId="1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9" fontId="0" fillId="0" borderId="3" xfId="0" applyNumberFormat="1" applyBorder="1"/>
    <xf numFmtId="0" fontId="2" fillId="3" borderId="3" xfId="2" applyNumberFormat="1" applyBorder="1" applyAlignment="1">
      <alignment horizontal="left"/>
    </xf>
    <xf numFmtId="0" fontId="19" fillId="2" borderId="3" xfId="20" applyNumberFormat="1" applyFont="1" applyFill="1" applyBorder="1" applyAlignment="1">
      <alignment horizontal="center" vertical="center"/>
    </xf>
    <xf numFmtId="0" fontId="32" fillId="10" borderId="0" xfId="23" applyAlignme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19" fillId="2" borderId="16" xfId="1" applyFont="1" applyBorder="1" applyAlignment="1">
      <alignment horizontal="center" vertical="center"/>
    </xf>
    <xf numFmtId="0" fontId="19" fillId="2" borderId="7" xfId="1" applyFont="1" applyBorder="1" applyAlignment="1">
      <alignment horizontal="center" vertical="center"/>
    </xf>
    <xf numFmtId="0" fontId="1" fillId="2" borderId="1" xfId="1" applyAlignment="1">
      <alignment horizontal="left"/>
    </xf>
    <xf numFmtId="0" fontId="34" fillId="0" borderId="3" xfId="0" applyFont="1" applyBorder="1" applyAlignment="1">
      <alignment horizontal="center" vertical="center"/>
    </xf>
    <xf numFmtId="0" fontId="34" fillId="2" borderId="12" xfId="1" applyFont="1" applyBorder="1" applyAlignment="1">
      <alignment horizontal="center" vertical="center"/>
    </xf>
    <xf numFmtId="0" fontId="34" fillId="2" borderId="3" xfId="1" applyFont="1" applyBorder="1" applyAlignment="1">
      <alignment horizontal="center" vertical="center"/>
    </xf>
    <xf numFmtId="0" fontId="8" fillId="0" borderId="3" xfId="0" applyFont="1" applyBorder="1"/>
    <xf numFmtId="0" fontId="8" fillId="0" borderId="0" xfId="0" applyFont="1" applyAlignment="1">
      <alignment horizontal="center"/>
    </xf>
    <xf numFmtId="0" fontId="34" fillId="0" borderId="3" xfId="0" applyFont="1" applyBorder="1" applyAlignment="1">
      <alignment horizontal="center"/>
    </xf>
    <xf numFmtId="0" fontId="37" fillId="2" borderId="3" xfId="1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3" fillId="0" borderId="0" xfId="4" applyBorder="1" applyAlignment="1">
      <alignment horizontal="center"/>
    </xf>
    <xf numFmtId="0" fontId="34" fillId="0" borderId="27" xfId="0" applyFont="1" applyBorder="1" applyAlignment="1">
      <alignment horizontal="center" vertical="center"/>
    </xf>
    <xf numFmtId="0" fontId="34" fillId="2" borderId="27" xfId="1" applyFont="1" applyBorder="1" applyAlignment="1">
      <alignment horizontal="center" vertical="center"/>
    </xf>
    <xf numFmtId="0" fontId="19" fillId="2" borderId="0" xfId="1" applyFont="1" applyBorder="1" applyAlignment="1">
      <alignment horizontal="center" vertical="center"/>
    </xf>
    <xf numFmtId="0" fontId="3" fillId="4" borderId="0" xfId="4" applyFill="1" applyBorder="1" applyAlignment="1">
      <alignment horizontal="left" vertical="center"/>
    </xf>
    <xf numFmtId="0" fontId="38" fillId="11" borderId="0" xfId="24" applyAlignment="1"/>
    <xf numFmtId="0" fontId="6" fillId="0" borderId="3" xfId="0" applyFont="1" applyBorder="1" applyAlignment="1">
      <alignment horizontal="center" vertical="center"/>
    </xf>
    <xf numFmtId="0" fontId="37" fillId="2" borderId="12" xfId="1" applyFont="1" applyBorder="1" applyAlignment="1">
      <alignment horizontal="center" vertical="center"/>
    </xf>
    <xf numFmtId="58" fontId="8" fillId="0" borderId="0" xfId="0" applyNumberFormat="1" applyFont="1"/>
    <xf numFmtId="58" fontId="8" fillId="0" borderId="0" xfId="0" applyNumberFormat="1" applyFont="1" applyAlignment="1">
      <alignment horizontal="center"/>
    </xf>
    <xf numFmtId="0" fontId="0" fillId="1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6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0" borderId="0" xfId="4" applyAlignment="1">
      <alignment horizontal="center"/>
    </xf>
    <xf numFmtId="9" fontId="8" fillId="0" borderId="0" xfId="0" applyNumberFormat="1" applyFont="1"/>
    <xf numFmtId="9" fontId="8" fillId="0" borderId="0" xfId="20" applyFont="1" applyAlignment="1"/>
    <xf numFmtId="9" fontId="8" fillId="0" borderId="3" xfId="20" applyFont="1" applyBorder="1" applyAlignment="1"/>
    <xf numFmtId="0" fontId="8" fillId="0" borderId="16" xfId="0" applyFont="1" applyBorder="1"/>
    <xf numFmtId="0" fontId="32" fillId="10" borderId="0" xfId="23" applyAlignment="1">
      <alignment horizontal="left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1" fillId="0" borderId="3" xfId="5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7" borderId="3" xfId="14" applyBorder="1" applyAlignment="1">
      <alignment horizontal="left"/>
    </xf>
    <xf numFmtId="0" fontId="15" fillId="8" borderId="3" xfId="15" applyBorder="1" applyAlignment="1">
      <alignment horizontal="left"/>
    </xf>
    <xf numFmtId="0" fontId="14" fillId="7" borderId="12" xfId="14" applyBorder="1" applyAlignment="1">
      <alignment horizontal="left"/>
    </xf>
    <xf numFmtId="0" fontId="14" fillId="7" borderId="13" xfId="14" applyBorder="1" applyAlignment="1">
      <alignment horizontal="left"/>
    </xf>
    <xf numFmtId="0" fontId="15" fillId="8" borderId="12" xfId="15" applyBorder="1" applyAlignment="1">
      <alignment horizontal="left"/>
    </xf>
    <xf numFmtId="0" fontId="15" fillId="8" borderId="13" xfId="15" applyBorder="1" applyAlignment="1">
      <alignment horizontal="left"/>
    </xf>
  </cellXfs>
  <cellStyles count="25">
    <cellStyle name="Excel Built-in Bad" xfId="8" xr:uid="{7D38EF3C-172A-4414-B8A5-B92F4C72B4C0}"/>
    <cellStyle name="Excel Built-in Good" xfId="9" xr:uid="{4CDBBC32-E410-4602-AD4A-80D2AD3FB56A}"/>
    <cellStyle name="Excel Built-in Good 2" xfId="16" xr:uid="{B0E36362-8D56-42DA-9BD3-B79029939869}"/>
    <cellStyle name="百分比" xfId="20" builtinId="5"/>
    <cellStyle name="差" xfId="24" builtinId="27"/>
    <cellStyle name="差 2" xfId="10" xr:uid="{582BC748-F6A5-4901-B69A-B32076D7D4BB}"/>
    <cellStyle name="差 3" xfId="15" xr:uid="{43D58D40-7D9E-41DE-8AFD-40B6922D776D}"/>
    <cellStyle name="差 4" xfId="19" xr:uid="{FFDEFA15-76AD-4992-AD8D-27D0BC098897}"/>
    <cellStyle name="常规" xfId="0" builtinId="0"/>
    <cellStyle name="常规 2" xfId="11" xr:uid="{9D37C24E-A191-4528-89BB-1AEF46CA8F38}"/>
    <cellStyle name="常规 3" xfId="13" xr:uid="{31C79F39-1757-481B-9B21-1933C3F8CF60}"/>
    <cellStyle name="常规 4" xfId="17" xr:uid="{4306D6F9-78E6-48D8-99FC-F238CD1F0CAE}"/>
    <cellStyle name="常规 5" xfId="6" xr:uid="{607DA45A-57AE-4AA9-BA85-8BC2671D50FE}"/>
    <cellStyle name="常规 6" xfId="22" xr:uid="{5548426F-E1A4-4D61-88F7-1FBDB27632E6}"/>
    <cellStyle name="超链接" xfId="5" builtinId="8"/>
    <cellStyle name="超链接 2" xfId="7" xr:uid="{7A06C4F7-52C1-4978-8533-A2BEA7B46778}"/>
    <cellStyle name="超链接 3" xfId="21" xr:uid="{2179B1AB-1A2D-4178-9985-CE9007745124}"/>
    <cellStyle name="好" xfId="23" builtinId="26"/>
    <cellStyle name="好 2" xfId="12" xr:uid="{1AB8A16A-C1D9-4FC9-80A3-C5AC8A62F580}"/>
    <cellStyle name="好 3" xfId="14" xr:uid="{8D7838B8-2026-4982-8A6A-2791AC5906A5}"/>
    <cellStyle name="好 4" xfId="18" xr:uid="{99391301-1134-4A51-95CC-88383CAB5312}"/>
    <cellStyle name="解释性文本" xfId="4" builtinId="53"/>
    <cellStyle name="链接单元格" xfId="3" builtinId="24" customBuiltin="1"/>
    <cellStyle name="输出" xfId="2" builtinId="21"/>
    <cellStyle name="输入" xfId="1" builtinId="2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首日理想曲线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'⚪关卡设计'!$H$18</c:f>
              <c:strCache>
                <c:ptCount val="1"/>
                <c:pt idx="0">
                  <c:v>兴趣曲线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'⚪关卡设计'!$G$19:$G$26</c:f>
              <c:strCache>
                <c:ptCount val="8"/>
                <c:pt idx="0">
                  <c:v>初始</c:v>
                </c:pt>
                <c:pt idx="1">
                  <c:v>新手引导</c:v>
                </c:pt>
                <c:pt idx="2">
                  <c:v>挑战关卡1</c:v>
                </c:pt>
                <c:pt idx="3">
                  <c:v>挑战关卡2</c:v>
                </c:pt>
                <c:pt idx="4">
                  <c:v>挑战关卡3</c:v>
                </c:pt>
                <c:pt idx="5">
                  <c:v>挑战关卡4</c:v>
                </c:pt>
                <c:pt idx="6">
                  <c:v>无限关卡</c:v>
                </c:pt>
                <c:pt idx="7">
                  <c:v>无限关卡</c:v>
                </c:pt>
              </c:strCache>
            </c:strRef>
          </c:cat>
          <c:val>
            <c:numRef>
              <c:f>'⚪关卡设计'!$H$19:$H$26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F-4D31-A291-CF237AD191C6}"/>
            </c:ext>
          </c:extLst>
        </c:ser>
        <c:ser>
          <c:idx val="1"/>
          <c:order val="1"/>
          <c:tx>
            <c:strRef>
              <c:f>'⚪关卡设计'!$I$18</c:f>
              <c:strCache>
                <c:ptCount val="1"/>
                <c:pt idx="0">
                  <c:v>学习曲线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'⚪关卡设计'!$G$19:$G$26</c:f>
              <c:strCache>
                <c:ptCount val="8"/>
                <c:pt idx="0">
                  <c:v>初始</c:v>
                </c:pt>
                <c:pt idx="1">
                  <c:v>新手引导</c:v>
                </c:pt>
                <c:pt idx="2">
                  <c:v>挑战关卡1</c:v>
                </c:pt>
                <c:pt idx="3">
                  <c:v>挑战关卡2</c:v>
                </c:pt>
                <c:pt idx="4">
                  <c:v>挑战关卡3</c:v>
                </c:pt>
                <c:pt idx="5">
                  <c:v>挑战关卡4</c:v>
                </c:pt>
                <c:pt idx="6">
                  <c:v>无限关卡</c:v>
                </c:pt>
                <c:pt idx="7">
                  <c:v>无限关卡</c:v>
                </c:pt>
              </c:strCache>
            </c:strRef>
          </c:cat>
          <c:val>
            <c:numRef>
              <c:f>'⚪关卡设计'!$I$19:$I$26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F-4D31-A291-CF237AD191C6}"/>
            </c:ext>
          </c:extLst>
        </c:ser>
        <c:ser>
          <c:idx val="2"/>
          <c:order val="2"/>
          <c:tx>
            <c:strRef>
              <c:f>'⚪关卡设计'!$J$18</c:f>
              <c:strCache>
                <c:ptCount val="1"/>
                <c:pt idx="0">
                  <c:v>难度曲线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'⚪关卡设计'!$G$19:$G$26</c:f>
              <c:strCache>
                <c:ptCount val="8"/>
                <c:pt idx="0">
                  <c:v>初始</c:v>
                </c:pt>
                <c:pt idx="1">
                  <c:v>新手引导</c:v>
                </c:pt>
                <c:pt idx="2">
                  <c:v>挑战关卡1</c:v>
                </c:pt>
                <c:pt idx="3">
                  <c:v>挑战关卡2</c:v>
                </c:pt>
                <c:pt idx="4">
                  <c:v>挑战关卡3</c:v>
                </c:pt>
                <c:pt idx="5">
                  <c:v>挑战关卡4</c:v>
                </c:pt>
                <c:pt idx="6">
                  <c:v>无限关卡</c:v>
                </c:pt>
                <c:pt idx="7">
                  <c:v>无限关卡</c:v>
                </c:pt>
              </c:strCache>
            </c:strRef>
          </c:cat>
          <c:val>
            <c:numRef>
              <c:f>'⚪关卡设计'!$J$19:$J$26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F-4D31-A291-CF237AD19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81984"/>
        <c:axId val="70282464"/>
      </c:lineChart>
      <c:catAx>
        <c:axId val="702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82464"/>
        <c:crosses val="autoZero"/>
        <c:auto val="1"/>
        <c:lblAlgn val="ctr"/>
        <c:lblOffset val="100"/>
        <c:noMultiLvlLbl val="0"/>
      </c:catAx>
      <c:valAx>
        <c:axId val="7028246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首日实际曲线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'⚪关卡设计'!$N$18</c:f>
              <c:strCache>
                <c:ptCount val="1"/>
                <c:pt idx="0">
                  <c:v>兴趣曲线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'⚪关卡设计'!$M$19:$M$26</c:f>
              <c:strCache>
                <c:ptCount val="8"/>
                <c:pt idx="0">
                  <c:v>初始</c:v>
                </c:pt>
                <c:pt idx="1">
                  <c:v>新手引导</c:v>
                </c:pt>
                <c:pt idx="2">
                  <c:v>挑战关卡1</c:v>
                </c:pt>
                <c:pt idx="3">
                  <c:v>挑战关卡2</c:v>
                </c:pt>
                <c:pt idx="4">
                  <c:v>挑战关卡3</c:v>
                </c:pt>
                <c:pt idx="5">
                  <c:v>挑战关卡4</c:v>
                </c:pt>
                <c:pt idx="6">
                  <c:v>无限关卡</c:v>
                </c:pt>
                <c:pt idx="7">
                  <c:v>无限关卡</c:v>
                </c:pt>
              </c:strCache>
            </c:strRef>
          </c:cat>
          <c:val>
            <c:numRef>
              <c:f>'⚪关卡设计'!$N$19:$N$26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8-458F-B58B-5A0F3260DD50}"/>
            </c:ext>
          </c:extLst>
        </c:ser>
        <c:ser>
          <c:idx val="1"/>
          <c:order val="1"/>
          <c:tx>
            <c:strRef>
              <c:f>'⚪关卡设计'!$O$18</c:f>
              <c:strCache>
                <c:ptCount val="1"/>
                <c:pt idx="0">
                  <c:v>学习曲线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'⚪关卡设计'!$M$19:$M$26</c:f>
              <c:strCache>
                <c:ptCount val="8"/>
                <c:pt idx="0">
                  <c:v>初始</c:v>
                </c:pt>
                <c:pt idx="1">
                  <c:v>新手引导</c:v>
                </c:pt>
                <c:pt idx="2">
                  <c:v>挑战关卡1</c:v>
                </c:pt>
                <c:pt idx="3">
                  <c:v>挑战关卡2</c:v>
                </c:pt>
                <c:pt idx="4">
                  <c:v>挑战关卡3</c:v>
                </c:pt>
                <c:pt idx="5">
                  <c:v>挑战关卡4</c:v>
                </c:pt>
                <c:pt idx="6">
                  <c:v>无限关卡</c:v>
                </c:pt>
                <c:pt idx="7">
                  <c:v>无限关卡</c:v>
                </c:pt>
              </c:strCache>
            </c:strRef>
          </c:cat>
          <c:val>
            <c:numRef>
              <c:f>'⚪关卡设计'!$O$19:$O$26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8-458F-B58B-5A0F3260DD50}"/>
            </c:ext>
          </c:extLst>
        </c:ser>
        <c:ser>
          <c:idx val="2"/>
          <c:order val="2"/>
          <c:tx>
            <c:strRef>
              <c:f>'⚪关卡设计'!$P$18</c:f>
              <c:strCache>
                <c:ptCount val="1"/>
                <c:pt idx="0">
                  <c:v>难度曲线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'⚪关卡设计'!$M$19:$M$26</c:f>
              <c:strCache>
                <c:ptCount val="8"/>
                <c:pt idx="0">
                  <c:v>初始</c:v>
                </c:pt>
                <c:pt idx="1">
                  <c:v>新手引导</c:v>
                </c:pt>
                <c:pt idx="2">
                  <c:v>挑战关卡1</c:v>
                </c:pt>
                <c:pt idx="3">
                  <c:v>挑战关卡2</c:v>
                </c:pt>
                <c:pt idx="4">
                  <c:v>挑战关卡3</c:v>
                </c:pt>
                <c:pt idx="5">
                  <c:v>挑战关卡4</c:v>
                </c:pt>
                <c:pt idx="6">
                  <c:v>无限关卡</c:v>
                </c:pt>
                <c:pt idx="7">
                  <c:v>无限关卡</c:v>
                </c:pt>
              </c:strCache>
            </c:strRef>
          </c:cat>
          <c:val>
            <c:numRef>
              <c:f>'⚪关卡设计'!$P$19:$P$26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8-458F-B58B-5A0F3260D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608256"/>
        <c:axId val="1201609216"/>
      </c:lineChart>
      <c:catAx>
        <c:axId val="120160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609216"/>
        <c:crosses val="autoZero"/>
        <c:auto val="1"/>
        <c:lblAlgn val="ctr"/>
        <c:lblOffset val="100"/>
        <c:noMultiLvlLbl val="0"/>
      </c:catAx>
      <c:valAx>
        <c:axId val="12016092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6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赛季理想曲线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'⚪关卡设计'!$H$30</c:f>
              <c:strCache>
                <c:ptCount val="1"/>
                <c:pt idx="0">
                  <c:v>兴趣曲线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'⚪关卡设计'!$G$31:$G$38</c:f>
              <c:strCache>
                <c:ptCount val="8"/>
                <c:pt idx="0">
                  <c:v>初始</c:v>
                </c:pt>
                <c:pt idx="1">
                  <c:v>第1天</c:v>
                </c:pt>
                <c:pt idx="2">
                  <c:v>第2天</c:v>
                </c:pt>
                <c:pt idx="3">
                  <c:v>第3天</c:v>
                </c:pt>
                <c:pt idx="4">
                  <c:v>第4天</c:v>
                </c:pt>
                <c:pt idx="5">
                  <c:v>第5天</c:v>
                </c:pt>
                <c:pt idx="6">
                  <c:v>第6天</c:v>
                </c:pt>
                <c:pt idx="7">
                  <c:v>第7天</c:v>
                </c:pt>
              </c:strCache>
            </c:strRef>
          </c:cat>
          <c:val>
            <c:numRef>
              <c:f>'⚪关卡设计'!$H$31:$H$38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C-489C-92C3-6F17AB883B9B}"/>
            </c:ext>
          </c:extLst>
        </c:ser>
        <c:ser>
          <c:idx val="1"/>
          <c:order val="1"/>
          <c:tx>
            <c:strRef>
              <c:f>'⚪关卡设计'!$I$30</c:f>
              <c:strCache>
                <c:ptCount val="1"/>
                <c:pt idx="0">
                  <c:v>学习曲线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'⚪关卡设计'!$G$31:$G$38</c:f>
              <c:strCache>
                <c:ptCount val="8"/>
                <c:pt idx="0">
                  <c:v>初始</c:v>
                </c:pt>
                <c:pt idx="1">
                  <c:v>第1天</c:v>
                </c:pt>
                <c:pt idx="2">
                  <c:v>第2天</c:v>
                </c:pt>
                <c:pt idx="3">
                  <c:v>第3天</c:v>
                </c:pt>
                <c:pt idx="4">
                  <c:v>第4天</c:v>
                </c:pt>
                <c:pt idx="5">
                  <c:v>第5天</c:v>
                </c:pt>
                <c:pt idx="6">
                  <c:v>第6天</c:v>
                </c:pt>
                <c:pt idx="7">
                  <c:v>第7天</c:v>
                </c:pt>
              </c:strCache>
            </c:strRef>
          </c:cat>
          <c:val>
            <c:numRef>
              <c:f>'⚪关卡设计'!$I$31:$I$38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C-489C-92C3-6F17AB883B9B}"/>
            </c:ext>
          </c:extLst>
        </c:ser>
        <c:ser>
          <c:idx val="2"/>
          <c:order val="2"/>
          <c:tx>
            <c:strRef>
              <c:f>'⚪关卡设计'!$J$30</c:f>
              <c:strCache>
                <c:ptCount val="1"/>
                <c:pt idx="0">
                  <c:v>难度曲线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'⚪关卡设计'!$G$31:$G$38</c:f>
              <c:strCache>
                <c:ptCount val="8"/>
                <c:pt idx="0">
                  <c:v>初始</c:v>
                </c:pt>
                <c:pt idx="1">
                  <c:v>第1天</c:v>
                </c:pt>
                <c:pt idx="2">
                  <c:v>第2天</c:v>
                </c:pt>
                <c:pt idx="3">
                  <c:v>第3天</c:v>
                </c:pt>
                <c:pt idx="4">
                  <c:v>第4天</c:v>
                </c:pt>
                <c:pt idx="5">
                  <c:v>第5天</c:v>
                </c:pt>
                <c:pt idx="6">
                  <c:v>第6天</c:v>
                </c:pt>
                <c:pt idx="7">
                  <c:v>第7天</c:v>
                </c:pt>
              </c:strCache>
            </c:strRef>
          </c:cat>
          <c:val>
            <c:numRef>
              <c:f>'⚪关卡设计'!$J$31:$J$38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C-489C-92C3-6F17AB883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80704"/>
        <c:axId val="122084544"/>
      </c:lineChart>
      <c:catAx>
        <c:axId val="12208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84544"/>
        <c:crosses val="autoZero"/>
        <c:auto val="1"/>
        <c:lblAlgn val="ctr"/>
        <c:lblOffset val="100"/>
        <c:noMultiLvlLbl val="0"/>
      </c:catAx>
      <c:valAx>
        <c:axId val="1220845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赛季实际曲线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'⚪关卡设计'!$N$30</c:f>
              <c:strCache>
                <c:ptCount val="1"/>
                <c:pt idx="0">
                  <c:v>兴趣曲线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'⚪关卡设计'!$M$31:$M$38</c:f>
              <c:strCache>
                <c:ptCount val="8"/>
                <c:pt idx="0">
                  <c:v>第1天</c:v>
                </c:pt>
                <c:pt idx="1">
                  <c:v>第2天</c:v>
                </c:pt>
                <c:pt idx="2">
                  <c:v>第3天</c:v>
                </c:pt>
                <c:pt idx="3">
                  <c:v>第4天</c:v>
                </c:pt>
                <c:pt idx="4">
                  <c:v>第5天</c:v>
                </c:pt>
                <c:pt idx="5">
                  <c:v>第6天</c:v>
                </c:pt>
                <c:pt idx="6">
                  <c:v>第7天</c:v>
                </c:pt>
                <c:pt idx="7">
                  <c:v>第13天</c:v>
                </c:pt>
              </c:strCache>
            </c:strRef>
          </c:cat>
          <c:val>
            <c:numRef>
              <c:f>'⚪关卡设计'!$N$31:$N$38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5-432D-8D9A-1D791374E74F}"/>
            </c:ext>
          </c:extLst>
        </c:ser>
        <c:ser>
          <c:idx val="1"/>
          <c:order val="1"/>
          <c:tx>
            <c:strRef>
              <c:f>'⚪关卡设计'!$O$30</c:f>
              <c:strCache>
                <c:ptCount val="1"/>
                <c:pt idx="0">
                  <c:v>学习曲线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'⚪关卡设计'!$M$31:$M$38</c:f>
              <c:strCache>
                <c:ptCount val="8"/>
                <c:pt idx="0">
                  <c:v>第1天</c:v>
                </c:pt>
                <c:pt idx="1">
                  <c:v>第2天</c:v>
                </c:pt>
                <c:pt idx="2">
                  <c:v>第3天</c:v>
                </c:pt>
                <c:pt idx="3">
                  <c:v>第4天</c:v>
                </c:pt>
                <c:pt idx="4">
                  <c:v>第5天</c:v>
                </c:pt>
                <c:pt idx="5">
                  <c:v>第6天</c:v>
                </c:pt>
                <c:pt idx="6">
                  <c:v>第7天</c:v>
                </c:pt>
                <c:pt idx="7">
                  <c:v>第13天</c:v>
                </c:pt>
              </c:strCache>
            </c:strRef>
          </c:cat>
          <c:val>
            <c:numRef>
              <c:f>'⚪关卡设计'!$O$31:$O$38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5-432D-8D9A-1D791374E74F}"/>
            </c:ext>
          </c:extLst>
        </c:ser>
        <c:ser>
          <c:idx val="2"/>
          <c:order val="2"/>
          <c:tx>
            <c:strRef>
              <c:f>'⚪关卡设计'!$P$30</c:f>
              <c:strCache>
                <c:ptCount val="1"/>
                <c:pt idx="0">
                  <c:v>难度曲线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'⚪关卡设计'!$M$31:$M$38</c:f>
              <c:strCache>
                <c:ptCount val="8"/>
                <c:pt idx="0">
                  <c:v>第1天</c:v>
                </c:pt>
                <c:pt idx="1">
                  <c:v>第2天</c:v>
                </c:pt>
                <c:pt idx="2">
                  <c:v>第3天</c:v>
                </c:pt>
                <c:pt idx="3">
                  <c:v>第4天</c:v>
                </c:pt>
                <c:pt idx="4">
                  <c:v>第5天</c:v>
                </c:pt>
                <c:pt idx="5">
                  <c:v>第6天</c:v>
                </c:pt>
                <c:pt idx="6">
                  <c:v>第7天</c:v>
                </c:pt>
                <c:pt idx="7">
                  <c:v>第13天</c:v>
                </c:pt>
              </c:strCache>
            </c:strRef>
          </c:cat>
          <c:val>
            <c:numRef>
              <c:f>'⚪关卡设计'!$P$31:$P$38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5-432D-8D9A-1D791374E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95088"/>
        <c:axId val="122195568"/>
      </c:lineChart>
      <c:catAx>
        <c:axId val="1221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95568"/>
        <c:crosses val="autoZero"/>
        <c:auto val="1"/>
        <c:lblAlgn val="ctr"/>
        <c:lblOffset val="100"/>
        <c:noMultiLvlLbl val="0"/>
      </c:catAx>
      <c:valAx>
        <c:axId val="12219556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666750</xdr:colOff>
      <xdr:row>46</xdr:row>
      <xdr:rowOff>19051</xdr:rowOff>
    </xdr:from>
    <xdr:to>
      <xdr:col>25</xdr:col>
      <xdr:colOff>216843</xdr:colOff>
      <xdr:row>67</xdr:row>
      <xdr:rowOff>85726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1777DAC-4F1E-3A6D-1EE0-35BCE4E34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96950" y="8543926"/>
          <a:ext cx="3664893" cy="3867150"/>
        </a:xfrm>
        <a:prstGeom prst="rect">
          <a:avLst/>
        </a:prstGeom>
      </xdr:spPr>
    </xdr:pic>
    <xdr:clientData/>
  </xdr:twoCellAnchor>
  <xdr:twoCellAnchor editAs="oneCell">
    <xdr:from>
      <xdr:col>13</xdr:col>
      <xdr:colOff>542925</xdr:colOff>
      <xdr:row>46</xdr:row>
      <xdr:rowOff>1</xdr:rowOff>
    </xdr:from>
    <xdr:to>
      <xdr:col>19</xdr:col>
      <xdr:colOff>584347</xdr:colOff>
      <xdr:row>67</xdr:row>
      <xdr:rowOff>47626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FA155A0-FD9D-02E7-F122-ACE687D0E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58325" y="8524876"/>
          <a:ext cx="4156222" cy="38481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361950</xdr:colOff>
      <xdr:row>45</xdr:row>
      <xdr:rowOff>171450</xdr:rowOff>
    </xdr:from>
    <xdr:to>
      <xdr:col>31</xdr:col>
      <xdr:colOff>170729</xdr:colOff>
      <xdr:row>66</xdr:row>
      <xdr:rowOff>158588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9BE616F-B49B-C78D-2DC4-1F3A2BE17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06950" y="8515350"/>
          <a:ext cx="3923579" cy="3787613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45</xdr:row>
      <xdr:rowOff>171450</xdr:rowOff>
    </xdr:from>
    <xdr:to>
      <xdr:col>13</xdr:col>
      <xdr:colOff>540408</xdr:colOff>
      <xdr:row>81</xdr:row>
      <xdr:rowOff>119979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A6B6770-FF92-8486-09A3-9CFCB8E32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76975" y="8515350"/>
          <a:ext cx="3178833" cy="64636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295275</xdr:colOff>
      <xdr:row>200</xdr:row>
      <xdr:rowOff>66675</xdr:rowOff>
    </xdr:from>
    <xdr:to>
      <xdr:col>20</xdr:col>
      <xdr:colOff>428182</xdr:colOff>
      <xdr:row>220</xdr:row>
      <xdr:rowOff>57150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0EF1CF2-D73D-1DDC-5093-3510B6BF0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53700" y="34851975"/>
          <a:ext cx="4533457" cy="3609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182657</xdr:colOff>
      <xdr:row>42</xdr:row>
      <xdr:rowOff>121864</xdr:rowOff>
    </xdr:from>
    <xdr:to>
      <xdr:col>11</xdr:col>
      <xdr:colOff>569820</xdr:colOff>
      <xdr:row>57</xdr:row>
      <xdr:rowOff>148758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546F813-282F-4650-D513-E517CBA3D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117102</xdr:colOff>
      <xdr:row>42</xdr:row>
      <xdr:rowOff>133070</xdr:rowOff>
    </xdr:from>
    <xdr:to>
      <xdr:col>17</xdr:col>
      <xdr:colOff>1257861</xdr:colOff>
      <xdr:row>57</xdr:row>
      <xdr:rowOff>159964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9A684A7-CB34-7184-9C98-ED10DD99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151279</xdr:colOff>
      <xdr:row>59</xdr:row>
      <xdr:rowOff>73959</xdr:rowOff>
    </xdr:from>
    <xdr:to>
      <xdr:col>11</xdr:col>
      <xdr:colOff>621926</xdr:colOff>
      <xdr:row>74</xdr:row>
      <xdr:rowOff>127747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E306D01-AC41-2732-0CA5-B4F26D6E5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117662</xdr:colOff>
      <xdr:row>59</xdr:row>
      <xdr:rowOff>73959</xdr:rowOff>
    </xdr:from>
    <xdr:to>
      <xdr:col>17</xdr:col>
      <xdr:colOff>1271868</xdr:colOff>
      <xdr:row>74</xdr:row>
      <xdr:rowOff>127747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6FC08BA-271B-7BB3-EAC5-F601C7643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#ref=waveRule@TowerDefense_MonsterWaveCallRuleCfgCategory" TargetMode="External"/><Relationship Id="rId1" Type="http://schemas.openxmlformats.org/officeDocument/2006/relationships/hyperlink" Target="mailto:string#ref=waveRule@TowerDefense_MonsterWaveCallRuleCfgCategory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"/>
  <sheetViews>
    <sheetView showGridLines="0" workbookViewId="0">
      <selection activeCell="C87" sqref="C87"/>
    </sheetView>
  </sheetViews>
  <sheetFormatPr defaultColWidth="9" defaultRowHeight="14.25" x14ac:dyDescent="0.2"/>
  <cols>
    <col min="1" max="16384" width="9" style="6"/>
  </cols>
  <sheetData>
    <row r="1" spans="1:6" ht="19.5" x14ac:dyDescent="0.3">
      <c r="A1" s="1" t="s">
        <v>0</v>
      </c>
    </row>
    <row r="2" spans="1:6" x14ac:dyDescent="0.2">
      <c r="A2" s="171" t="s">
        <v>8</v>
      </c>
      <c r="B2" s="12" t="s">
        <v>5</v>
      </c>
      <c r="C2" s="13"/>
      <c r="D2" s="13"/>
      <c r="E2" s="13"/>
      <c r="F2" s="14"/>
    </row>
    <row r="3" spans="1:6" x14ac:dyDescent="0.2">
      <c r="A3" s="172"/>
      <c r="B3" s="12" t="s">
        <v>6</v>
      </c>
      <c r="C3" s="13"/>
      <c r="D3" s="13"/>
      <c r="E3" s="13"/>
      <c r="F3" s="14"/>
    </row>
    <row r="5" spans="1:6" x14ac:dyDescent="0.2">
      <c r="A5" s="171" t="s">
        <v>7</v>
      </c>
      <c r="B5" s="15" t="s">
        <v>2</v>
      </c>
      <c r="C5" s="16"/>
      <c r="D5" s="17"/>
    </row>
    <row r="6" spans="1:6" x14ac:dyDescent="0.2">
      <c r="A6" s="173"/>
      <c r="B6" s="18" t="s">
        <v>3</v>
      </c>
      <c r="C6" s="19"/>
      <c r="D6" s="20"/>
    </row>
    <row r="7" spans="1:6" x14ac:dyDescent="0.2">
      <c r="A7" s="173"/>
      <c r="B7" s="21" t="s">
        <v>19</v>
      </c>
      <c r="C7" s="22"/>
      <c r="D7" s="23"/>
    </row>
    <row r="8" spans="1:6" x14ac:dyDescent="0.2">
      <c r="A8" s="172"/>
      <c r="B8" s="24" t="s">
        <v>4</v>
      </c>
      <c r="C8" s="25"/>
      <c r="D8" s="26"/>
    </row>
    <row r="10" spans="1:6" ht="19.5" x14ac:dyDescent="0.3">
      <c r="A10" s="1" t="s">
        <v>1</v>
      </c>
    </row>
    <row r="11" spans="1:6" x14ac:dyDescent="0.2">
      <c r="A11" s="2" t="s">
        <v>20</v>
      </c>
      <c r="B11" s="2" t="s">
        <v>21</v>
      </c>
      <c r="C11" s="2" t="s">
        <v>22</v>
      </c>
      <c r="D11" s="2" t="s">
        <v>23</v>
      </c>
    </row>
    <row r="12" spans="1:6" x14ac:dyDescent="0.2">
      <c r="A12" s="170" t="s">
        <v>9</v>
      </c>
      <c r="B12" s="167" t="s">
        <v>10</v>
      </c>
      <c r="C12" s="2" t="s">
        <v>25</v>
      </c>
      <c r="D12" s="42" t="s">
        <v>81</v>
      </c>
    </row>
    <row r="13" spans="1:6" x14ac:dyDescent="0.2">
      <c r="A13" s="170"/>
      <c r="B13" s="168"/>
      <c r="C13" s="2" t="s">
        <v>18</v>
      </c>
      <c r="D13" s="42" t="s">
        <v>18</v>
      </c>
    </row>
    <row r="14" spans="1:6" x14ac:dyDescent="0.2">
      <c r="A14" s="170"/>
      <c r="B14" s="168"/>
      <c r="C14" s="167" t="s">
        <v>16</v>
      </c>
      <c r="D14" s="27" t="s">
        <v>17</v>
      </c>
    </row>
    <row r="15" spans="1:6" x14ac:dyDescent="0.2">
      <c r="A15" s="170"/>
      <c r="B15" s="168"/>
      <c r="C15" s="168"/>
      <c r="D15" s="27" t="s">
        <v>12</v>
      </c>
    </row>
    <row r="16" spans="1:6" x14ac:dyDescent="0.2">
      <c r="A16" s="170"/>
      <c r="B16" s="168"/>
      <c r="C16" s="168"/>
      <c r="D16" s="42" t="s">
        <v>13</v>
      </c>
    </row>
    <row r="17" spans="1:20" x14ac:dyDescent="0.2">
      <c r="A17" s="170"/>
      <c r="B17" s="169"/>
      <c r="C17" s="169"/>
      <c r="D17" s="27" t="s">
        <v>14</v>
      </c>
    </row>
    <row r="18" spans="1:20" x14ac:dyDescent="0.2">
      <c r="A18" s="170"/>
      <c r="B18" s="2" t="s">
        <v>11</v>
      </c>
      <c r="C18" s="2"/>
      <c r="D18" s="27" t="s">
        <v>15</v>
      </c>
    </row>
    <row r="19" spans="1:20" x14ac:dyDescent="0.2">
      <c r="A19" s="170"/>
      <c r="B19" s="2" t="s">
        <v>937</v>
      </c>
      <c r="C19" s="2" t="s">
        <v>936</v>
      </c>
      <c r="D19" s="27"/>
    </row>
    <row r="21" spans="1:20" ht="19.5" x14ac:dyDescent="0.3">
      <c r="A21" s="1" t="s">
        <v>1401</v>
      </c>
    </row>
    <row r="22" spans="1:20" x14ac:dyDescent="0.2">
      <c r="A22" s="3" t="s">
        <v>1402</v>
      </c>
    </row>
    <row r="23" spans="1:20" x14ac:dyDescent="0.2">
      <c r="A23" s="6" t="s">
        <v>1403</v>
      </c>
      <c r="B23" s="6" t="s">
        <v>1419</v>
      </c>
      <c r="C23" s="6" t="s">
        <v>1406</v>
      </c>
      <c r="D23" s="6" t="s">
        <v>1439</v>
      </c>
      <c r="K23" s="6" t="s">
        <v>1945</v>
      </c>
    </row>
    <row r="24" spans="1:20" x14ac:dyDescent="0.2">
      <c r="A24" s="6" t="s">
        <v>1407</v>
      </c>
      <c r="B24" s="6" t="s">
        <v>1408</v>
      </c>
      <c r="C24" s="129" t="s">
        <v>1409</v>
      </c>
      <c r="D24" s="129"/>
      <c r="E24" s="129"/>
      <c r="K24" s="6" t="s">
        <v>1946</v>
      </c>
    </row>
    <row r="25" spans="1:20" s="127" customFormat="1" x14ac:dyDescent="0.2">
      <c r="A25" s="114" t="s">
        <v>1410</v>
      </c>
      <c r="B25" s="114" t="s">
        <v>1411</v>
      </c>
      <c r="C25" s="127" t="s">
        <v>1412</v>
      </c>
      <c r="L25" s="127" t="s">
        <v>1947</v>
      </c>
    </row>
    <row r="26" spans="1:20" x14ac:dyDescent="0.2">
      <c r="A26" s="114"/>
      <c r="B26" s="114"/>
      <c r="D26" s="127" t="s">
        <v>1441</v>
      </c>
      <c r="L26" s="6" t="s">
        <v>1948</v>
      </c>
    </row>
    <row r="27" spans="1:20" x14ac:dyDescent="0.2">
      <c r="D27" s="127" t="s">
        <v>1440</v>
      </c>
    </row>
    <row r="28" spans="1:20" x14ac:dyDescent="0.2">
      <c r="D28" s="127" t="s">
        <v>1447</v>
      </c>
    </row>
    <row r="30" spans="1:20" x14ac:dyDescent="0.2">
      <c r="A30" s="114" t="s">
        <v>1404</v>
      </c>
      <c r="B30" s="114" t="s">
        <v>1419</v>
      </c>
      <c r="C30" s="6" t="s">
        <v>1406</v>
      </c>
      <c r="D30" s="114" t="s">
        <v>1439</v>
      </c>
    </row>
    <row r="31" spans="1:20" x14ac:dyDescent="0.2">
      <c r="A31" s="114" t="s">
        <v>1415</v>
      </c>
      <c r="B31" s="114" t="s">
        <v>1413</v>
      </c>
      <c r="C31" s="129" t="s">
        <v>1414</v>
      </c>
      <c r="D31" s="129"/>
    </row>
    <row r="32" spans="1:20" x14ac:dyDescent="0.2">
      <c r="A32" s="114"/>
      <c r="B32" s="114"/>
      <c r="C32" s="127"/>
      <c r="D32" s="6" t="s">
        <v>1442</v>
      </c>
      <c r="T32" s="3" t="s">
        <v>1468</v>
      </c>
    </row>
    <row r="33" spans="1:20" x14ac:dyDescent="0.2">
      <c r="A33" s="114"/>
      <c r="B33" s="114"/>
      <c r="C33" s="127"/>
      <c r="D33" s="6" t="s">
        <v>1443</v>
      </c>
      <c r="K33" s="6" t="s">
        <v>1451</v>
      </c>
      <c r="L33" s="6" t="s">
        <v>1452</v>
      </c>
      <c r="M33" s="6" t="s">
        <v>1453</v>
      </c>
      <c r="O33" s="6" t="s">
        <v>1461</v>
      </c>
      <c r="P33" s="6" t="s">
        <v>1459</v>
      </c>
      <c r="T33" s="6" t="s">
        <v>1496</v>
      </c>
    </row>
    <row r="34" spans="1:20" x14ac:dyDescent="0.2">
      <c r="A34" s="114"/>
      <c r="B34" s="114"/>
      <c r="C34" s="127"/>
      <c r="D34" s="6" t="s">
        <v>1445</v>
      </c>
      <c r="E34" s="6" t="s">
        <v>1444</v>
      </c>
      <c r="K34" s="6" t="s">
        <v>1460</v>
      </c>
      <c r="L34" s="6" t="s">
        <v>1458</v>
      </c>
      <c r="M34" s="6" t="s">
        <v>1280</v>
      </c>
      <c r="O34" s="6" t="s">
        <v>1462</v>
      </c>
      <c r="P34" s="6" t="s">
        <v>1280</v>
      </c>
      <c r="Q34" s="6" t="s">
        <v>1457</v>
      </c>
      <c r="T34" s="6" t="s">
        <v>1493</v>
      </c>
    </row>
    <row r="35" spans="1:20" x14ac:dyDescent="0.2">
      <c r="A35" s="114"/>
      <c r="B35" s="114"/>
      <c r="C35" s="127"/>
      <c r="D35" s="6" t="s">
        <v>1448</v>
      </c>
      <c r="K35" s="6" t="s">
        <v>1454</v>
      </c>
      <c r="L35" s="6" t="s">
        <v>1457</v>
      </c>
      <c r="M35" s="6" t="s">
        <v>1459</v>
      </c>
      <c r="O35" s="6" t="s">
        <v>1463</v>
      </c>
      <c r="P35" s="6" t="s">
        <v>1452</v>
      </c>
      <c r="Q35" s="6" t="s">
        <v>1453</v>
      </c>
      <c r="R35" s="6" t="s">
        <v>1457</v>
      </c>
      <c r="S35" s="6" t="s">
        <v>1459</v>
      </c>
      <c r="T35" s="6" t="s">
        <v>1490</v>
      </c>
    </row>
    <row r="36" spans="1:20" x14ac:dyDescent="0.2">
      <c r="A36" s="114"/>
      <c r="B36" s="114"/>
      <c r="C36" s="127"/>
      <c r="K36" s="6" t="s">
        <v>1455</v>
      </c>
      <c r="L36" s="6" t="s">
        <v>1456</v>
      </c>
      <c r="M36" s="6" t="s">
        <v>948</v>
      </c>
      <c r="O36" s="6" t="s">
        <v>1464</v>
      </c>
      <c r="P36" s="6" t="s">
        <v>1465</v>
      </c>
      <c r="Q36" s="6" t="s">
        <v>1458</v>
      </c>
      <c r="T36" s="3" t="s">
        <v>1491</v>
      </c>
    </row>
    <row r="37" spans="1:20" x14ac:dyDescent="0.2">
      <c r="A37" s="114" t="s">
        <v>1416</v>
      </c>
      <c r="B37" s="114" t="s">
        <v>1417</v>
      </c>
      <c r="C37" s="114" t="s">
        <v>1418</v>
      </c>
      <c r="O37" s="6" t="s">
        <v>1466</v>
      </c>
      <c r="T37" s="6" t="s">
        <v>1492</v>
      </c>
    </row>
    <row r="38" spans="1:20" x14ac:dyDescent="0.2">
      <c r="A38" s="114"/>
      <c r="B38" s="114" t="s">
        <v>1420</v>
      </c>
      <c r="C38" s="127" t="s">
        <v>1421</v>
      </c>
      <c r="O38" s="6" t="s">
        <v>1467</v>
      </c>
      <c r="T38" s="6" t="s">
        <v>1494</v>
      </c>
    </row>
    <row r="39" spans="1:20" x14ac:dyDescent="0.2">
      <c r="A39" s="114"/>
      <c r="B39" s="114"/>
      <c r="C39" s="127"/>
      <c r="T39" s="6" t="s">
        <v>1495</v>
      </c>
    </row>
    <row r="40" spans="1:20" x14ac:dyDescent="0.2">
      <c r="A40" s="114"/>
      <c r="B40" s="114" t="s">
        <v>1422</v>
      </c>
      <c r="C40" s="127" t="s">
        <v>1423</v>
      </c>
      <c r="T40" s="6" t="s">
        <v>1497</v>
      </c>
    </row>
    <row r="41" spans="1:20" x14ac:dyDescent="0.2">
      <c r="A41" s="114"/>
      <c r="B41" s="114"/>
      <c r="C41" s="127" t="s">
        <v>1446</v>
      </c>
      <c r="T41" s="3" t="s">
        <v>1499</v>
      </c>
    </row>
    <row r="42" spans="1:20" x14ac:dyDescent="0.2">
      <c r="A42" s="114"/>
      <c r="B42" s="114"/>
      <c r="C42" s="127"/>
      <c r="T42" s="3" t="s">
        <v>1500</v>
      </c>
    </row>
    <row r="43" spans="1:20" x14ac:dyDescent="0.2">
      <c r="A43" s="114"/>
      <c r="B43" s="114"/>
      <c r="T43" s="6" t="s">
        <v>1498</v>
      </c>
    </row>
    <row r="44" spans="1:20" x14ac:dyDescent="0.2">
      <c r="A44" s="114" t="s">
        <v>1405</v>
      </c>
      <c r="B44" s="114" t="s">
        <v>1419</v>
      </c>
      <c r="C44" s="6" t="s">
        <v>1406</v>
      </c>
    </row>
    <row r="45" spans="1:20" x14ac:dyDescent="0.2">
      <c r="A45" s="114" t="s">
        <v>1424</v>
      </c>
      <c r="B45" s="114" t="s">
        <v>1425</v>
      </c>
      <c r="C45" s="127" t="s">
        <v>1429</v>
      </c>
    </row>
    <row r="46" spans="1:20" x14ac:dyDescent="0.2">
      <c r="A46" s="114" t="s">
        <v>1426</v>
      </c>
      <c r="B46" s="114" t="s">
        <v>1427</v>
      </c>
      <c r="C46" s="127" t="s">
        <v>1428</v>
      </c>
    </row>
    <row r="48" spans="1:20" x14ac:dyDescent="0.2">
      <c r="C48" s="6" t="s">
        <v>9</v>
      </c>
    </row>
    <row r="49" spans="3:9" x14ac:dyDescent="0.2">
      <c r="C49" s="6" t="s">
        <v>1281</v>
      </c>
      <c r="D49" s="6" t="s">
        <v>1471</v>
      </c>
      <c r="I49" s="6" t="s">
        <v>1469</v>
      </c>
    </row>
    <row r="50" spans="3:9" x14ac:dyDescent="0.2">
      <c r="D50" s="6" t="s">
        <v>1472</v>
      </c>
    </row>
    <row r="51" spans="3:9" x14ac:dyDescent="0.2">
      <c r="D51" s="6" t="s">
        <v>1473</v>
      </c>
    </row>
    <row r="53" spans="3:9" x14ac:dyDescent="0.2">
      <c r="C53" s="6" t="s">
        <v>1470</v>
      </c>
      <c r="D53" s="6" t="s">
        <v>1474</v>
      </c>
    </row>
    <row r="54" spans="3:9" x14ac:dyDescent="0.2">
      <c r="D54" s="6" t="s">
        <v>1475</v>
      </c>
    </row>
    <row r="55" spans="3:9" x14ac:dyDescent="0.2">
      <c r="D55" s="6" t="s">
        <v>1478</v>
      </c>
    </row>
    <row r="56" spans="3:9" x14ac:dyDescent="0.2">
      <c r="D56" s="6" t="s">
        <v>1477</v>
      </c>
    </row>
    <row r="59" spans="3:9" x14ac:dyDescent="0.2">
      <c r="C59" s="6" t="s">
        <v>1481</v>
      </c>
      <c r="D59" s="6" t="s">
        <v>1484</v>
      </c>
    </row>
    <row r="60" spans="3:9" x14ac:dyDescent="0.2">
      <c r="D60" s="6" t="s">
        <v>1479</v>
      </c>
    </row>
    <row r="61" spans="3:9" x14ac:dyDescent="0.2">
      <c r="D61" s="6" t="s">
        <v>1485</v>
      </c>
    </row>
    <row r="62" spans="3:9" x14ac:dyDescent="0.2">
      <c r="C62" s="6" t="s">
        <v>1482</v>
      </c>
      <c r="D62" s="6" t="s">
        <v>1476</v>
      </c>
    </row>
    <row r="63" spans="3:9" x14ac:dyDescent="0.2">
      <c r="D63" s="6" t="s">
        <v>1480</v>
      </c>
    </row>
    <row r="64" spans="3:9" x14ac:dyDescent="0.2">
      <c r="D64" s="6" t="s">
        <v>1486</v>
      </c>
    </row>
    <row r="65" spans="3:4" x14ac:dyDescent="0.2">
      <c r="C65" s="6" t="s">
        <v>1483</v>
      </c>
      <c r="D65" s="6" t="s">
        <v>1487</v>
      </c>
    </row>
    <row r="66" spans="3:4" x14ac:dyDescent="0.2">
      <c r="D66" s="6" t="s">
        <v>1488</v>
      </c>
    </row>
    <row r="67" spans="3:4" x14ac:dyDescent="0.2">
      <c r="D67" s="6" t="s">
        <v>1489</v>
      </c>
    </row>
    <row r="81" spans="1:3" x14ac:dyDescent="0.2">
      <c r="A81" s="128" t="s">
        <v>1430</v>
      </c>
    </row>
    <row r="82" spans="1:3" x14ac:dyDescent="0.2">
      <c r="A82" s="114" t="s">
        <v>1431</v>
      </c>
      <c r="B82" s="114" t="s">
        <v>1432</v>
      </c>
      <c r="C82" s="6" t="s">
        <v>1433</v>
      </c>
    </row>
    <row r="83" spans="1:3" x14ac:dyDescent="0.2">
      <c r="A83" s="114" t="s">
        <v>1434</v>
      </c>
      <c r="B83" s="114" t="s">
        <v>1435</v>
      </c>
      <c r="C83" s="127" t="s">
        <v>1436</v>
      </c>
    </row>
    <row r="84" spans="1:3" x14ac:dyDescent="0.2">
      <c r="A84" s="114" t="s">
        <v>1437</v>
      </c>
      <c r="B84" s="114" t="s">
        <v>936</v>
      </c>
      <c r="C84" s="127" t="s">
        <v>1438</v>
      </c>
    </row>
    <row r="85" spans="1:3" x14ac:dyDescent="0.2">
      <c r="A85" s="114" t="s">
        <v>1449</v>
      </c>
      <c r="B85" s="114" t="s">
        <v>1450</v>
      </c>
    </row>
  </sheetData>
  <mergeCells count="5">
    <mergeCell ref="C14:C17"/>
    <mergeCell ref="A12:A19"/>
    <mergeCell ref="A2:A3"/>
    <mergeCell ref="A5:A8"/>
    <mergeCell ref="B12:B17"/>
  </mergeCells>
  <phoneticPr fontId="4" type="noConversion"/>
  <hyperlinks>
    <hyperlink ref="A12:A19" location="设计!A1" display="设计" xr:uid="{9065A2BB-1888-44EA-99DB-471ED5F70E19}"/>
    <hyperlink ref="B7" location="概述!A1" display="此为链接" xr:uid="{AE3C07BB-78D3-422E-81B2-2EC613EA13A2}"/>
    <hyperlink ref="A13" location="设计!A1" display="设计" xr:uid="{9551BCA8-2975-43F1-8C4E-C58E710BFEF7}"/>
    <hyperlink ref="D12" location="战斗节奏!A1" display="战斗节奏" xr:uid="{4A920A39-9F2B-42B0-99EE-C82644AAE68A}"/>
    <hyperlink ref="D13" location="防御塔!A1" display="防御塔" xr:uid="{C0287701-1C83-4392-9EA9-D8783FC798A4}"/>
    <hyperlink ref="D16" location="无限模式!A1" display="无限模式" xr:uid="{9589CF3D-FADF-4BF7-A82A-0BF21CE6771E}"/>
    <hyperlink ref="A18" location="设计!A1" display="设计" xr:uid="{21248C4B-18BA-4499-8A28-9AE59511C028}"/>
  </hyperlink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32A0-D707-4FA2-9EF7-6D9F93A96B32}">
  <dimension ref="A1:X22"/>
  <sheetViews>
    <sheetView zoomScale="85" zoomScaleNormal="85" workbookViewId="0">
      <selection activeCell="B3" sqref="B3"/>
    </sheetView>
  </sheetViews>
  <sheetFormatPr defaultColWidth="9" defaultRowHeight="14.25" x14ac:dyDescent="0.2"/>
  <cols>
    <col min="1" max="4" width="9" style="66"/>
    <col min="5" max="5" width="17.75" style="94" bestFit="1" customWidth="1"/>
    <col min="6" max="9" width="9" style="66"/>
    <col min="10" max="10" width="17.75" style="66" bestFit="1" customWidth="1"/>
    <col min="11" max="14" width="9" style="66"/>
    <col min="15" max="15" width="17.75" style="94" bestFit="1" customWidth="1"/>
    <col min="16" max="16384" width="9" style="66"/>
  </cols>
  <sheetData>
    <row r="1" spans="1:24" x14ac:dyDescent="0.2">
      <c r="A1" s="182" t="s">
        <v>380</v>
      </c>
      <c r="B1" s="182" t="s">
        <v>428</v>
      </c>
      <c r="C1" s="184" t="s">
        <v>430</v>
      </c>
      <c r="D1" s="184" t="s">
        <v>396</v>
      </c>
      <c r="E1" s="182" t="s">
        <v>400</v>
      </c>
      <c r="F1" s="183"/>
      <c r="G1" s="183"/>
      <c r="H1" s="183"/>
      <c r="I1" s="183"/>
      <c r="J1" s="182" t="s">
        <v>401</v>
      </c>
      <c r="K1" s="183"/>
      <c r="L1" s="183"/>
      <c r="M1" s="183"/>
      <c r="N1" s="183"/>
      <c r="O1" s="182" t="s">
        <v>402</v>
      </c>
      <c r="P1" s="183"/>
      <c r="Q1" s="183"/>
      <c r="R1" s="183"/>
      <c r="S1" s="183"/>
      <c r="T1" s="182" t="s">
        <v>403</v>
      </c>
      <c r="U1" s="183"/>
      <c r="V1" s="183"/>
      <c r="W1" s="183"/>
      <c r="X1" s="184"/>
    </row>
    <row r="2" spans="1:24" x14ac:dyDescent="0.2">
      <c r="A2" s="185"/>
      <c r="B2" s="185"/>
      <c r="C2" s="186"/>
      <c r="D2" s="186"/>
      <c r="E2" s="93" t="s">
        <v>397</v>
      </c>
      <c r="F2" s="87" t="s">
        <v>283</v>
      </c>
      <c r="G2" s="87" t="s">
        <v>404</v>
      </c>
      <c r="H2" s="87" t="s">
        <v>398</v>
      </c>
      <c r="I2" s="87" t="s">
        <v>399</v>
      </c>
      <c r="J2" s="85" t="s">
        <v>397</v>
      </c>
      <c r="K2" s="87" t="s">
        <v>283</v>
      </c>
      <c r="L2" s="87" t="s">
        <v>404</v>
      </c>
      <c r="M2" s="87" t="s">
        <v>398</v>
      </c>
      <c r="N2" s="87" t="s">
        <v>399</v>
      </c>
      <c r="O2" s="93" t="s">
        <v>397</v>
      </c>
      <c r="P2" s="87" t="s">
        <v>283</v>
      </c>
      <c r="Q2" s="87" t="s">
        <v>404</v>
      </c>
      <c r="R2" s="87" t="s">
        <v>398</v>
      </c>
      <c r="S2" s="87" t="s">
        <v>399</v>
      </c>
      <c r="T2" s="85" t="s">
        <v>397</v>
      </c>
      <c r="U2" s="87" t="s">
        <v>283</v>
      </c>
      <c r="V2" s="87" t="s">
        <v>404</v>
      </c>
      <c r="W2" s="87" t="s">
        <v>398</v>
      </c>
      <c r="X2" s="86" t="s">
        <v>399</v>
      </c>
    </row>
    <row r="3" spans="1:24" x14ac:dyDescent="0.2">
      <c r="A3" s="84">
        <v>1</v>
      </c>
      <c r="B3" s="88">
        <f>MAX(MIN(战斗节奏!$C$3-INT(A3/'⚪设计'!$C$55),MOD(A3,'⚪设计'!$C$55)),0)*'⚪设计'!$C$79*防御塔!$C$2+MIN(INT(A3/'⚪设计'!$C$55),战斗节奏!$C$3)*'⚪设计'!$C$80*防御塔!$C$2</f>
        <v>900</v>
      </c>
      <c r="C3" s="7">
        <v>1</v>
      </c>
      <c r="D3" s="7">
        <v>10</v>
      </c>
      <c r="E3" s="71" t="str">
        <f>IF(VLOOKUP(A3,'⚪设计'!$A$228:$G$247,4,FALSE)="","",VLOOKUP(VLOOKUP(A3,'⚪设计'!$A$228:$G$247,4,FALSE),'⚪设计'!$B$85:$D$101,2,FALSE))</f>
        <v>ResUnit_MiFeng1</v>
      </c>
      <c r="F3" s="88">
        <f>IF(E3="",0,IF(G3=0,1,ROUND($D3/G3,0)))</f>
        <v>13</v>
      </c>
      <c r="G3" s="7">
        <f>'⚪设计'!H228</f>
        <v>0.75</v>
      </c>
      <c r="H3" s="88">
        <f>IF(E3="",0,ROUND(VLOOKUP($A3,'⚪设计'!$A$228:$B$247,2,FALSE)*$B3/SUM(IF($E3="",0,VLOOKUP($E3,'⚪设计'!$C$85:$E$101,3,FALSE))*$F3,IF($J3="",0,VLOOKUP($J3,'⚪设计'!$C$85:$E$101,3,FALSE))*$K3,IF($O3="",0,VLOOKUP($O3,'⚪设计'!$C$85:$E$101,3,FALSE))*$P3,IF($T3="",0,VLOOKUP($T3,'⚪设计'!$C$85:$E$101,3,FALSE))*$U3)*VLOOKUP(E3,'⚪设计'!$C$85:$E$101,3,FALSE),0))</f>
        <v>346</v>
      </c>
      <c r="I3" s="88">
        <f>ROUND(战斗节奏!$B$3/SUM(IF(线下模式!$E3="",0,VLOOKUP(线下模式!$E3,'⚪设计'!$C$85:$G$101,4,FALSE)*线下模式!$F3),IF(线下模式!$J3="",0,VLOOKUP(线下模式!$J3,'⚪设计'!$C$85:$G$101,4,FALSE)*线下模式!$K3),IF(线下模式!$O3="",0,VLOOKUP(线下模式!$O3,'⚪设计'!$C$85:$G$101,4,FALSE)*线下模式!$P3),IF(线下模式!$T3="",0,VLOOKUP(线下模式!$T3,'⚪设计'!$C$85:$G$101,4,FALSE)*线下模式!$U3))*IF(E3="",0,VLOOKUP(E3,'⚪设计'!$C$85:$G$101,4,FALSE)),0)</f>
        <v>46</v>
      </c>
      <c r="J3" s="88" t="str">
        <f>IF(VLOOKUP(A3,'⚪设计'!$A$228:$G$247,5,FALSE)="","",VLOOKUP(VLOOKUP(A3,'⚪设计'!$A$228:$G$247,5,FALSE),'⚪设计'!$B$85:$D$101,2,FALSE))</f>
        <v/>
      </c>
      <c r="K3" s="88">
        <f>IF(J3="",0,IF(L3=0,1,ROUND($D3/L3,0)))</f>
        <v>0</v>
      </c>
      <c r="L3" s="7">
        <f>'⚪设计'!I228</f>
        <v>0</v>
      </c>
      <c r="M3" s="88">
        <f>IF(J3="",0,ROUND(VLOOKUP($A3,'⚪设计'!$A$228:$B$247,2,FALSE)*$B3/SUM(IF($E3="",0,VLOOKUP($E3,'⚪设计'!$C$85:$E$101,3,FALSE))*$F3,IF($J3="",0,VLOOKUP($J3,'⚪设计'!$C$85:$E$101,3,FALSE))*$K3,IF($O3="",0,VLOOKUP($O3,'⚪设计'!$C$85:$E$101,3,FALSE))*$P3,IF($T3="",0,VLOOKUP($T3,'⚪设计'!$C$85:$E$101,3,FALSE))*$U3)*VLOOKUP(J3,'⚪设计'!$C$85:$E$101,3,FALSE),0))</f>
        <v>0</v>
      </c>
      <c r="N3" s="88">
        <f>ROUND(战斗节奏!$B$3/SUM(IF(线下模式!$E3="",0,VLOOKUP(线下模式!$E3,'⚪设计'!$C$85:$G$101,4,FALSE)*线下模式!$F3),IF(线下模式!$J3="",0,VLOOKUP(线下模式!$J3,'⚪设计'!$C$85:$G$101,4,FALSE)*线下模式!$K3),IF(线下模式!$O3="",0,VLOOKUP(线下模式!$O3,'⚪设计'!$C$85:$G$101,4,FALSE)*线下模式!$P3),IF(线下模式!$T3="",0,VLOOKUP(线下模式!$T3,'⚪设计'!$C$85:$G$101,4,FALSE)*线下模式!$U3))*IF(J3="",0,VLOOKUP(J3,'⚪设计'!$C$85:$G$101,4,FALSE)),0)</f>
        <v>0</v>
      </c>
      <c r="O3" s="71" t="str">
        <f>IF(VLOOKUP(A3,'⚪设计'!$A$228:$G$247,6,FALSE)="","",VLOOKUP(VLOOKUP(A3,'⚪设计'!$A$228:$G$247,6,FALSE),'⚪设计'!$B$85:$D$101,2,FALSE))</f>
        <v/>
      </c>
      <c r="P3" s="88">
        <f>IF(O3="",0,IF(Q3=0,1,ROUND($D3/Q3,0)))</f>
        <v>0</v>
      </c>
      <c r="Q3" s="7">
        <f>'⚪设计'!J228</f>
        <v>0</v>
      </c>
      <c r="R3" s="88">
        <f>IF(O3="",0,ROUND(VLOOKUP($A3,'⚪设计'!$A$228:$B$247,2,FALSE)*$B3/SUM(IF($E3="",0,VLOOKUP($E3,'⚪设计'!$C$85:$E$101,3,FALSE))*$F3,IF($J3="",0,VLOOKUP($J3,'⚪设计'!$C$85:$E$101,3,FALSE))*$K3,IF($O3="",0,VLOOKUP($O3,'⚪设计'!$C$85:$E$101,3,FALSE))*$P3,IF($T3="",0,VLOOKUP($T3,'⚪设计'!$C$85:$E$101,3,FALSE))*$U3)*VLOOKUP(O3,'⚪设计'!$C$85:$E$101,3,FALSE),0))</f>
        <v>0</v>
      </c>
      <c r="S3" s="88">
        <f>ROUND(战斗节奏!$B$3/SUM(IF(线下模式!$E3="",0,VLOOKUP(线下模式!$E3,'⚪设计'!$C$85:$G$101,4,FALSE)*线下模式!$F3),IF(线下模式!$J3="",0,VLOOKUP(线下模式!$J3,'⚪设计'!$C$85:$G$101,4,FALSE)*线下模式!$K3),IF(线下模式!$O3="",0,VLOOKUP(线下模式!$O3,'⚪设计'!$C$85:$G$101,4,FALSE)*线下模式!$P3),IF(线下模式!$T3="",0,VLOOKUP(线下模式!$T3,'⚪设计'!$C$85:$G$101,4,FALSE)*线下模式!$U3))*IF(O3="",0,VLOOKUP(O3,'⚪设计'!$C$85:$G$101,4,FALSE)),0)</f>
        <v>0</v>
      </c>
      <c r="T3" s="88" t="str">
        <f>IF(VLOOKUP(A3,'⚪设计'!$A$228:$G$247,7,FALSE)="","",VLOOKUP(VLOOKUP(A3,'⚪设计'!$A$228:$G$247,7,FALSE),'⚪设计'!$B$85:$D$101,2,FALSE))</f>
        <v/>
      </c>
      <c r="U3" s="88">
        <f>IF(T3="",0,IF(V3=0,1,ROUND($D3/V3,0)))</f>
        <v>0</v>
      </c>
      <c r="V3" s="7">
        <f>'⚪设计'!K228</f>
        <v>0</v>
      </c>
      <c r="W3" s="88">
        <f>IF(T3="",0,ROUND(VLOOKUP($A3,'⚪设计'!$A$228:$B$247,2,FALSE)*$B3/SUM(IF($E3="",0,VLOOKUP($E3,'⚪设计'!$C$85:$E$101,3,FALSE))*$F3,IF($J3="",0,VLOOKUP($J3,'⚪设计'!$C$85:$E$101,3,FALSE))*$K3,IF($O3="",0,VLOOKUP($O3,'⚪设计'!$C$85:$E$101,3,FALSE))*$P3,IF($T3="",0,VLOOKUP($T3,'⚪设计'!$C$85:$E$101,3,FALSE))*$U3)*VLOOKUP(T3,'⚪设计'!$C$85:$E$101,3,FALSE),0))</f>
        <v>0</v>
      </c>
      <c r="X3" s="88">
        <f>ROUND(战斗节奏!$B$3/SUM(IF(线下模式!$E3="",0,VLOOKUP(线下模式!$E3,'⚪设计'!$C$85:$G$101,4,FALSE)*线下模式!$F3),IF(线下模式!$J3="",0,VLOOKUP(线下模式!$J3,'⚪设计'!$C$85:$G$101,4,FALSE)*线下模式!$K3),IF(线下模式!$O3="",0,VLOOKUP(线下模式!$O3,'⚪设计'!$C$85:$G$101,4,FALSE)*线下模式!$P3),IF(线下模式!$T3="",0,VLOOKUP(线下模式!$T3,'⚪设计'!$C$85:$G$101,4,FALSE)*线下模式!$U3))*IF(T3="",0,VLOOKUP(T3,'⚪设计'!$C$85:$G$101,4,FALSE)),0)</f>
        <v>0</v>
      </c>
    </row>
    <row r="4" spans="1:24" x14ac:dyDescent="0.2">
      <c r="A4" s="84">
        <v>2</v>
      </c>
      <c r="B4" s="88">
        <f>MAX(MIN(战斗节奏!$C$3-INT(A4/'⚪设计'!$C$55),MOD(A4,'⚪设计'!$C$55)),0)*'⚪设计'!$C$79*防御塔!$C$2+MIN(INT(A4/'⚪设计'!$C$55),战斗节奏!$C$3)*'⚪设计'!$C$80*防御塔!$C$2</f>
        <v>1800</v>
      </c>
      <c r="C4" s="7">
        <v>1.05</v>
      </c>
      <c r="D4" s="7">
        <v>11</v>
      </c>
      <c r="E4" s="71" t="str">
        <f>IF(VLOOKUP(A4,'⚪设计'!$A$228:$G$247,4,FALSE)="","",VLOOKUP(VLOOKUP(A4,'⚪设计'!$A$228:$G$247,4,FALSE),'⚪设计'!$B$85:$D$101,2,FALSE))</f>
        <v>ResUnit_MiFeng1</v>
      </c>
      <c r="F4" s="88">
        <f t="shared" ref="F4:F22" si="0">IF(E4="",0,IF(G4=0,1,ROUND($D4/G4,0)))</f>
        <v>15</v>
      </c>
      <c r="G4" s="7">
        <f>'⚪设计'!H229</f>
        <v>0.75</v>
      </c>
      <c r="H4" s="88">
        <f>IF(E4="",0,ROUND(VLOOKUP($A4,'⚪设计'!$A$228:$B$247,2,FALSE)*$B4/SUM(IF($E4="",0,VLOOKUP($E4,'⚪设计'!$C$85:$E$101,3,FALSE))*$F4,IF($J4="",0,VLOOKUP($J4,'⚪设计'!$C$85:$E$101,3,FALSE))*$K4,IF($O4="",0,VLOOKUP($O4,'⚪设计'!$C$85:$E$101,3,FALSE))*$P4,IF($T4="",0,VLOOKUP($T4,'⚪设计'!$C$85:$E$101,3,FALSE))*$U4)*VLOOKUP(E4,'⚪设计'!$C$85:$E$101,3,FALSE),0))</f>
        <v>322</v>
      </c>
      <c r="I4" s="88">
        <f>ROUND(战斗节奏!$B$3/SUM(IF(线下模式!$E4="",0,VLOOKUP(线下模式!$E4,'⚪设计'!$C$85:$G$101,4,FALSE)*线下模式!$F4),IF(线下模式!$J4="",0,VLOOKUP(线下模式!$J4,'⚪设计'!$C$85:$G$101,4,FALSE)*线下模式!$K4),IF(线下模式!$O4="",0,VLOOKUP(线下模式!$O4,'⚪设计'!$C$85:$G$101,4,FALSE)*线下模式!$P4),IF(线下模式!$T4="",0,VLOOKUP(线下模式!$T4,'⚪设计'!$C$85:$G$101,4,FALSE)*线下模式!$U4))*IF(E4="",0,VLOOKUP(E4,'⚪设计'!$C$85:$G$101,4,FALSE)),0)</f>
        <v>14</v>
      </c>
      <c r="J4" s="88" t="str">
        <f>IF(VLOOKUP(A4,'⚪设计'!$A$228:$G$247,5,FALSE)="","",VLOOKUP(VLOOKUP(A4,'⚪设计'!$A$228:$G$247,5,FALSE),'⚪设计'!$B$85:$D$101,2,FALSE))</f>
        <v>ResUnit_MiFeng2</v>
      </c>
      <c r="K4" s="88">
        <f t="shared" ref="K4:K22" si="1">IF(J4="",0,IF(L4=0,1,ROUND($D4/L4,0)))</f>
        <v>7</v>
      </c>
      <c r="L4" s="7">
        <f>'⚪设计'!I229</f>
        <v>1.5</v>
      </c>
      <c r="M4" s="88">
        <f>IF(J4="",0,ROUND(VLOOKUP($A4,'⚪设计'!$A$228:$B$247,2,FALSE)*$B4/SUM(IF($E4="",0,VLOOKUP($E4,'⚪设计'!$C$85:$E$101,3,FALSE))*$F4,IF($J4="",0,VLOOKUP($J4,'⚪设计'!$C$85:$E$101,3,FALSE))*$K4,IF($O4="",0,VLOOKUP($O4,'⚪设计'!$C$85:$E$101,3,FALSE))*$P4,IF($T4="",0,VLOOKUP($T4,'⚪设计'!$C$85:$E$101,3,FALSE))*$U4)*VLOOKUP(J4,'⚪设计'!$C$85:$E$101,3,FALSE),0))</f>
        <v>1289</v>
      </c>
      <c r="N4" s="88">
        <f>ROUND(战斗节奏!$B$3/SUM(IF(线下模式!$E4="",0,VLOOKUP(线下模式!$E4,'⚪设计'!$C$85:$G$101,4,FALSE)*线下模式!$F4),IF(线下模式!$J4="",0,VLOOKUP(线下模式!$J4,'⚪设计'!$C$85:$G$101,4,FALSE)*线下模式!$K4),IF(线下模式!$O4="",0,VLOOKUP(线下模式!$O4,'⚪设计'!$C$85:$G$101,4,FALSE)*线下模式!$P4),IF(线下模式!$T4="",0,VLOOKUP(线下模式!$T4,'⚪设计'!$C$85:$G$101,4,FALSE)*线下模式!$U4))*IF(J4="",0,VLOOKUP(J4,'⚪设计'!$C$85:$G$101,4,FALSE)),0)</f>
        <v>56</v>
      </c>
      <c r="O4" s="71" t="str">
        <f>IF(VLOOKUP(A4,'⚪设计'!$A$228:$G$247,6,FALSE)="","",VLOOKUP(VLOOKUP(A4,'⚪设计'!$A$228:$G$247,6,FALSE),'⚪设计'!$B$85:$D$101,2,FALSE))</f>
        <v/>
      </c>
      <c r="P4" s="88">
        <f t="shared" ref="P4:P22" si="2">IF(O4="",0,IF(Q4=0,1,ROUND($D4/Q4,0)))</f>
        <v>0</v>
      </c>
      <c r="Q4" s="7">
        <f>'⚪设计'!J229</f>
        <v>0</v>
      </c>
      <c r="R4" s="88">
        <f>IF(O4="",0,ROUND(VLOOKUP($A4,'⚪设计'!$A$228:$B$247,2,FALSE)*$B4/SUM(IF($E4="",0,VLOOKUP($E4,'⚪设计'!$C$85:$E$101,3,FALSE))*$F4,IF($J4="",0,VLOOKUP($J4,'⚪设计'!$C$85:$E$101,3,FALSE))*$K4,IF($O4="",0,VLOOKUP($O4,'⚪设计'!$C$85:$E$101,3,FALSE))*$P4,IF($T4="",0,VLOOKUP($T4,'⚪设计'!$C$85:$E$101,3,FALSE))*$U4)*VLOOKUP(O4,'⚪设计'!$C$85:$E$101,3,FALSE),0))</f>
        <v>0</v>
      </c>
      <c r="S4" s="88">
        <f>ROUND(战斗节奏!$B$3/SUM(IF(线下模式!$E4="",0,VLOOKUP(线下模式!$E4,'⚪设计'!$C$85:$G$101,4,FALSE)*线下模式!$F4),IF(线下模式!$J4="",0,VLOOKUP(线下模式!$J4,'⚪设计'!$C$85:$G$101,4,FALSE)*线下模式!$K4),IF(线下模式!$O4="",0,VLOOKUP(线下模式!$O4,'⚪设计'!$C$85:$G$101,4,FALSE)*线下模式!$P4),IF(线下模式!$T4="",0,VLOOKUP(线下模式!$T4,'⚪设计'!$C$85:$G$101,4,FALSE)*线下模式!$U4))*IF(O4="",0,VLOOKUP(O4,'⚪设计'!$C$85:$G$101,4,FALSE)),0)</f>
        <v>0</v>
      </c>
      <c r="T4" s="88" t="str">
        <f>IF(VLOOKUP(A4,'⚪设计'!$A$228:$G$247,7,FALSE)="","",VLOOKUP(VLOOKUP(A4,'⚪设计'!$A$228:$G$247,7,FALSE),'⚪设计'!$B$85:$D$101,2,FALSE))</f>
        <v/>
      </c>
      <c r="U4" s="88">
        <f t="shared" ref="U4:U22" si="3">IF(T4="",0,IF(V4=0,1,ROUND($D4/V4,0)))</f>
        <v>0</v>
      </c>
      <c r="V4" s="7">
        <f>'⚪设计'!K229</f>
        <v>0</v>
      </c>
      <c r="W4" s="88">
        <f>IF(T4="",0,ROUND(VLOOKUP($A4,'⚪设计'!$A$228:$B$247,2,FALSE)*$B4/SUM(IF($E4="",0,VLOOKUP($E4,'⚪设计'!$C$85:$E$101,3,FALSE))*$F4,IF($J4="",0,VLOOKUP($J4,'⚪设计'!$C$85:$E$101,3,FALSE))*$K4,IF($O4="",0,VLOOKUP($O4,'⚪设计'!$C$85:$E$101,3,FALSE))*$P4,IF($T4="",0,VLOOKUP($T4,'⚪设计'!$C$85:$E$101,3,FALSE))*$U4)*VLOOKUP(T4,'⚪设计'!$C$85:$E$101,3,FALSE),0))</f>
        <v>0</v>
      </c>
      <c r="X4" s="88">
        <f>ROUND(战斗节奏!$B$3/SUM(IF(线下模式!$E4="",0,VLOOKUP(线下模式!$E4,'⚪设计'!$C$85:$G$101,4,FALSE)*线下模式!$F4),IF(线下模式!$J4="",0,VLOOKUP(线下模式!$J4,'⚪设计'!$C$85:$G$101,4,FALSE)*线下模式!$K4),IF(线下模式!$O4="",0,VLOOKUP(线下模式!$O4,'⚪设计'!$C$85:$G$101,4,FALSE)*线下模式!$P4),IF(线下模式!$T4="",0,VLOOKUP(线下模式!$T4,'⚪设计'!$C$85:$G$101,4,FALSE)*线下模式!$U4))*IF(T4="",0,VLOOKUP(T4,'⚪设计'!$C$85:$G$101,4,FALSE)),0)</f>
        <v>0</v>
      </c>
    </row>
    <row r="5" spans="1:24" x14ac:dyDescent="0.2">
      <c r="A5" s="84">
        <v>3</v>
      </c>
      <c r="B5" s="88">
        <f>MAX(MIN(战斗节奏!$C$3-INT(A5/'⚪设计'!$C$55),MOD(A5,'⚪设计'!$C$55)),0)*'⚪设计'!$C$79*防御塔!$C$2+MIN(INT(A5/'⚪设计'!$C$55),战斗节奏!$C$3)*'⚪设计'!$C$80*防御塔!$C$2</f>
        <v>3600</v>
      </c>
      <c r="C5" s="7">
        <v>1.1000000000000001</v>
      </c>
      <c r="D5" s="7">
        <v>12</v>
      </c>
      <c r="E5" s="71" t="str">
        <f>IF(VLOOKUP(A5,'⚪设计'!$A$228:$G$247,4,FALSE)="","",VLOOKUP(VLOOKUP(A5,'⚪设计'!$A$228:$G$247,4,FALSE),'⚪设计'!$B$85:$D$101,2,FALSE))</f>
        <v>ResUnit_MiFeng2</v>
      </c>
      <c r="F5" s="88">
        <f t="shared" si="0"/>
        <v>8</v>
      </c>
      <c r="G5" s="7">
        <f>'⚪设计'!H230</f>
        <v>1.5</v>
      </c>
      <c r="H5" s="88">
        <f>IF(E5="",0,ROUND(VLOOKUP($A5,'⚪设计'!$A$228:$B$247,2,FALSE)*$B5/SUM(IF($E5="",0,VLOOKUP($E5,'⚪设计'!$C$85:$E$101,3,FALSE))*$F5,IF($J5="",0,VLOOKUP($J5,'⚪设计'!$C$85:$E$101,3,FALSE))*$K5,IF($O5="",0,VLOOKUP($O5,'⚪设计'!$C$85:$E$101,3,FALSE))*$P5,IF($T5="",0,VLOOKUP($T5,'⚪设计'!$C$85:$E$101,3,FALSE))*$U5)*VLOOKUP(E5,'⚪设计'!$C$85:$E$101,3,FALSE),0))</f>
        <v>1628</v>
      </c>
      <c r="I5" s="88">
        <f>ROUND(战斗节奏!$B$3/SUM(IF(线下模式!$E5="",0,VLOOKUP(线下模式!$E5,'⚪设计'!$C$85:$G$101,4,FALSE)*线下模式!$F5),IF(线下模式!$J5="",0,VLOOKUP(线下模式!$J5,'⚪设计'!$C$85:$G$101,4,FALSE)*线下模式!$K5),IF(线下模式!$O5="",0,VLOOKUP(线下模式!$O5,'⚪设计'!$C$85:$G$101,4,FALSE)*线下模式!$P5),IF(线下模式!$T5="",0,VLOOKUP(线下模式!$T5,'⚪设计'!$C$85:$G$101,4,FALSE)*线下模式!$U5))*IF(E5="",0,VLOOKUP(E5,'⚪设计'!$C$85:$G$101,4,FALSE)),0)</f>
        <v>26</v>
      </c>
      <c r="J5" s="88" t="str">
        <f>IF(VLOOKUP(A5,'⚪设计'!$A$228:$G$247,5,FALSE)="","",VLOOKUP(VLOOKUP(A5,'⚪设计'!$A$228:$G$247,5,FALSE),'⚪设计'!$B$85:$D$101,2,FALSE))</f>
        <v>ResUnit_BianFu1</v>
      </c>
      <c r="K5" s="88">
        <f t="shared" si="1"/>
        <v>60</v>
      </c>
      <c r="L5" s="7">
        <f>'⚪设计'!I230</f>
        <v>0.2</v>
      </c>
      <c r="M5" s="88">
        <f>IF(J5="",0,ROUND(VLOOKUP($A5,'⚪设计'!$A$228:$B$247,2,FALSE)*$B5/SUM(IF($E5="",0,VLOOKUP($E5,'⚪设计'!$C$85:$E$101,3,FALSE))*$F5,IF($J5="",0,VLOOKUP($J5,'⚪设计'!$C$85:$E$101,3,FALSE))*$K5,IF($O5="",0,VLOOKUP($O5,'⚪设计'!$C$85:$E$101,3,FALSE))*$P5,IF($T5="",0,VLOOKUP($T5,'⚪设计'!$C$85:$E$101,3,FALSE))*$U5)*VLOOKUP(J5,'⚪设计'!$C$85:$E$101,3,FALSE),0))</f>
        <v>407</v>
      </c>
      <c r="N5" s="88">
        <f>ROUND(战斗节奏!$B$3/SUM(IF(线下模式!$E5="",0,VLOOKUP(线下模式!$E5,'⚪设计'!$C$85:$G$101,4,FALSE)*线下模式!$F5),IF(线下模式!$J5="",0,VLOOKUP(线下模式!$J5,'⚪设计'!$C$85:$G$101,4,FALSE)*线下模式!$K5),IF(线下模式!$O5="",0,VLOOKUP(线下模式!$O5,'⚪设计'!$C$85:$G$101,4,FALSE)*线下模式!$P5),IF(线下模式!$T5="",0,VLOOKUP(线下模式!$T5,'⚪设计'!$C$85:$G$101,4,FALSE)*线下模式!$U5))*IF(J5="",0,VLOOKUP(J5,'⚪设计'!$C$85:$G$101,4,FALSE)),0)</f>
        <v>7</v>
      </c>
      <c r="O5" s="71" t="str">
        <f>IF(VLOOKUP(A5,'⚪设计'!$A$228:$G$247,6,FALSE)="","",VLOOKUP(VLOOKUP(A5,'⚪设计'!$A$228:$G$247,6,FALSE),'⚪设计'!$B$85:$D$101,2,FALSE))</f>
        <v/>
      </c>
      <c r="P5" s="88">
        <f t="shared" si="2"/>
        <v>0</v>
      </c>
      <c r="Q5" s="7">
        <f>'⚪设计'!J230</f>
        <v>0</v>
      </c>
      <c r="R5" s="88">
        <f>IF(O5="",0,ROUND(VLOOKUP($A5,'⚪设计'!$A$228:$B$247,2,FALSE)*$B5/SUM(IF($E5="",0,VLOOKUP($E5,'⚪设计'!$C$85:$E$101,3,FALSE))*$F5,IF($J5="",0,VLOOKUP($J5,'⚪设计'!$C$85:$E$101,3,FALSE))*$K5,IF($O5="",0,VLOOKUP($O5,'⚪设计'!$C$85:$E$101,3,FALSE))*$P5,IF($T5="",0,VLOOKUP($T5,'⚪设计'!$C$85:$E$101,3,FALSE))*$U5)*VLOOKUP(O5,'⚪设计'!$C$85:$E$101,3,FALSE),0))</f>
        <v>0</v>
      </c>
      <c r="S5" s="88">
        <f>ROUND(战斗节奏!$B$3/SUM(IF(线下模式!$E5="",0,VLOOKUP(线下模式!$E5,'⚪设计'!$C$85:$G$101,4,FALSE)*线下模式!$F5),IF(线下模式!$J5="",0,VLOOKUP(线下模式!$J5,'⚪设计'!$C$85:$G$101,4,FALSE)*线下模式!$K5),IF(线下模式!$O5="",0,VLOOKUP(线下模式!$O5,'⚪设计'!$C$85:$G$101,4,FALSE)*线下模式!$P5),IF(线下模式!$T5="",0,VLOOKUP(线下模式!$T5,'⚪设计'!$C$85:$G$101,4,FALSE)*线下模式!$U5))*IF(O5="",0,VLOOKUP(O5,'⚪设计'!$C$85:$G$101,4,FALSE)),0)</f>
        <v>0</v>
      </c>
      <c r="T5" s="88" t="str">
        <f>IF(VLOOKUP(A5,'⚪设计'!$A$228:$G$247,7,FALSE)="","",VLOOKUP(VLOOKUP(A5,'⚪设计'!$A$228:$G$247,7,FALSE),'⚪设计'!$B$85:$D$101,2,FALSE))</f>
        <v/>
      </c>
      <c r="U5" s="88">
        <f t="shared" si="3"/>
        <v>0</v>
      </c>
      <c r="V5" s="7">
        <f>'⚪设计'!K230</f>
        <v>0</v>
      </c>
      <c r="W5" s="88">
        <f>IF(T5="",0,ROUND(VLOOKUP($A5,'⚪设计'!$A$228:$B$247,2,FALSE)*$B5/SUM(IF($E5="",0,VLOOKUP($E5,'⚪设计'!$C$85:$E$101,3,FALSE))*$F5,IF($J5="",0,VLOOKUP($J5,'⚪设计'!$C$85:$E$101,3,FALSE))*$K5,IF($O5="",0,VLOOKUP($O5,'⚪设计'!$C$85:$E$101,3,FALSE))*$P5,IF($T5="",0,VLOOKUP($T5,'⚪设计'!$C$85:$E$101,3,FALSE))*$U5)*VLOOKUP(T5,'⚪设计'!$C$85:$E$101,3,FALSE),0))</f>
        <v>0</v>
      </c>
      <c r="X5" s="88">
        <f>ROUND(战斗节奏!$B$3/SUM(IF(线下模式!$E5="",0,VLOOKUP(线下模式!$E5,'⚪设计'!$C$85:$G$101,4,FALSE)*线下模式!$F5),IF(线下模式!$J5="",0,VLOOKUP(线下模式!$J5,'⚪设计'!$C$85:$G$101,4,FALSE)*线下模式!$K5),IF(线下模式!$O5="",0,VLOOKUP(线下模式!$O5,'⚪设计'!$C$85:$G$101,4,FALSE)*线下模式!$P5),IF(线下模式!$T5="",0,VLOOKUP(线下模式!$T5,'⚪设计'!$C$85:$G$101,4,FALSE)*线下模式!$U5))*IF(T5="",0,VLOOKUP(T5,'⚪设计'!$C$85:$G$101,4,FALSE)),0)</f>
        <v>0</v>
      </c>
    </row>
    <row r="6" spans="1:24" x14ac:dyDescent="0.2">
      <c r="A6" s="84">
        <v>4</v>
      </c>
      <c r="B6" s="88">
        <f>MAX(MIN(战斗节奏!$C$3-INT(A6/'⚪设计'!$C$55),MOD(A6,'⚪设计'!$C$55)),0)*'⚪设计'!$C$79*防御塔!$C$2+MIN(INT(A6/'⚪设计'!$C$55),战斗节奏!$C$3)*'⚪设计'!$C$80*防御塔!$C$2</f>
        <v>4500</v>
      </c>
      <c r="C6" s="7">
        <v>1.1499999999999999</v>
      </c>
      <c r="D6" s="7">
        <v>13</v>
      </c>
      <c r="E6" s="71" t="str">
        <f>IF(VLOOKUP(A6,'⚪设计'!$A$228:$G$247,4,FALSE)="","",VLOOKUP(VLOOKUP(A6,'⚪设计'!$A$228:$G$247,4,FALSE),'⚪设计'!$B$85:$D$101,2,FALSE))</f>
        <v>ResUnit_MiFeng1</v>
      </c>
      <c r="F6" s="88">
        <f t="shared" si="0"/>
        <v>17</v>
      </c>
      <c r="G6" s="7">
        <f>'⚪设计'!H231</f>
        <v>0.75</v>
      </c>
      <c r="H6" s="88">
        <f>IF(E6="",0,ROUND(VLOOKUP($A6,'⚪设计'!$A$228:$B$247,2,FALSE)*$B6/SUM(IF($E6="",0,VLOOKUP($E6,'⚪设计'!$C$85:$E$101,3,FALSE))*$F6,IF($J6="",0,VLOOKUP($J6,'⚪设计'!$C$85:$E$101,3,FALSE))*$K6,IF($O6="",0,VLOOKUP($O6,'⚪设计'!$C$85:$E$101,3,FALSE))*$P6,IF($T6="",0,VLOOKUP($T6,'⚪设计'!$C$85:$E$101,3,FALSE))*$U6)*VLOOKUP(E6,'⚪设计'!$C$85:$E$101,3,FALSE),0))</f>
        <v>1371</v>
      </c>
      <c r="I6" s="88">
        <f>ROUND(战斗节奏!$B$3/SUM(IF(线下模式!$E6="",0,VLOOKUP(线下模式!$E6,'⚪设计'!$C$85:$G$101,4,FALSE)*线下模式!$F6),IF(线下模式!$J6="",0,VLOOKUP(线下模式!$J6,'⚪设计'!$C$85:$G$101,4,FALSE)*线下模式!$K6),IF(线下模式!$O6="",0,VLOOKUP(线下模式!$O6,'⚪设计'!$C$85:$G$101,4,FALSE)*线下模式!$P6),IF(线下模式!$T6="",0,VLOOKUP(线下模式!$T6,'⚪设计'!$C$85:$G$101,4,FALSE)*线下模式!$U6))*IF(E6="",0,VLOOKUP(E6,'⚪设计'!$C$85:$G$101,4,FALSE)),0)</f>
        <v>14</v>
      </c>
      <c r="J6" s="88" t="str">
        <f>IF(VLOOKUP(A6,'⚪设计'!$A$228:$G$247,5,FALSE)="","",VLOOKUP(VLOOKUP(A6,'⚪设计'!$A$228:$G$247,5,FALSE),'⚪设计'!$B$85:$D$101,2,FALSE))</f>
        <v>ResUnit_ZhiZhu1</v>
      </c>
      <c r="K6" s="88">
        <f t="shared" si="1"/>
        <v>13</v>
      </c>
      <c r="L6" s="7">
        <f>'⚪设计'!I231</f>
        <v>1</v>
      </c>
      <c r="M6" s="88">
        <f>IF(J6="",0,ROUND(VLOOKUP($A6,'⚪设计'!$A$228:$B$247,2,FALSE)*$B6/SUM(IF($E6="",0,VLOOKUP($E6,'⚪设计'!$C$85:$E$101,3,FALSE))*$F6,IF($J6="",0,VLOOKUP($J6,'⚪设计'!$C$85:$E$101,3,FALSE))*$K6,IF($O6="",0,VLOOKUP($O6,'⚪设计'!$C$85:$E$101,3,FALSE))*$P6,IF($T6="",0,VLOOKUP($T6,'⚪设计'!$C$85:$E$101,3,FALSE))*$U6)*VLOOKUP(J6,'⚪设计'!$C$85:$E$101,3,FALSE),0))</f>
        <v>2742</v>
      </c>
      <c r="N6" s="88">
        <f>ROUND(战斗节奏!$B$3/SUM(IF(线下模式!$E6="",0,VLOOKUP(线下模式!$E6,'⚪设计'!$C$85:$G$101,4,FALSE)*线下模式!$F6),IF(线下模式!$J6="",0,VLOOKUP(线下模式!$J6,'⚪设计'!$C$85:$G$101,4,FALSE)*线下模式!$K6),IF(线下模式!$O6="",0,VLOOKUP(线下模式!$O6,'⚪设计'!$C$85:$G$101,4,FALSE)*线下模式!$P6),IF(线下模式!$T6="",0,VLOOKUP(线下模式!$T6,'⚪设计'!$C$85:$G$101,4,FALSE)*线下模式!$U6))*IF(J6="",0,VLOOKUP(J6,'⚪设计'!$C$85:$G$101,4,FALSE)),0)</f>
        <v>28</v>
      </c>
      <c r="O6" s="71" t="str">
        <f>IF(VLOOKUP(A6,'⚪设计'!$A$228:$G$247,6,FALSE)="","",VLOOKUP(VLOOKUP(A6,'⚪设计'!$A$228:$G$247,6,FALSE),'⚪设计'!$B$85:$D$101,2,FALSE))</f>
        <v/>
      </c>
      <c r="P6" s="88">
        <f t="shared" si="2"/>
        <v>0</v>
      </c>
      <c r="Q6" s="7">
        <f>'⚪设计'!J231</f>
        <v>0</v>
      </c>
      <c r="R6" s="88">
        <f>IF(O6="",0,ROUND(VLOOKUP($A6,'⚪设计'!$A$228:$B$247,2,FALSE)*$B6/SUM(IF($E6="",0,VLOOKUP($E6,'⚪设计'!$C$85:$E$101,3,FALSE))*$F6,IF($J6="",0,VLOOKUP($J6,'⚪设计'!$C$85:$E$101,3,FALSE))*$K6,IF($O6="",0,VLOOKUP($O6,'⚪设计'!$C$85:$E$101,3,FALSE))*$P6,IF($T6="",0,VLOOKUP($T6,'⚪设计'!$C$85:$E$101,3,FALSE))*$U6)*VLOOKUP(O6,'⚪设计'!$C$85:$E$101,3,FALSE),0))</f>
        <v>0</v>
      </c>
      <c r="S6" s="88">
        <f>ROUND(战斗节奏!$B$3/SUM(IF(线下模式!$E6="",0,VLOOKUP(线下模式!$E6,'⚪设计'!$C$85:$G$101,4,FALSE)*线下模式!$F6),IF(线下模式!$J6="",0,VLOOKUP(线下模式!$J6,'⚪设计'!$C$85:$G$101,4,FALSE)*线下模式!$K6),IF(线下模式!$O6="",0,VLOOKUP(线下模式!$O6,'⚪设计'!$C$85:$G$101,4,FALSE)*线下模式!$P6),IF(线下模式!$T6="",0,VLOOKUP(线下模式!$T6,'⚪设计'!$C$85:$G$101,4,FALSE)*线下模式!$U6))*IF(O6="",0,VLOOKUP(O6,'⚪设计'!$C$85:$G$101,4,FALSE)),0)</f>
        <v>0</v>
      </c>
      <c r="T6" s="88" t="str">
        <f>IF(VLOOKUP(A6,'⚪设计'!$A$228:$G$247,7,FALSE)="","",VLOOKUP(VLOOKUP(A6,'⚪设计'!$A$228:$G$247,7,FALSE),'⚪设计'!$B$85:$D$101,2,FALSE))</f>
        <v/>
      </c>
      <c r="U6" s="88">
        <f t="shared" si="3"/>
        <v>0</v>
      </c>
      <c r="V6" s="7">
        <f>'⚪设计'!K231</f>
        <v>0</v>
      </c>
      <c r="W6" s="88">
        <f>IF(T6="",0,ROUND(VLOOKUP($A6,'⚪设计'!$A$228:$B$247,2,FALSE)*$B6/SUM(IF($E6="",0,VLOOKUP($E6,'⚪设计'!$C$85:$E$101,3,FALSE))*$F6,IF($J6="",0,VLOOKUP($J6,'⚪设计'!$C$85:$E$101,3,FALSE))*$K6,IF($O6="",0,VLOOKUP($O6,'⚪设计'!$C$85:$E$101,3,FALSE))*$P6,IF($T6="",0,VLOOKUP($T6,'⚪设计'!$C$85:$E$101,3,FALSE))*$U6)*VLOOKUP(T6,'⚪设计'!$C$85:$E$101,3,FALSE),0))</f>
        <v>0</v>
      </c>
      <c r="X6" s="88">
        <f>ROUND(战斗节奏!$B$3/SUM(IF(线下模式!$E6="",0,VLOOKUP(线下模式!$E6,'⚪设计'!$C$85:$G$101,4,FALSE)*线下模式!$F6),IF(线下模式!$J6="",0,VLOOKUP(线下模式!$J6,'⚪设计'!$C$85:$G$101,4,FALSE)*线下模式!$K6),IF(线下模式!$O6="",0,VLOOKUP(线下模式!$O6,'⚪设计'!$C$85:$G$101,4,FALSE)*线下模式!$P6),IF(线下模式!$T6="",0,VLOOKUP(线下模式!$T6,'⚪设计'!$C$85:$G$101,4,FALSE)*线下模式!$U6))*IF(T6="",0,VLOOKUP(T6,'⚪设计'!$C$85:$G$101,4,FALSE)),0)</f>
        <v>0</v>
      </c>
    </row>
    <row r="7" spans="1:24" x14ac:dyDescent="0.2">
      <c r="A7" s="84">
        <v>5</v>
      </c>
      <c r="B7" s="88">
        <f>MAX(MIN(战斗节奏!$C$3-INT(A7/'⚪设计'!$C$55),MOD(A7,'⚪设计'!$C$55)),0)*'⚪设计'!$C$79*防御塔!$C$2+MIN(INT(A7/'⚪设计'!$C$55),战斗节奏!$C$3)*'⚪设计'!$C$80*防御塔!$C$2</f>
        <v>5400</v>
      </c>
      <c r="C7" s="7">
        <v>1.2</v>
      </c>
      <c r="D7" s="7">
        <v>14</v>
      </c>
      <c r="E7" s="71" t="str">
        <f>IF(VLOOKUP(A7,'⚪设计'!$A$228:$G$247,4,FALSE)="","",VLOOKUP(VLOOKUP(A7,'⚪设计'!$A$228:$G$247,4,FALSE),'⚪设计'!$B$85:$D$101,2,FALSE))</f>
        <v>ResUnit_MiFeng3</v>
      </c>
      <c r="F7" s="88">
        <f t="shared" si="0"/>
        <v>1</v>
      </c>
      <c r="G7" s="7">
        <f>'⚪设计'!H232</f>
        <v>0</v>
      </c>
      <c r="H7" s="88">
        <f>IF(E7="",0,ROUND(VLOOKUP($A7,'⚪设计'!$A$228:$B$247,2,FALSE)*$B7/SUM(IF($E7="",0,VLOOKUP($E7,'⚪设计'!$C$85:$E$101,3,FALSE))*$F7,IF($J7="",0,VLOOKUP($J7,'⚪设计'!$C$85:$E$101,3,FALSE))*$K7,IF($O7="",0,VLOOKUP($O7,'⚪设计'!$C$85:$E$101,3,FALSE))*$P7,IF($T7="",0,VLOOKUP($T7,'⚪设计'!$C$85:$E$101,3,FALSE))*$U7)*VLOOKUP(E7,'⚪设计'!$C$85:$E$101,3,FALSE),0))</f>
        <v>161906</v>
      </c>
      <c r="I7" s="88">
        <f>ROUND(战斗节奏!$B$3/SUM(IF(线下模式!$E7="",0,VLOOKUP(线下模式!$E7,'⚪设计'!$C$85:$G$101,4,FALSE)*线下模式!$F7),IF(线下模式!$J7="",0,VLOOKUP(线下模式!$J7,'⚪设计'!$C$85:$G$101,4,FALSE)*线下模式!$K7),IF(线下模式!$O7="",0,VLOOKUP(线下模式!$O7,'⚪设计'!$C$85:$G$101,4,FALSE)*线下模式!$P7),IF(线下模式!$T7="",0,VLOOKUP(线下模式!$T7,'⚪设计'!$C$85:$G$101,4,FALSE)*线下模式!$U7))*IF(E7="",0,VLOOKUP(E7,'⚪设计'!$C$85:$G$101,4,FALSE)),0)</f>
        <v>417</v>
      </c>
      <c r="J7" s="88" t="str">
        <f>IF(VLOOKUP(A7,'⚪设计'!$A$228:$G$247,5,FALSE)="","",VLOOKUP(VLOOKUP(A7,'⚪设计'!$A$228:$G$247,5,FALSE),'⚪设计'!$B$85:$D$101,2,FALSE))</f>
        <v>ResUnit_BianFu1</v>
      </c>
      <c r="K7" s="88">
        <f t="shared" si="1"/>
        <v>35</v>
      </c>
      <c r="L7" s="7">
        <f>'⚪设计'!I232</f>
        <v>0.4</v>
      </c>
      <c r="M7" s="88">
        <f>IF(J7="",0,ROUND(VLOOKUP($A7,'⚪设计'!$A$228:$B$247,2,FALSE)*$B7/SUM(IF($E7="",0,VLOOKUP($E7,'⚪设计'!$C$85:$E$101,3,FALSE))*$F7,IF($J7="",0,VLOOKUP($J7,'⚪设计'!$C$85:$E$101,3,FALSE))*$K7,IF($O7="",0,VLOOKUP($O7,'⚪设计'!$C$85:$E$101,3,FALSE))*$P7,IF($T7="",0,VLOOKUP($T7,'⚪设计'!$C$85:$E$101,3,FALSE))*$U7)*VLOOKUP(J7,'⚪设计'!$C$85:$E$101,3,FALSE),0))</f>
        <v>2024</v>
      </c>
      <c r="N7" s="88">
        <f>ROUND(战斗节奏!$B$3/SUM(IF(线下模式!$E7="",0,VLOOKUP(线下模式!$E7,'⚪设计'!$C$85:$G$101,4,FALSE)*线下模式!$F7),IF(线下模式!$J7="",0,VLOOKUP(线下模式!$J7,'⚪设计'!$C$85:$G$101,4,FALSE)*线下模式!$K7),IF(线下模式!$O7="",0,VLOOKUP(线下模式!$O7,'⚪设计'!$C$85:$G$101,4,FALSE)*线下模式!$P7),IF(线下模式!$T7="",0,VLOOKUP(线下模式!$T7,'⚪设计'!$C$85:$G$101,4,FALSE)*线下模式!$U7))*IF(J7="",0,VLOOKUP(J7,'⚪设计'!$C$85:$G$101,4,FALSE)),0)</f>
        <v>5</v>
      </c>
      <c r="O7" s="71" t="str">
        <f>IF(VLOOKUP(A7,'⚪设计'!$A$228:$G$247,6,FALSE)="","",VLOOKUP(VLOOKUP(A7,'⚪设计'!$A$228:$G$247,6,FALSE),'⚪设计'!$B$85:$D$101,2,FALSE))</f>
        <v/>
      </c>
      <c r="P7" s="88">
        <f t="shared" si="2"/>
        <v>0</v>
      </c>
      <c r="Q7" s="7">
        <f>'⚪设计'!J232</f>
        <v>0</v>
      </c>
      <c r="R7" s="88">
        <f>IF(O7="",0,ROUND(VLOOKUP($A7,'⚪设计'!$A$228:$B$247,2,FALSE)*$B7/SUM(IF($E7="",0,VLOOKUP($E7,'⚪设计'!$C$85:$E$101,3,FALSE))*$F7,IF($J7="",0,VLOOKUP($J7,'⚪设计'!$C$85:$E$101,3,FALSE))*$K7,IF($O7="",0,VLOOKUP($O7,'⚪设计'!$C$85:$E$101,3,FALSE))*$P7,IF($T7="",0,VLOOKUP($T7,'⚪设计'!$C$85:$E$101,3,FALSE))*$U7)*VLOOKUP(O7,'⚪设计'!$C$85:$E$101,3,FALSE),0))</f>
        <v>0</v>
      </c>
      <c r="S7" s="88">
        <f>ROUND(战斗节奏!$B$3/SUM(IF(线下模式!$E7="",0,VLOOKUP(线下模式!$E7,'⚪设计'!$C$85:$G$101,4,FALSE)*线下模式!$F7),IF(线下模式!$J7="",0,VLOOKUP(线下模式!$J7,'⚪设计'!$C$85:$G$101,4,FALSE)*线下模式!$K7),IF(线下模式!$O7="",0,VLOOKUP(线下模式!$O7,'⚪设计'!$C$85:$G$101,4,FALSE)*线下模式!$P7),IF(线下模式!$T7="",0,VLOOKUP(线下模式!$T7,'⚪设计'!$C$85:$G$101,4,FALSE)*线下模式!$U7))*IF(O7="",0,VLOOKUP(O7,'⚪设计'!$C$85:$G$101,4,FALSE)),0)</f>
        <v>0</v>
      </c>
      <c r="T7" s="88" t="str">
        <f>IF(VLOOKUP(A7,'⚪设计'!$A$228:$G$247,7,FALSE)="","",VLOOKUP(VLOOKUP(A7,'⚪设计'!$A$228:$G$247,7,FALSE),'⚪设计'!$B$85:$D$101,2,FALSE))</f>
        <v/>
      </c>
      <c r="U7" s="88">
        <f t="shared" si="3"/>
        <v>0</v>
      </c>
      <c r="V7" s="7">
        <f>'⚪设计'!K232</f>
        <v>0</v>
      </c>
      <c r="W7" s="88">
        <f>IF(T7="",0,ROUND(VLOOKUP($A7,'⚪设计'!$A$228:$B$247,2,FALSE)*$B7/SUM(IF($E7="",0,VLOOKUP($E7,'⚪设计'!$C$85:$E$101,3,FALSE))*$F7,IF($J7="",0,VLOOKUP($J7,'⚪设计'!$C$85:$E$101,3,FALSE))*$K7,IF($O7="",0,VLOOKUP($O7,'⚪设计'!$C$85:$E$101,3,FALSE))*$P7,IF($T7="",0,VLOOKUP($T7,'⚪设计'!$C$85:$E$101,3,FALSE))*$U7)*VLOOKUP(T7,'⚪设计'!$C$85:$E$101,3,FALSE),0))</f>
        <v>0</v>
      </c>
      <c r="X7" s="88">
        <f>ROUND(战斗节奏!$B$3/SUM(IF(线下模式!$E7="",0,VLOOKUP(线下模式!$E7,'⚪设计'!$C$85:$G$101,4,FALSE)*线下模式!$F7),IF(线下模式!$J7="",0,VLOOKUP(线下模式!$J7,'⚪设计'!$C$85:$G$101,4,FALSE)*线下模式!$K7),IF(线下模式!$O7="",0,VLOOKUP(线下模式!$O7,'⚪设计'!$C$85:$G$101,4,FALSE)*线下模式!$P7),IF(线下模式!$T7="",0,VLOOKUP(线下模式!$T7,'⚪设计'!$C$85:$G$101,4,FALSE)*线下模式!$U7))*IF(T7="",0,VLOOKUP(T7,'⚪设计'!$C$85:$G$101,4,FALSE)),0)</f>
        <v>0</v>
      </c>
    </row>
    <row r="8" spans="1:24" x14ac:dyDescent="0.2">
      <c r="A8" s="84">
        <v>6</v>
      </c>
      <c r="B8" s="88">
        <f>MAX(MIN(战斗节奏!$C$3-INT(A8/'⚪设计'!$C$55),MOD(A8,'⚪设计'!$C$55)),0)*'⚪设计'!$C$79*防御塔!$C$2+MIN(INT(A8/'⚪设计'!$C$55),战斗节奏!$C$3)*'⚪设计'!$C$80*防御塔!$C$2</f>
        <v>7200</v>
      </c>
      <c r="C8" s="7">
        <v>1.25</v>
      </c>
      <c r="D8" s="7">
        <v>15</v>
      </c>
      <c r="E8" s="71" t="str">
        <f>IF(VLOOKUP(A8,'⚪设计'!$A$228:$G$247,4,FALSE)="","",VLOOKUP(VLOOKUP(A8,'⚪设计'!$A$228:$G$247,4,FALSE),'⚪设计'!$B$85:$D$101,2,FALSE))</f>
        <v>ResUnit_MiFeng2</v>
      </c>
      <c r="F8" s="88">
        <f t="shared" si="0"/>
        <v>20</v>
      </c>
      <c r="G8" s="7">
        <f>'⚪设计'!H233</f>
        <v>0.75</v>
      </c>
      <c r="H8" s="88">
        <f>IF(E8="",0,ROUND(VLOOKUP($A8,'⚪设计'!$A$228:$B$247,2,FALSE)*$B8/SUM(IF($E8="",0,VLOOKUP($E8,'⚪设计'!$C$85:$E$101,3,FALSE))*$F8,IF($J8="",0,VLOOKUP($J8,'⚪设计'!$C$85:$E$101,3,FALSE))*$K8,IF($O8="",0,VLOOKUP($O8,'⚪设计'!$C$85:$E$101,3,FALSE))*$P8,IF($T8="",0,VLOOKUP($T8,'⚪设计'!$C$85:$E$101,3,FALSE))*$U8)*VLOOKUP(E8,'⚪设计'!$C$85:$E$101,3,FALSE),0))</f>
        <v>3600</v>
      </c>
      <c r="I8" s="88">
        <f>ROUND(战斗节奏!$B$3/SUM(IF(线下模式!$E8="",0,VLOOKUP(线下模式!$E8,'⚪设计'!$C$85:$G$101,4,FALSE)*线下模式!$F8),IF(线下模式!$J8="",0,VLOOKUP(线下模式!$J8,'⚪设计'!$C$85:$G$101,4,FALSE)*线下模式!$K8),IF(线下模式!$O8="",0,VLOOKUP(线下模式!$O8,'⚪设计'!$C$85:$G$101,4,FALSE)*线下模式!$P8),IF(线下模式!$T8="",0,VLOOKUP(线下模式!$T8,'⚪设计'!$C$85:$G$101,4,FALSE)*线下模式!$U8))*IF(E8="",0,VLOOKUP(E8,'⚪设计'!$C$85:$G$101,4,FALSE)),0)</f>
        <v>20</v>
      </c>
      <c r="J8" s="88" t="str">
        <f>IF(VLOOKUP(A8,'⚪设计'!$A$228:$G$247,5,FALSE)="","",VLOOKUP(VLOOKUP(A8,'⚪设计'!$A$228:$G$247,5,FALSE),'⚪设计'!$B$85:$D$101,2,FALSE))</f>
        <v>ResUnit_ZhiZhu1</v>
      </c>
      <c r="K8" s="88">
        <f t="shared" si="1"/>
        <v>20</v>
      </c>
      <c r="L8" s="7">
        <f>'⚪设计'!I233</f>
        <v>0.75</v>
      </c>
      <c r="M8" s="88">
        <f>IF(J8="",0,ROUND(VLOOKUP($A8,'⚪设计'!$A$228:$B$247,2,FALSE)*$B8/SUM(IF($E8="",0,VLOOKUP($E8,'⚪设计'!$C$85:$E$101,3,FALSE))*$F8,IF($J8="",0,VLOOKUP($J8,'⚪设计'!$C$85:$E$101,3,FALSE))*$K8,IF($O8="",0,VLOOKUP($O8,'⚪设计'!$C$85:$E$101,3,FALSE))*$P8,IF($T8="",0,VLOOKUP($T8,'⚪设计'!$C$85:$E$101,3,FALSE))*$U8)*VLOOKUP(J8,'⚪设计'!$C$85:$E$101,3,FALSE),0))</f>
        <v>1800</v>
      </c>
      <c r="N8" s="88">
        <f>ROUND(战斗节奏!$B$3/SUM(IF(线下模式!$E8="",0,VLOOKUP(线下模式!$E8,'⚪设计'!$C$85:$G$101,4,FALSE)*线下模式!$F8),IF(线下模式!$J8="",0,VLOOKUP(线下模式!$J8,'⚪设计'!$C$85:$G$101,4,FALSE)*线下模式!$K8),IF(线下模式!$O8="",0,VLOOKUP(线下模式!$O8,'⚪设计'!$C$85:$G$101,4,FALSE)*线下模式!$P8),IF(线下模式!$T8="",0,VLOOKUP(线下模式!$T8,'⚪设计'!$C$85:$G$101,4,FALSE)*线下模式!$U8))*IF(J8="",0,VLOOKUP(J8,'⚪设计'!$C$85:$G$101,4,FALSE)),0)</f>
        <v>10</v>
      </c>
      <c r="O8" s="71" t="str">
        <f>IF(VLOOKUP(A8,'⚪设计'!$A$228:$G$247,6,FALSE)="","",VLOOKUP(VLOOKUP(A8,'⚪设计'!$A$228:$G$247,6,FALSE),'⚪设计'!$B$85:$D$101,2,FALSE))</f>
        <v/>
      </c>
      <c r="P8" s="88">
        <f t="shared" si="2"/>
        <v>0</v>
      </c>
      <c r="Q8" s="7">
        <f>'⚪设计'!J233</f>
        <v>0</v>
      </c>
      <c r="R8" s="88">
        <f>IF(O8="",0,ROUND(VLOOKUP($A8,'⚪设计'!$A$228:$B$247,2,FALSE)*$B8/SUM(IF($E8="",0,VLOOKUP($E8,'⚪设计'!$C$85:$E$101,3,FALSE))*$F8,IF($J8="",0,VLOOKUP($J8,'⚪设计'!$C$85:$E$101,3,FALSE))*$K8,IF($O8="",0,VLOOKUP($O8,'⚪设计'!$C$85:$E$101,3,FALSE))*$P8,IF($T8="",0,VLOOKUP($T8,'⚪设计'!$C$85:$E$101,3,FALSE))*$U8)*VLOOKUP(O8,'⚪设计'!$C$85:$E$101,3,FALSE),0))</f>
        <v>0</v>
      </c>
      <c r="S8" s="88">
        <f>ROUND(战斗节奏!$B$3/SUM(IF(线下模式!$E8="",0,VLOOKUP(线下模式!$E8,'⚪设计'!$C$85:$G$101,4,FALSE)*线下模式!$F8),IF(线下模式!$J8="",0,VLOOKUP(线下模式!$J8,'⚪设计'!$C$85:$G$101,4,FALSE)*线下模式!$K8),IF(线下模式!$O8="",0,VLOOKUP(线下模式!$O8,'⚪设计'!$C$85:$G$101,4,FALSE)*线下模式!$P8),IF(线下模式!$T8="",0,VLOOKUP(线下模式!$T8,'⚪设计'!$C$85:$G$101,4,FALSE)*线下模式!$U8))*IF(O8="",0,VLOOKUP(O8,'⚪设计'!$C$85:$G$101,4,FALSE)),0)</f>
        <v>0</v>
      </c>
      <c r="T8" s="88" t="str">
        <f>IF(VLOOKUP(A8,'⚪设计'!$A$228:$G$247,7,FALSE)="","",VLOOKUP(VLOOKUP(A8,'⚪设计'!$A$228:$G$247,7,FALSE),'⚪设计'!$B$85:$D$101,2,FALSE))</f>
        <v/>
      </c>
      <c r="U8" s="88">
        <f t="shared" si="3"/>
        <v>0</v>
      </c>
      <c r="V8" s="7">
        <f>'⚪设计'!K233</f>
        <v>0</v>
      </c>
      <c r="W8" s="88">
        <f>IF(T8="",0,ROUND(VLOOKUP($A8,'⚪设计'!$A$228:$B$247,2,FALSE)*$B8/SUM(IF($E8="",0,VLOOKUP($E8,'⚪设计'!$C$85:$E$101,3,FALSE))*$F8,IF($J8="",0,VLOOKUP($J8,'⚪设计'!$C$85:$E$101,3,FALSE))*$K8,IF($O8="",0,VLOOKUP($O8,'⚪设计'!$C$85:$E$101,3,FALSE))*$P8,IF($T8="",0,VLOOKUP($T8,'⚪设计'!$C$85:$E$101,3,FALSE))*$U8)*VLOOKUP(T8,'⚪设计'!$C$85:$E$101,3,FALSE),0))</f>
        <v>0</v>
      </c>
      <c r="X8" s="88">
        <f>ROUND(战斗节奏!$B$3/SUM(IF(线下模式!$E8="",0,VLOOKUP(线下模式!$E8,'⚪设计'!$C$85:$G$101,4,FALSE)*线下模式!$F8),IF(线下模式!$J8="",0,VLOOKUP(线下模式!$J8,'⚪设计'!$C$85:$G$101,4,FALSE)*线下模式!$K8),IF(线下模式!$O8="",0,VLOOKUP(线下模式!$O8,'⚪设计'!$C$85:$G$101,4,FALSE)*线下模式!$P8),IF(线下模式!$T8="",0,VLOOKUP(线下模式!$T8,'⚪设计'!$C$85:$G$101,4,FALSE)*线下模式!$U8))*IF(T8="",0,VLOOKUP(T8,'⚪设计'!$C$85:$G$101,4,FALSE)),0)</f>
        <v>0</v>
      </c>
    </row>
    <row r="9" spans="1:24" x14ac:dyDescent="0.2">
      <c r="A9" s="84">
        <v>7</v>
      </c>
      <c r="B9" s="88">
        <f>MAX(MIN(战斗节奏!$C$3-INT(A9/'⚪设计'!$C$55),MOD(A9,'⚪设计'!$C$55)),0)*'⚪设计'!$C$79*防御塔!$C$2+MIN(INT(A9/'⚪设计'!$C$55),战斗节奏!$C$3)*'⚪设计'!$C$80*防御塔!$C$2</f>
        <v>8100</v>
      </c>
      <c r="C9" s="7">
        <v>1.3</v>
      </c>
      <c r="D9" s="7">
        <v>16</v>
      </c>
      <c r="E9" s="71" t="str">
        <f>IF(VLOOKUP(A9,'⚪设计'!$A$228:$G$247,4,FALSE)="","",VLOOKUP(VLOOKUP(A9,'⚪设计'!$A$228:$G$247,4,FALSE),'⚪设计'!$B$85:$D$101,2,FALSE))</f>
        <v>ResUnit_MiFeng2</v>
      </c>
      <c r="F9" s="88">
        <f t="shared" si="0"/>
        <v>32</v>
      </c>
      <c r="G9" s="7">
        <f>'⚪设计'!H234</f>
        <v>0.5</v>
      </c>
      <c r="H9" s="88">
        <f>IF(E9="",0,ROUND(VLOOKUP($A9,'⚪设计'!$A$228:$B$247,2,FALSE)*$B9/SUM(IF($E9="",0,VLOOKUP($E9,'⚪设计'!$C$85:$E$101,3,FALSE))*$F9,IF($J9="",0,VLOOKUP($J9,'⚪设计'!$C$85:$E$101,3,FALSE))*$K9,IF($O9="",0,VLOOKUP($O9,'⚪设计'!$C$85:$E$101,3,FALSE))*$P9,IF($T9="",0,VLOOKUP($T9,'⚪设计'!$C$85:$E$101,3,FALSE))*$U9)*VLOOKUP(E9,'⚪设计'!$C$85:$E$101,3,FALSE),0))</f>
        <v>3335</v>
      </c>
      <c r="I9" s="88">
        <f>ROUND(战斗节奏!$B$3/SUM(IF(线下模式!$E9="",0,VLOOKUP(线下模式!$E9,'⚪设计'!$C$85:$G$101,4,FALSE)*线下模式!$F9),IF(线下模式!$J9="",0,VLOOKUP(线下模式!$J9,'⚪设计'!$C$85:$G$101,4,FALSE)*线下模式!$K9),IF(线下模式!$O9="",0,VLOOKUP(线下模式!$O9,'⚪设计'!$C$85:$G$101,4,FALSE)*线下模式!$P9),IF(线下模式!$T9="",0,VLOOKUP(线下模式!$T9,'⚪设计'!$C$85:$G$101,4,FALSE)*线下模式!$U9))*IF(E9="",0,VLOOKUP(E9,'⚪设计'!$C$85:$G$101,4,FALSE)),0)</f>
        <v>14</v>
      </c>
      <c r="J9" s="88" t="str">
        <f>IF(VLOOKUP(A9,'⚪设计'!$A$228:$G$247,5,FALSE)="","",VLOOKUP(VLOOKUP(A9,'⚪设计'!$A$228:$G$247,5,FALSE),'⚪设计'!$B$85:$D$101,2,FALSE))</f>
        <v>ResUnit_ZhiZhu1</v>
      </c>
      <c r="K9" s="88">
        <f t="shared" si="1"/>
        <v>21</v>
      </c>
      <c r="L9" s="7">
        <f>'⚪设计'!I234</f>
        <v>0.75</v>
      </c>
      <c r="M9" s="88">
        <f>IF(J9="",0,ROUND(VLOOKUP($A9,'⚪设计'!$A$228:$B$247,2,FALSE)*$B9/SUM(IF($E9="",0,VLOOKUP($E9,'⚪设计'!$C$85:$E$101,3,FALSE))*$F9,IF($J9="",0,VLOOKUP($J9,'⚪设计'!$C$85:$E$101,3,FALSE))*$K9,IF($O9="",0,VLOOKUP($O9,'⚪设计'!$C$85:$E$101,3,FALSE))*$P9,IF($T9="",0,VLOOKUP($T9,'⚪设计'!$C$85:$E$101,3,FALSE))*$U9)*VLOOKUP(J9,'⚪设计'!$C$85:$E$101,3,FALSE),0))</f>
        <v>1668</v>
      </c>
      <c r="N9" s="88">
        <f>ROUND(战斗节奏!$B$3/SUM(IF(线下模式!$E9="",0,VLOOKUP(线下模式!$E9,'⚪设计'!$C$85:$G$101,4,FALSE)*线下模式!$F9),IF(线下模式!$J9="",0,VLOOKUP(线下模式!$J9,'⚪设计'!$C$85:$G$101,4,FALSE)*线下模式!$K9),IF(线下模式!$O9="",0,VLOOKUP(线下模式!$O9,'⚪设计'!$C$85:$G$101,4,FALSE)*线下模式!$P9),IF(线下模式!$T9="",0,VLOOKUP(线下模式!$T9,'⚪设计'!$C$85:$G$101,4,FALSE)*线下模式!$U9))*IF(J9="",0,VLOOKUP(J9,'⚪设计'!$C$85:$G$101,4,FALSE)),0)</f>
        <v>7</v>
      </c>
      <c r="O9" s="71" t="str">
        <f>IF(VLOOKUP(A9,'⚪设计'!$A$228:$G$247,6,FALSE)="","",VLOOKUP(VLOOKUP(A9,'⚪设计'!$A$228:$G$247,6,FALSE),'⚪设计'!$B$85:$D$101,2,FALSE))</f>
        <v/>
      </c>
      <c r="P9" s="88">
        <f t="shared" si="2"/>
        <v>0</v>
      </c>
      <c r="Q9" s="7">
        <f>'⚪设计'!J234</f>
        <v>0</v>
      </c>
      <c r="R9" s="88">
        <f>IF(O9="",0,ROUND(VLOOKUP($A9,'⚪设计'!$A$228:$B$247,2,FALSE)*$B9/SUM(IF($E9="",0,VLOOKUP($E9,'⚪设计'!$C$85:$E$101,3,FALSE))*$F9,IF($J9="",0,VLOOKUP($J9,'⚪设计'!$C$85:$E$101,3,FALSE))*$K9,IF($O9="",0,VLOOKUP($O9,'⚪设计'!$C$85:$E$101,3,FALSE))*$P9,IF($T9="",0,VLOOKUP($T9,'⚪设计'!$C$85:$E$101,3,FALSE))*$U9)*VLOOKUP(O9,'⚪设计'!$C$85:$E$101,3,FALSE),0))</f>
        <v>0</v>
      </c>
      <c r="S9" s="88">
        <f>ROUND(战斗节奏!$B$3/SUM(IF(线下模式!$E9="",0,VLOOKUP(线下模式!$E9,'⚪设计'!$C$85:$G$101,4,FALSE)*线下模式!$F9),IF(线下模式!$J9="",0,VLOOKUP(线下模式!$J9,'⚪设计'!$C$85:$G$101,4,FALSE)*线下模式!$K9),IF(线下模式!$O9="",0,VLOOKUP(线下模式!$O9,'⚪设计'!$C$85:$G$101,4,FALSE)*线下模式!$P9),IF(线下模式!$T9="",0,VLOOKUP(线下模式!$T9,'⚪设计'!$C$85:$G$101,4,FALSE)*线下模式!$U9))*IF(O9="",0,VLOOKUP(O9,'⚪设计'!$C$85:$G$101,4,FALSE)),0)</f>
        <v>0</v>
      </c>
      <c r="T9" s="88" t="str">
        <f>IF(VLOOKUP(A9,'⚪设计'!$A$228:$G$247,7,FALSE)="","",VLOOKUP(VLOOKUP(A9,'⚪设计'!$A$228:$G$247,7,FALSE),'⚪设计'!$B$85:$D$101,2,FALSE))</f>
        <v/>
      </c>
      <c r="U9" s="88">
        <f t="shared" si="3"/>
        <v>0</v>
      </c>
      <c r="V9" s="7">
        <f>'⚪设计'!K234</f>
        <v>0</v>
      </c>
      <c r="W9" s="88">
        <f>IF(T9="",0,ROUND(VLOOKUP($A9,'⚪设计'!$A$228:$B$247,2,FALSE)*$B9/SUM(IF($E9="",0,VLOOKUP($E9,'⚪设计'!$C$85:$E$101,3,FALSE))*$F9,IF($J9="",0,VLOOKUP($J9,'⚪设计'!$C$85:$E$101,3,FALSE))*$K9,IF($O9="",0,VLOOKUP($O9,'⚪设计'!$C$85:$E$101,3,FALSE))*$P9,IF($T9="",0,VLOOKUP($T9,'⚪设计'!$C$85:$E$101,3,FALSE))*$U9)*VLOOKUP(T9,'⚪设计'!$C$85:$E$101,3,FALSE),0))</f>
        <v>0</v>
      </c>
      <c r="X9" s="88">
        <f>ROUND(战斗节奏!$B$3/SUM(IF(线下模式!$E9="",0,VLOOKUP(线下模式!$E9,'⚪设计'!$C$85:$G$101,4,FALSE)*线下模式!$F9),IF(线下模式!$J9="",0,VLOOKUP(线下模式!$J9,'⚪设计'!$C$85:$G$101,4,FALSE)*线下模式!$K9),IF(线下模式!$O9="",0,VLOOKUP(线下模式!$O9,'⚪设计'!$C$85:$G$101,4,FALSE)*线下模式!$P9),IF(线下模式!$T9="",0,VLOOKUP(线下模式!$T9,'⚪设计'!$C$85:$G$101,4,FALSE)*线下模式!$U9))*IF(T9="",0,VLOOKUP(T9,'⚪设计'!$C$85:$G$101,4,FALSE)),0)</f>
        <v>0</v>
      </c>
    </row>
    <row r="10" spans="1:24" x14ac:dyDescent="0.2">
      <c r="A10" s="84">
        <v>8</v>
      </c>
      <c r="B10" s="88">
        <f>MAX(MIN(战斗节奏!$C$3-INT(A10/'⚪设计'!$C$55),MOD(A10,'⚪设计'!$C$55)),0)*'⚪设计'!$C$79*防御塔!$C$2+MIN(INT(A10/'⚪设计'!$C$55),战斗节奏!$C$3)*'⚪设计'!$C$80*防御塔!$C$2</f>
        <v>9000</v>
      </c>
      <c r="C10" s="7">
        <v>1.35</v>
      </c>
      <c r="D10" s="7">
        <v>17</v>
      </c>
      <c r="E10" s="71" t="str">
        <f>IF(VLOOKUP(A10,'⚪设计'!$A$228:$G$247,4,FALSE)="","",VLOOKUP(VLOOKUP(A10,'⚪设计'!$A$228:$G$247,4,FALSE),'⚪设计'!$B$85:$D$101,2,FALSE))</f>
        <v>ResUnit_MiFeng2</v>
      </c>
      <c r="F10" s="88">
        <f t="shared" si="0"/>
        <v>17</v>
      </c>
      <c r="G10" s="7">
        <f>'⚪设计'!H235</f>
        <v>1</v>
      </c>
      <c r="H10" s="88">
        <f>IF(E10="",0,ROUND(VLOOKUP($A10,'⚪设计'!$A$228:$B$247,2,FALSE)*$B10/SUM(IF($E10="",0,VLOOKUP($E10,'⚪设计'!$C$85:$E$101,3,FALSE))*$F10,IF($J10="",0,VLOOKUP($J10,'⚪设计'!$C$85:$E$101,3,FALSE))*$K10,IF($O10="",0,VLOOKUP($O10,'⚪设计'!$C$85:$E$101,3,FALSE))*$P10,IF($T10="",0,VLOOKUP($T10,'⚪设计'!$C$85:$E$101,3,FALSE))*$U10)*VLOOKUP(E10,'⚪设计'!$C$85:$E$101,3,FALSE),0))</f>
        <v>6923</v>
      </c>
      <c r="I10" s="88">
        <f>ROUND(战斗节奏!$B$3/SUM(IF(线下模式!$E10="",0,VLOOKUP(线下模式!$E10,'⚪设计'!$C$85:$G$101,4,FALSE)*线下模式!$F10),IF(线下模式!$J10="",0,VLOOKUP(线下模式!$J10,'⚪设计'!$C$85:$G$101,4,FALSE)*线下模式!$K10),IF(线下模式!$O10="",0,VLOOKUP(线下模式!$O10,'⚪设计'!$C$85:$G$101,4,FALSE)*线下模式!$P10),IF(线下模式!$T10="",0,VLOOKUP(线下模式!$T10,'⚪设计'!$C$85:$G$101,4,FALSE)*线下模式!$U10))*IF(E10="",0,VLOOKUP(E10,'⚪设计'!$C$85:$G$101,4,FALSE)),0)</f>
        <v>26</v>
      </c>
      <c r="J10" s="88" t="str">
        <f>IF(VLOOKUP(A10,'⚪设计'!$A$228:$G$247,5,FALSE)="","",VLOOKUP(VLOOKUP(A10,'⚪设计'!$A$228:$G$247,5,FALSE),'⚪设计'!$B$85:$D$101,2,FALSE))</f>
        <v>ResUnit_ZhongZi1</v>
      </c>
      <c r="K10" s="88">
        <f t="shared" si="1"/>
        <v>6</v>
      </c>
      <c r="L10" s="7">
        <f>'⚪设计'!I235</f>
        <v>3</v>
      </c>
      <c r="M10" s="88">
        <f>IF(J10="",0,ROUND(VLOOKUP($A10,'⚪设计'!$A$228:$B$247,2,FALSE)*$B10/SUM(IF($E10="",0,VLOOKUP($E10,'⚪设计'!$C$85:$E$101,3,FALSE))*$F10,IF($J10="",0,VLOOKUP($J10,'⚪设计'!$C$85:$E$101,3,FALSE))*$K10,IF($O10="",0,VLOOKUP($O10,'⚪设计'!$C$85:$E$101,3,FALSE))*$P10,IF($T10="",0,VLOOKUP($T10,'⚪设计'!$C$85:$E$101,3,FALSE))*$U10)*VLOOKUP(J10,'⚪设计'!$C$85:$E$101,3,FALSE),0))</f>
        <v>10385</v>
      </c>
      <c r="N10" s="88">
        <f>ROUND(战斗节奏!$B$3/SUM(IF(线下模式!$E10="",0,VLOOKUP(线下模式!$E10,'⚪设计'!$C$85:$G$101,4,FALSE)*线下模式!$F10),IF(线下模式!$J10="",0,VLOOKUP(线下模式!$J10,'⚪设计'!$C$85:$G$101,4,FALSE)*线下模式!$K10),IF(线下模式!$O10="",0,VLOOKUP(线下模式!$O10,'⚪设计'!$C$85:$G$101,4,FALSE)*线下模式!$P10),IF(线下模式!$T10="",0,VLOOKUP(线下模式!$T10,'⚪设计'!$C$85:$G$101,4,FALSE)*线下模式!$U10))*IF(J10="",0,VLOOKUP(J10,'⚪设计'!$C$85:$G$101,4,FALSE)),0)</f>
        <v>26</v>
      </c>
      <c r="O10" s="71" t="str">
        <f>IF(VLOOKUP(A10,'⚪设计'!$A$228:$G$247,6,FALSE)="","",VLOOKUP(VLOOKUP(A10,'⚪设计'!$A$228:$G$247,6,FALSE),'⚪设计'!$B$85:$D$101,2,FALSE))</f>
        <v/>
      </c>
      <c r="P10" s="88">
        <f t="shared" si="2"/>
        <v>0</v>
      </c>
      <c r="Q10" s="7">
        <f>'⚪设计'!J235</f>
        <v>0</v>
      </c>
      <c r="R10" s="88">
        <f>IF(O10="",0,ROUND(VLOOKUP($A10,'⚪设计'!$A$228:$B$247,2,FALSE)*$B10/SUM(IF($E10="",0,VLOOKUP($E10,'⚪设计'!$C$85:$E$101,3,FALSE))*$F10,IF($J10="",0,VLOOKUP($J10,'⚪设计'!$C$85:$E$101,3,FALSE))*$K10,IF($O10="",0,VLOOKUP($O10,'⚪设计'!$C$85:$E$101,3,FALSE))*$P10,IF($T10="",0,VLOOKUP($T10,'⚪设计'!$C$85:$E$101,3,FALSE))*$U10)*VLOOKUP(O10,'⚪设计'!$C$85:$E$101,3,FALSE),0))</f>
        <v>0</v>
      </c>
      <c r="S10" s="88">
        <f>ROUND(战斗节奏!$B$3/SUM(IF(线下模式!$E10="",0,VLOOKUP(线下模式!$E10,'⚪设计'!$C$85:$G$101,4,FALSE)*线下模式!$F10),IF(线下模式!$J10="",0,VLOOKUP(线下模式!$J10,'⚪设计'!$C$85:$G$101,4,FALSE)*线下模式!$K10),IF(线下模式!$O10="",0,VLOOKUP(线下模式!$O10,'⚪设计'!$C$85:$G$101,4,FALSE)*线下模式!$P10),IF(线下模式!$T10="",0,VLOOKUP(线下模式!$T10,'⚪设计'!$C$85:$G$101,4,FALSE)*线下模式!$U10))*IF(O10="",0,VLOOKUP(O10,'⚪设计'!$C$85:$G$101,4,FALSE)),0)</f>
        <v>0</v>
      </c>
      <c r="T10" s="88" t="str">
        <f>IF(VLOOKUP(A10,'⚪设计'!$A$228:$G$247,7,FALSE)="","",VLOOKUP(VLOOKUP(A10,'⚪设计'!$A$228:$G$247,7,FALSE),'⚪设计'!$B$85:$D$101,2,FALSE))</f>
        <v/>
      </c>
      <c r="U10" s="88">
        <f t="shared" si="3"/>
        <v>0</v>
      </c>
      <c r="V10" s="7">
        <f>'⚪设计'!K235</f>
        <v>0</v>
      </c>
      <c r="W10" s="88">
        <f>IF(T10="",0,ROUND(VLOOKUP($A10,'⚪设计'!$A$228:$B$247,2,FALSE)*$B10/SUM(IF($E10="",0,VLOOKUP($E10,'⚪设计'!$C$85:$E$101,3,FALSE))*$F10,IF($J10="",0,VLOOKUP($J10,'⚪设计'!$C$85:$E$101,3,FALSE))*$K10,IF($O10="",0,VLOOKUP($O10,'⚪设计'!$C$85:$E$101,3,FALSE))*$P10,IF($T10="",0,VLOOKUP($T10,'⚪设计'!$C$85:$E$101,3,FALSE))*$U10)*VLOOKUP(T10,'⚪设计'!$C$85:$E$101,3,FALSE),0))</f>
        <v>0</v>
      </c>
      <c r="X10" s="88">
        <f>ROUND(战斗节奏!$B$3/SUM(IF(线下模式!$E10="",0,VLOOKUP(线下模式!$E10,'⚪设计'!$C$85:$G$101,4,FALSE)*线下模式!$F10),IF(线下模式!$J10="",0,VLOOKUP(线下模式!$J10,'⚪设计'!$C$85:$G$101,4,FALSE)*线下模式!$K10),IF(线下模式!$O10="",0,VLOOKUP(线下模式!$O10,'⚪设计'!$C$85:$G$101,4,FALSE)*线下模式!$P10),IF(线下模式!$T10="",0,VLOOKUP(线下模式!$T10,'⚪设计'!$C$85:$G$101,4,FALSE)*线下模式!$U10))*IF(T10="",0,VLOOKUP(T10,'⚪设计'!$C$85:$G$101,4,FALSE)),0)</f>
        <v>0</v>
      </c>
    </row>
    <row r="11" spans="1:24" x14ac:dyDescent="0.2">
      <c r="A11" s="84">
        <v>9</v>
      </c>
      <c r="B11" s="88">
        <f>MAX(MIN(战斗节奏!$C$3-INT(A11/'⚪设计'!$C$55),MOD(A11,'⚪设计'!$C$55)),0)*'⚪设计'!$C$79*防御塔!$C$2+MIN(INT(A11/'⚪设计'!$C$55),战斗节奏!$C$3)*'⚪设计'!$C$80*防御塔!$C$2</f>
        <v>10800</v>
      </c>
      <c r="C11" s="7">
        <v>1.4</v>
      </c>
      <c r="D11" s="7">
        <v>18</v>
      </c>
      <c r="E11" s="71" t="str">
        <f>IF(VLOOKUP(A11,'⚪设计'!$A$228:$G$247,4,FALSE)="","",VLOOKUP(VLOOKUP(A11,'⚪设计'!$A$228:$G$247,4,FALSE),'⚪设计'!$B$85:$D$101,2,FALSE))</f>
        <v>ResUnit_MiFeng2</v>
      </c>
      <c r="F11" s="88">
        <f t="shared" si="0"/>
        <v>90</v>
      </c>
      <c r="G11" s="7">
        <f>'⚪设计'!H236</f>
        <v>0.2</v>
      </c>
      <c r="H11" s="88">
        <f>IF(E11="",0,ROUND(VLOOKUP($A11,'⚪设计'!$A$228:$B$247,2,FALSE)*$B11/SUM(IF($E11="",0,VLOOKUP($E11,'⚪设计'!$C$85:$E$101,3,FALSE))*$F11,IF($J11="",0,VLOOKUP($J11,'⚪设计'!$C$85:$E$101,3,FALSE))*$K11,IF($O11="",0,VLOOKUP($O11,'⚪设计'!$C$85:$E$101,3,FALSE))*$P11,IF($T11="",0,VLOOKUP($T11,'⚪设计'!$C$85:$E$101,3,FALSE))*$U11)*VLOOKUP(E11,'⚪设计'!$C$85:$E$101,3,FALSE),0))</f>
        <v>2455</v>
      </c>
      <c r="I11" s="88">
        <f>ROUND(战斗节奏!$B$3/SUM(IF(线下模式!$E11="",0,VLOOKUP(线下模式!$E11,'⚪设计'!$C$85:$G$101,4,FALSE)*线下模式!$F11),IF(线下模式!$J11="",0,VLOOKUP(线下模式!$J11,'⚪设计'!$C$85:$G$101,4,FALSE)*线下模式!$K11),IF(线下模式!$O11="",0,VLOOKUP(线下模式!$O11,'⚪设计'!$C$85:$G$101,4,FALSE)*线下模式!$P11),IF(线下模式!$T11="",0,VLOOKUP(线下模式!$T11,'⚪设计'!$C$85:$G$101,4,FALSE)*线下模式!$U11))*IF(E11="",0,VLOOKUP(E11,'⚪设计'!$C$85:$G$101,4,FALSE)),0)</f>
        <v>6</v>
      </c>
      <c r="J11" s="88" t="str">
        <f>IF(VLOOKUP(A11,'⚪设计'!$A$228:$G$247,5,FALSE)="","",VLOOKUP(VLOOKUP(A11,'⚪设计'!$A$228:$G$247,5,FALSE),'⚪设计'!$B$85:$D$101,2,FALSE))</f>
        <v>ResUnit_ZhongZi1</v>
      </c>
      <c r="K11" s="88">
        <f t="shared" si="1"/>
        <v>6</v>
      </c>
      <c r="L11" s="7">
        <f>'⚪设计'!I236</f>
        <v>3</v>
      </c>
      <c r="M11" s="88">
        <f>IF(J11="",0,ROUND(VLOOKUP($A11,'⚪设计'!$A$228:$B$247,2,FALSE)*$B11/SUM(IF($E11="",0,VLOOKUP($E11,'⚪设计'!$C$85:$E$101,3,FALSE))*$F11,IF($J11="",0,VLOOKUP($J11,'⚪设计'!$C$85:$E$101,3,FALSE))*$K11,IF($O11="",0,VLOOKUP($O11,'⚪设计'!$C$85:$E$101,3,FALSE))*$P11,IF($T11="",0,VLOOKUP($T11,'⚪设计'!$C$85:$E$101,3,FALSE))*$U11)*VLOOKUP(J11,'⚪设计'!$C$85:$E$101,3,FALSE),0))</f>
        <v>3682</v>
      </c>
      <c r="N11" s="88">
        <f>ROUND(战斗节奏!$B$3/SUM(IF(线下模式!$E11="",0,VLOOKUP(线下模式!$E11,'⚪设计'!$C$85:$G$101,4,FALSE)*线下模式!$F11),IF(线下模式!$J11="",0,VLOOKUP(线下模式!$J11,'⚪设计'!$C$85:$G$101,4,FALSE)*线下模式!$K11),IF(线下模式!$O11="",0,VLOOKUP(线下模式!$O11,'⚪设计'!$C$85:$G$101,4,FALSE)*线下模式!$P11),IF(线下模式!$T11="",0,VLOOKUP(线下模式!$T11,'⚪设计'!$C$85:$G$101,4,FALSE)*线下模式!$U11))*IF(J11="",0,VLOOKUP(J11,'⚪设计'!$C$85:$G$101,4,FALSE)),0)</f>
        <v>6</v>
      </c>
      <c r="O11" s="71" t="str">
        <f>IF(VLOOKUP(A11,'⚪设计'!$A$228:$G$247,6,FALSE)="","",VLOOKUP(VLOOKUP(A11,'⚪设计'!$A$228:$G$247,6,FALSE),'⚪设计'!$B$85:$D$101,2,FALSE))</f>
        <v/>
      </c>
      <c r="P11" s="88">
        <f t="shared" si="2"/>
        <v>0</v>
      </c>
      <c r="Q11" s="7">
        <f>'⚪设计'!J236</f>
        <v>0</v>
      </c>
      <c r="R11" s="88">
        <f>IF(O11="",0,ROUND(VLOOKUP($A11,'⚪设计'!$A$228:$B$247,2,FALSE)*$B11/SUM(IF($E11="",0,VLOOKUP($E11,'⚪设计'!$C$85:$E$101,3,FALSE))*$F11,IF($J11="",0,VLOOKUP($J11,'⚪设计'!$C$85:$E$101,3,FALSE))*$K11,IF($O11="",0,VLOOKUP($O11,'⚪设计'!$C$85:$E$101,3,FALSE))*$P11,IF($T11="",0,VLOOKUP($T11,'⚪设计'!$C$85:$E$101,3,FALSE))*$U11)*VLOOKUP(O11,'⚪设计'!$C$85:$E$101,3,FALSE),0))</f>
        <v>0</v>
      </c>
      <c r="S11" s="88">
        <f>ROUND(战斗节奏!$B$3/SUM(IF(线下模式!$E11="",0,VLOOKUP(线下模式!$E11,'⚪设计'!$C$85:$G$101,4,FALSE)*线下模式!$F11),IF(线下模式!$J11="",0,VLOOKUP(线下模式!$J11,'⚪设计'!$C$85:$G$101,4,FALSE)*线下模式!$K11),IF(线下模式!$O11="",0,VLOOKUP(线下模式!$O11,'⚪设计'!$C$85:$G$101,4,FALSE)*线下模式!$P11),IF(线下模式!$T11="",0,VLOOKUP(线下模式!$T11,'⚪设计'!$C$85:$G$101,4,FALSE)*线下模式!$U11))*IF(O11="",0,VLOOKUP(O11,'⚪设计'!$C$85:$G$101,4,FALSE)),0)</f>
        <v>0</v>
      </c>
      <c r="T11" s="88" t="str">
        <f>IF(VLOOKUP(A11,'⚪设计'!$A$228:$G$247,7,FALSE)="","",VLOOKUP(VLOOKUP(A11,'⚪设计'!$A$228:$G$247,7,FALSE),'⚪设计'!$B$85:$D$101,2,FALSE))</f>
        <v/>
      </c>
      <c r="U11" s="88">
        <f t="shared" si="3"/>
        <v>0</v>
      </c>
      <c r="V11" s="7">
        <f>'⚪设计'!K236</f>
        <v>0</v>
      </c>
      <c r="W11" s="88">
        <f>IF(T11="",0,ROUND(VLOOKUP($A11,'⚪设计'!$A$228:$B$247,2,FALSE)*$B11/SUM(IF($E11="",0,VLOOKUP($E11,'⚪设计'!$C$85:$E$101,3,FALSE))*$F11,IF($J11="",0,VLOOKUP($J11,'⚪设计'!$C$85:$E$101,3,FALSE))*$K11,IF($O11="",0,VLOOKUP($O11,'⚪设计'!$C$85:$E$101,3,FALSE))*$P11,IF($T11="",0,VLOOKUP($T11,'⚪设计'!$C$85:$E$101,3,FALSE))*$U11)*VLOOKUP(T11,'⚪设计'!$C$85:$E$101,3,FALSE),0))</f>
        <v>0</v>
      </c>
      <c r="X11" s="88">
        <f>ROUND(战斗节奏!$B$3/SUM(IF(线下模式!$E11="",0,VLOOKUP(线下模式!$E11,'⚪设计'!$C$85:$G$101,4,FALSE)*线下模式!$F11),IF(线下模式!$J11="",0,VLOOKUP(线下模式!$J11,'⚪设计'!$C$85:$G$101,4,FALSE)*线下模式!$K11),IF(线下模式!$O11="",0,VLOOKUP(线下模式!$O11,'⚪设计'!$C$85:$G$101,4,FALSE)*线下模式!$P11),IF(线下模式!$T11="",0,VLOOKUP(线下模式!$T11,'⚪设计'!$C$85:$G$101,4,FALSE)*线下模式!$U11))*IF(T11="",0,VLOOKUP(T11,'⚪设计'!$C$85:$G$101,4,FALSE)),0)</f>
        <v>0</v>
      </c>
    </row>
    <row r="12" spans="1:24" x14ac:dyDescent="0.2">
      <c r="A12" s="84">
        <v>10</v>
      </c>
      <c r="B12" s="88">
        <f>MAX(MIN(战斗节奏!$C$3-INT(A12/'⚪设计'!$C$55),MOD(A12,'⚪设计'!$C$55)),0)*'⚪设计'!$C$79*防御塔!$C$2+MIN(INT(A12/'⚪设计'!$C$55),战斗节奏!$C$3)*'⚪设计'!$C$80*防御塔!$C$2</f>
        <v>11700</v>
      </c>
      <c r="C12" s="7">
        <v>1.45</v>
      </c>
      <c r="D12" s="7">
        <v>19</v>
      </c>
      <c r="E12" s="71" t="str">
        <f>IF(VLOOKUP(A12,'⚪设计'!$A$228:$G$247,4,FALSE)="","",VLOOKUP(VLOOKUP(A12,'⚪设计'!$A$228:$G$247,4,FALSE),'⚪设计'!$B$85:$D$101,2,FALSE))</f>
        <v>ResUnit_ZhongZi1</v>
      </c>
      <c r="F12" s="88">
        <f t="shared" si="0"/>
        <v>6</v>
      </c>
      <c r="G12" s="7">
        <f>'⚪设计'!H237</f>
        <v>3</v>
      </c>
      <c r="H12" s="88">
        <f>IF(E12="",0,ROUND(VLOOKUP($A12,'⚪设计'!$A$228:$B$247,2,FALSE)*$B12/SUM(IF($E12="",0,VLOOKUP($E12,'⚪设计'!$C$85:$E$101,3,FALSE))*$F12,IF($J12="",0,VLOOKUP($J12,'⚪设计'!$C$85:$E$101,3,FALSE))*$K12,IF($O12="",0,VLOOKUP($O12,'⚪设计'!$C$85:$E$101,3,FALSE))*$P12,IF($T12="",0,VLOOKUP($T12,'⚪设计'!$C$85:$E$101,3,FALSE))*$U12)*VLOOKUP(E12,'⚪设计'!$C$85:$E$101,3,FALSE),0))</f>
        <v>39257</v>
      </c>
      <c r="I12" s="88">
        <f>ROUND(战斗节奏!$B$3/SUM(IF(线下模式!$E12="",0,VLOOKUP(线下模式!$E12,'⚪设计'!$C$85:$G$101,4,FALSE)*线下模式!$F12),IF(线下模式!$J12="",0,VLOOKUP(线下模式!$J12,'⚪设计'!$C$85:$G$101,4,FALSE)*线下模式!$K12),IF(线下模式!$O12="",0,VLOOKUP(线下模式!$O12,'⚪设计'!$C$85:$G$101,4,FALSE)*线下模式!$P12),IF(线下模式!$T12="",0,VLOOKUP(线下模式!$T12,'⚪设计'!$C$85:$G$101,4,FALSE)*线下模式!$U12))*IF(E12="",0,VLOOKUP(E12,'⚪设计'!$C$85:$G$101,4,FALSE)),0)</f>
        <v>38</v>
      </c>
      <c r="J12" s="88" t="str">
        <f>IF(VLOOKUP(A12,'⚪设计'!$A$228:$G$247,5,FALSE)="","",VLOOKUP(VLOOKUP(A12,'⚪设计'!$A$228:$G$247,5,FALSE),'⚪设计'!$B$85:$D$101,2,FALSE))</f>
        <v>ResUnit_ZhiZhu3</v>
      </c>
      <c r="K12" s="88">
        <f t="shared" si="1"/>
        <v>1</v>
      </c>
      <c r="L12" s="7">
        <f>'⚪设计'!I237</f>
        <v>0</v>
      </c>
      <c r="M12" s="88">
        <f>IF(J12="",0,ROUND(VLOOKUP($A12,'⚪设计'!$A$228:$B$247,2,FALSE)*$B12/SUM(IF($E12="",0,VLOOKUP($E12,'⚪设计'!$C$85:$E$101,3,FALSE))*$F12,IF($J12="",0,VLOOKUP($J12,'⚪设计'!$C$85:$E$101,3,FALSE))*$K12,IF($O12="",0,VLOOKUP($O12,'⚪设计'!$C$85:$E$101,3,FALSE))*$P12,IF($T12="",0,VLOOKUP($T12,'⚪设计'!$C$85:$E$101,3,FALSE))*$U12)*VLOOKUP(J12,'⚪设计'!$C$85:$E$101,3,FALSE),0))</f>
        <v>261711</v>
      </c>
      <c r="N12" s="88">
        <f>ROUND(战斗节奏!$B$3/SUM(IF(线下模式!$E12="",0,VLOOKUP(线下模式!$E12,'⚪设计'!$C$85:$G$101,4,FALSE)*线下模式!$F12),IF(线下模式!$J12="",0,VLOOKUP(线下模式!$J12,'⚪设计'!$C$85:$G$101,4,FALSE)*线下模式!$K12),IF(线下模式!$O12="",0,VLOOKUP(线下模式!$O12,'⚪设计'!$C$85:$G$101,4,FALSE)*线下模式!$P12),IF(线下模式!$T12="",0,VLOOKUP(线下模式!$T12,'⚪设计'!$C$85:$G$101,4,FALSE)*线下模式!$U12))*IF(J12="",0,VLOOKUP(J12,'⚪设计'!$C$85:$G$101,4,FALSE)),0)</f>
        <v>375</v>
      </c>
      <c r="O12" s="71" t="str">
        <f>IF(VLOOKUP(A12,'⚪设计'!$A$228:$G$247,6,FALSE)="","",VLOOKUP(VLOOKUP(A12,'⚪设计'!$A$228:$G$247,6,FALSE),'⚪设计'!$B$85:$D$101,2,FALSE))</f>
        <v/>
      </c>
      <c r="P12" s="88">
        <f t="shared" si="2"/>
        <v>0</v>
      </c>
      <c r="Q12" s="7">
        <f>'⚪设计'!J237</f>
        <v>0</v>
      </c>
      <c r="R12" s="88">
        <f>IF(O12="",0,ROUND(VLOOKUP($A12,'⚪设计'!$A$228:$B$247,2,FALSE)*$B12/SUM(IF($E12="",0,VLOOKUP($E12,'⚪设计'!$C$85:$E$101,3,FALSE))*$F12,IF($J12="",0,VLOOKUP($J12,'⚪设计'!$C$85:$E$101,3,FALSE))*$K12,IF($O12="",0,VLOOKUP($O12,'⚪设计'!$C$85:$E$101,3,FALSE))*$P12,IF($T12="",0,VLOOKUP($T12,'⚪设计'!$C$85:$E$101,3,FALSE))*$U12)*VLOOKUP(O12,'⚪设计'!$C$85:$E$101,3,FALSE),0))</f>
        <v>0</v>
      </c>
      <c r="S12" s="88">
        <f>ROUND(战斗节奏!$B$3/SUM(IF(线下模式!$E12="",0,VLOOKUP(线下模式!$E12,'⚪设计'!$C$85:$G$101,4,FALSE)*线下模式!$F12),IF(线下模式!$J12="",0,VLOOKUP(线下模式!$J12,'⚪设计'!$C$85:$G$101,4,FALSE)*线下模式!$K12),IF(线下模式!$O12="",0,VLOOKUP(线下模式!$O12,'⚪设计'!$C$85:$G$101,4,FALSE)*线下模式!$P12),IF(线下模式!$T12="",0,VLOOKUP(线下模式!$T12,'⚪设计'!$C$85:$G$101,4,FALSE)*线下模式!$U12))*IF(O12="",0,VLOOKUP(O12,'⚪设计'!$C$85:$G$101,4,FALSE)),0)</f>
        <v>0</v>
      </c>
      <c r="T12" s="88" t="str">
        <f>IF(VLOOKUP(A12,'⚪设计'!$A$228:$G$247,7,FALSE)="","",VLOOKUP(VLOOKUP(A12,'⚪设计'!$A$228:$G$247,7,FALSE),'⚪设计'!$B$85:$D$101,2,FALSE))</f>
        <v/>
      </c>
      <c r="U12" s="88">
        <f t="shared" si="3"/>
        <v>0</v>
      </c>
      <c r="V12" s="7">
        <f>'⚪设计'!K237</f>
        <v>0</v>
      </c>
      <c r="W12" s="88">
        <f>IF(T12="",0,ROUND(VLOOKUP($A12,'⚪设计'!$A$228:$B$247,2,FALSE)*$B12/SUM(IF($E12="",0,VLOOKUP($E12,'⚪设计'!$C$85:$E$101,3,FALSE))*$F12,IF($J12="",0,VLOOKUP($J12,'⚪设计'!$C$85:$E$101,3,FALSE))*$K12,IF($O12="",0,VLOOKUP($O12,'⚪设计'!$C$85:$E$101,3,FALSE))*$P12,IF($T12="",0,VLOOKUP($T12,'⚪设计'!$C$85:$E$101,3,FALSE))*$U12)*VLOOKUP(T12,'⚪设计'!$C$85:$E$101,3,FALSE),0))</f>
        <v>0</v>
      </c>
      <c r="X12" s="88">
        <f>ROUND(战斗节奏!$B$3/SUM(IF(线下模式!$E12="",0,VLOOKUP(线下模式!$E12,'⚪设计'!$C$85:$G$101,4,FALSE)*线下模式!$F12),IF(线下模式!$J12="",0,VLOOKUP(线下模式!$J12,'⚪设计'!$C$85:$G$101,4,FALSE)*线下模式!$K12),IF(线下模式!$O12="",0,VLOOKUP(线下模式!$O12,'⚪设计'!$C$85:$G$101,4,FALSE)*线下模式!$P12),IF(线下模式!$T12="",0,VLOOKUP(线下模式!$T12,'⚪设计'!$C$85:$G$101,4,FALSE)*线下模式!$U12))*IF(T12="",0,VLOOKUP(T12,'⚪设计'!$C$85:$G$101,4,FALSE)),0)</f>
        <v>0</v>
      </c>
    </row>
    <row r="13" spans="1:24" x14ac:dyDescent="0.2">
      <c r="A13" s="84">
        <v>11</v>
      </c>
      <c r="B13" s="88">
        <f>MAX(MIN(战斗节奏!$C$3-INT(A13/'⚪设计'!$C$55),MOD(A13,'⚪设计'!$C$55)),0)*'⚪设计'!$C$79*防御塔!$C$2+MIN(INT(A13/'⚪设计'!$C$55),战斗节奏!$C$3)*'⚪设计'!$C$80*防御塔!$C$2</f>
        <v>12600</v>
      </c>
      <c r="C13" s="7">
        <v>1.5</v>
      </c>
      <c r="D13" s="7">
        <v>20</v>
      </c>
      <c r="E13" s="71" t="str">
        <f>IF(VLOOKUP(A13,'⚪设计'!$A$228:$G$247,4,FALSE)="","",VLOOKUP(VLOOKUP(A13,'⚪设计'!$A$228:$G$247,4,FALSE),'⚪设计'!$B$85:$D$101,2,FALSE))</f>
        <v>ResUnit_ZhongZi1</v>
      </c>
      <c r="F13" s="88">
        <f t="shared" si="0"/>
        <v>10</v>
      </c>
      <c r="G13" s="7">
        <f>'⚪设计'!H238</f>
        <v>2</v>
      </c>
      <c r="H13" s="88">
        <f>IF(E13="",0,ROUND(VLOOKUP($A13,'⚪设计'!$A$228:$B$247,2,FALSE)*$B13/SUM(IF($E13="",0,VLOOKUP($E13,'⚪设计'!$C$85:$E$101,3,FALSE))*$F13,IF($J13="",0,VLOOKUP($J13,'⚪设计'!$C$85:$E$101,3,FALSE))*$K13,IF($O13="",0,VLOOKUP($O13,'⚪设计'!$C$85:$E$101,3,FALSE))*$P13,IF($T13="",0,VLOOKUP($T13,'⚪设计'!$C$85:$E$101,3,FALSE))*$U13)*VLOOKUP(E13,'⚪设计'!$C$85:$E$101,3,FALSE),0))</f>
        <v>47250</v>
      </c>
      <c r="I13" s="88">
        <f>ROUND(战斗节奏!$B$3/SUM(IF(线下模式!$E13="",0,VLOOKUP(线下模式!$E13,'⚪设计'!$C$85:$G$101,4,FALSE)*线下模式!$F13),IF(线下模式!$J13="",0,VLOOKUP(线下模式!$J13,'⚪设计'!$C$85:$G$101,4,FALSE)*线下模式!$K13),IF(线下模式!$O13="",0,VLOOKUP(线下模式!$O13,'⚪设计'!$C$85:$G$101,4,FALSE)*线下模式!$P13),IF(线下模式!$T13="",0,VLOOKUP(线下模式!$T13,'⚪设计'!$C$85:$G$101,4,FALSE)*线下模式!$U13))*IF(E13="",0,VLOOKUP(E13,'⚪设计'!$C$85:$G$101,4,FALSE)),0)</f>
        <v>57</v>
      </c>
      <c r="J13" s="88" t="str">
        <f>IF(VLOOKUP(A13,'⚪设计'!$A$228:$G$247,5,FALSE)="","",VLOOKUP(VLOOKUP(A13,'⚪设计'!$A$228:$G$247,5,FALSE),'⚪设计'!$B$85:$D$101,2,FALSE))</f>
        <v>ResUnit_ZhiZhu2</v>
      </c>
      <c r="K13" s="88">
        <f t="shared" si="1"/>
        <v>1</v>
      </c>
      <c r="L13" s="7">
        <f>'⚪设计'!I238</f>
        <v>0</v>
      </c>
      <c r="M13" s="88">
        <f>IF(J13="",0,ROUND(VLOOKUP($A13,'⚪设计'!$A$228:$B$247,2,FALSE)*$B13/SUM(IF($E13="",0,VLOOKUP($E13,'⚪设计'!$C$85:$E$101,3,FALSE))*$F13,IF($J13="",0,VLOOKUP($J13,'⚪设计'!$C$85:$E$101,3,FALSE))*$K13,IF($O13="",0,VLOOKUP($O13,'⚪设计'!$C$85:$E$101,3,FALSE))*$P13,IF($T13="",0,VLOOKUP($T13,'⚪设计'!$C$85:$E$101,3,FALSE))*$U13)*VLOOKUP(J13,'⚪设计'!$C$85:$E$101,3,FALSE),0))</f>
        <v>31500</v>
      </c>
      <c r="N13" s="88">
        <f>ROUND(战斗节奏!$B$3/SUM(IF(线下模式!$E13="",0,VLOOKUP(线下模式!$E13,'⚪设计'!$C$85:$G$101,4,FALSE)*线下模式!$F13),IF(线下模式!$J13="",0,VLOOKUP(线下模式!$J13,'⚪设计'!$C$85:$G$101,4,FALSE)*线下模式!$K13),IF(线下模式!$O13="",0,VLOOKUP(线下模式!$O13,'⚪设计'!$C$85:$G$101,4,FALSE)*线下模式!$P13),IF(线下模式!$T13="",0,VLOOKUP(线下模式!$T13,'⚪设计'!$C$85:$G$101,4,FALSE)*线下模式!$U13))*IF(J13="",0,VLOOKUP(J13,'⚪设计'!$C$85:$G$101,4,FALSE)),0)</f>
        <v>29</v>
      </c>
      <c r="O13" s="71" t="str">
        <f>IF(VLOOKUP(A13,'⚪设计'!$A$228:$G$247,6,FALSE)="","",VLOOKUP(VLOOKUP(A13,'⚪设计'!$A$228:$G$247,6,FALSE),'⚪设计'!$B$85:$D$101,2,FALSE))</f>
        <v/>
      </c>
      <c r="P13" s="88">
        <f t="shared" si="2"/>
        <v>0</v>
      </c>
      <c r="Q13" s="7">
        <f>'⚪设计'!J238</f>
        <v>0</v>
      </c>
      <c r="R13" s="88">
        <f>IF(O13="",0,ROUND(VLOOKUP($A13,'⚪设计'!$A$228:$B$247,2,FALSE)*$B13/SUM(IF($E13="",0,VLOOKUP($E13,'⚪设计'!$C$85:$E$101,3,FALSE))*$F13,IF($J13="",0,VLOOKUP($J13,'⚪设计'!$C$85:$E$101,3,FALSE))*$K13,IF($O13="",0,VLOOKUP($O13,'⚪设计'!$C$85:$E$101,3,FALSE))*$P13,IF($T13="",0,VLOOKUP($T13,'⚪设计'!$C$85:$E$101,3,FALSE))*$U13)*VLOOKUP(O13,'⚪设计'!$C$85:$E$101,3,FALSE),0))</f>
        <v>0</v>
      </c>
      <c r="S13" s="88">
        <f>ROUND(战斗节奏!$B$3/SUM(IF(线下模式!$E13="",0,VLOOKUP(线下模式!$E13,'⚪设计'!$C$85:$G$101,4,FALSE)*线下模式!$F13),IF(线下模式!$J13="",0,VLOOKUP(线下模式!$J13,'⚪设计'!$C$85:$G$101,4,FALSE)*线下模式!$K13),IF(线下模式!$O13="",0,VLOOKUP(线下模式!$O13,'⚪设计'!$C$85:$G$101,4,FALSE)*线下模式!$P13),IF(线下模式!$T13="",0,VLOOKUP(线下模式!$T13,'⚪设计'!$C$85:$G$101,4,FALSE)*线下模式!$U13))*IF(O13="",0,VLOOKUP(O13,'⚪设计'!$C$85:$G$101,4,FALSE)),0)</f>
        <v>0</v>
      </c>
      <c r="T13" s="88" t="str">
        <f>IF(VLOOKUP(A13,'⚪设计'!$A$228:$G$247,7,FALSE)="","",VLOOKUP(VLOOKUP(A13,'⚪设计'!$A$228:$G$247,7,FALSE),'⚪设计'!$B$85:$D$101,2,FALSE))</f>
        <v/>
      </c>
      <c r="U13" s="88">
        <f t="shared" si="3"/>
        <v>0</v>
      </c>
      <c r="V13" s="7">
        <f>'⚪设计'!K238</f>
        <v>0</v>
      </c>
      <c r="W13" s="88">
        <f>IF(T13="",0,ROUND(VLOOKUP($A13,'⚪设计'!$A$228:$B$247,2,FALSE)*$B13/SUM(IF($E13="",0,VLOOKUP($E13,'⚪设计'!$C$85:$E$101,3,FALSE))*$F13,IF($J13="",0,VLOOKUP($J13,'⚪设计'!$C$85:$E$101,3,FALSE))*$K13,IF($O13="",0,VLOOKUP($O13,'⚪设计'!$C$85:$E$101,3,FALSE))*$P13,IF($T13="",0,VLOOKUP($T13,'⚪设计'!$C$85:$E$101,3,FALSE))*$U13)*VLOOKUP(T13,'⚪设计'!$C$85:$E$101,3,FALSE),0))</f>
        <v>0</v>
      </c>
      <c r="X13" s="88">
        <f>ROUND(战斗节奏!$B$3/SUM(IF(线下模式!$E13="",0,VLOOKUP(线下模式!$E13,'⚪设计'!$C$85:$G$101,4,FALSE)*线下模式!$F13),IF(线下模式!$J13="",0,VLOOKUP(线下模式!$J13,'⚪设计'!$C$85:$G$101,4,FALSE)*线下模式!$K13),IF(线下模式!$O13="",0,VLOOKUP(线下模式!$O13,'⚪设计'!$C$85:$G$101,4,FALSE)*线下模式!$P13),IF(线下模式!$T13="",0,VLOOKUP(线下模式!$T13,'⚪设计'!$C$85:$G$101,4,FALSE)*线下模式!$U13))*IF(T13="",0,VLOOKUP(T13,'⚪设计'!$C$85:$G$101,4,FALSE)),0)</f>
        <v>0</v>
      </c>
    </row>
    <row r="14" spans="1:24" x14ac:dyDescent="0.2">
      <c r="A14" s="84">
        <v>12</v>
      </c>
      <c r="B14" s="88">
        <f>MAX(MIN(战斗节奏!$C$3-INT(A14/'⚪设计'!$C$55),MOD(A14,'⚪设计'!$C$55)),0)*'⚪设计'!$C$79*防御塔!$C$2+MIN(INT(A14/'⚪设计'!$C$55),战斗节奏!$C$3)*'⚪设计'!$C$80*防御塔!$C$2</f>
        <v>14400</v>
      </c>
      <c r="C14" s="7">
        <v>1.55</v>
      </c>
      <c r="D14" s="7">
        <v>21</v>
      </c>
      <c r="E14" s="71" t="str">
        <f>IF(VLOOKUP(A14,'⚪设计'!$A$228:$G$247,4,FALSE)="","",VLOOKUP(VLOOKUP(A14,'⚪设计'!$A$228:$G$247,4,FALSE),'⚪设计'!$B$85:$D$101,2,FALSE))</f>
        <v>ResUnit_Gui1</v>
      </c>
      <c r="F14" s="88">
        <f t="shared" si="0"/>
        <v>14</v>
      </c>
      <c r="G14" s="7">
        <f>'⚪设计'!H239</f>
        <v>1.5</v>
      </c>
      <c r="H14" s="88">
        <f>IF(E14="",0,ROUND(VLOOKUP($A14,'⚪设计'!$A$228:$B$247,2,FALSE)*$B14/SUM(IF($E14="",0,VLOOKUP($E14,'⚪设计'!$C$85:$E$101,3,FALSE))*$F14,IF($J14="",0,VLOOKUP($J14,'⚪设计'!$C$85:$E$101,3,FALSE))*$K14,IF($O14="",0,VLOOKUP($O14,'⚪设计'!$C$85:$E$101,3,FALSE))*$P14,IF($T14="",0,VLOOKUP($T14,'⚪设计'!$C$85:$E$101,3,FALSE))*$U14)*VLOOKUP(E14,'⚪设计'!$C$85:$E$101,3,FALSE),0))</f>
        <v>46286</v>
      </c>
      <c r="I14" s="88">
        <f>ROUND(战斗节奏!$B$3/SUM(IF(线下模式!$E14="",0,VLOOKUP(线下模式!$E14,'⚪设计'!$C$85:$G$101,4,FALSE)*线下模式!$F14),IF(线下模式!$J14="",0,VLOOKUP(线下模式!$J14,'⚪设计'!$C$85:$G$101,4,FALSE)*线下模式!$K14),IF(线下模式!$O14="",0,VLOOKUP(线下模式!$O14,'⚪设计'!$C$85:$G$101,4,FALSE)*线下模式!$P14),IF(线下模式!$T14="",0,VLOOKUP(线下模式!$T14,'⚪设计'!$C$85:$G$101,4,FALSE)*线下模式!$U14))*IF(E14="",0,VLOOKUP(E14,'⚪设计'!$C$85:$G$101,4,FALSE)),0)</f>
        <v>43</v>
      </c>
      <c r="J14" s="88" t="str">
        <f>IF(VLOOKUP(A14,'⚪设计'!$A$228:$G$247,5,FALSE)="","",VLOOKUP(VLOOKUP(A14,'⚪设计'!$A$228:$G$247,5,FALSE),'⚪设计'!$B$85:$D$101,2,FALSE))</f>
        <v/>
      </c>
      <c r="K14" s="88">
        <f t="shared" si="1"/>
        <v>0</v>
      </c>
      <c r="L14" s="7">
        <f>'⚪设计'!I239</f>
        <v>0</v>
      </c>
      <c r="M14" s="88">
        <f>IF(J14="",0,ROUND(VLOOKUP($A14,'⚪设计'!$A$228:$B$247,2,FALSE)*$B14/SUM(IF($E14="",0,VLOOKUP($E14,'⚪设计'!$C$85:$E$101,3,FALSE))*$F14,IF($J14="",0,VLOOKUP($J14,'⚪设计'!$C$85:$E$101,3,FALSE))*$K14,IF($O14="",0,VLOOKUP($O14,'⚪设计'!$C$85:$E$101,3,FALSE))*$P14,IF($T14="",0,VLOOKUP($T14,'⚪设计'!$C$85:$E$101,3,FALSE))*$U14)*VLOOKUP(J14,'⚪设计'!$C$85:$E$101,3,FALSE),0))</f>
        <v>0</v>
      </c>
      <c r="N14" s="88">
        <f>ROUND(战斗节奏!$B$3/SUM(IF(线下模式!$E14="",0,VLOOKUP(线下模式!$E14,'⚪设计'!$C$85:$G$101,4,FALSE)*线下模式!$F14),IF(线下模式!$J14="",0,VLOOKUP(线下模式!$J14,'⚪设计'!$C$85:$G$101,4,FALSE)*线下模式!$K14),IF(线下模式!$O14="",0,VLOOKUP(线下模式!$O14,'⚪设计'!$C$85:$G$101,4,FALSE)*线下模式!$P14),IF(线下模式!$T14="",0,VLOOKUP(线下模式!$T14,'⚪设计'!$C$85:$G$101,4,FALSE)*线下模式!$U14))*IF(J14="",0,VLOOKUP(J14,'⚪设计'!$C$85:$G$101,4,FALSE)),0)</f>
        <v>0</v>
      </c>
      <c r="O14" s="71" t="str">
        <f>IF(VLOOKUP(A14,'⚪设计'!$A$228:$G$247,6,FALSE)="","",VLOOKUP(VLOOKUP(A14,'⚪设计'!$A$228:$G$247,6,FALSE),'⚪设计'!$B$85:$D$101,2,FALSE))</f>
        <v/>
      </c>
      <c r="P14" s="88">
        <f t="shared" si="2"/>
        <v>0</v>
      </c>
      <c r="Q14" s="7">
        <f>'⚪设计'!J239</f>
        <v>0</v>
      </c>
      <c r="R14" s="88">
        <f>IF(O14="",0,ROUND(VLOOKUP($A14,'⚪设计'!$A$228:$B$247,2,FALSE)*$B14/SUM(IF($E14="",0,VLOOKUP($E14,'⚪设计'!$C$85:$E$101,3,FALSE))*$F14,IF($J14="",0,VLOOKUP($J14,'⚪设计'!$C$85:$E$101,3,FALSE))*$K14,IF($O14="",0,VLOOKUP($O14,'⚪设计'!$C$85:$E$101,3,FALSE))*$P14,IF($T14="",0,VLOOKUP($T14,'⚪设计'!$C$85:$E$101,3,FALSE))*$U14)*VLOOKUP(O14,'⚪设计'!$C$85:$E$101,3,FALSE),0))</f>
        <v>0</v>
      </c>
      <c r="S14" s="88">
        <f>ROUND(战斗节奏!$B$3/SUM(IF(线下模式!$E14="",0,VLOOKUP(线下模式!$E14,'⚪设计'!$C$85:$G$101,4,FALSE)*线下模式!$F14),IF(线下模式!$J14="",0,VLOOKUP(线下模式!$J14,'⚪设计'!$C$85:$G$101,4,FALSE)*线下模式!$K14),IF(线下模式!$O14="",0,VLOOKUP(线下模式!$O14,'⚪设计'!$C$85:$G$101,4,FALSE)*线下模式!$P14),IF(线下模式!$T14="",0,VLOOKUP(线下模式!$T14,'⚪设计'!$C$85:$G$101,4,FALSE)*线下模式!$U14))*IF(O14="",0,VLOOKUP(O14,'⚪设计'!$C$85:$G$101,4,FALSE)),0)</f>
        <v>0</v>
      </c>
      <c r="T14" s="88" t="str">
        <f>IF(VLOOKUP(A14,'⚪设计'!$A$228:$G$247,7,FALSE)="","",VLOOKUP(VLOOKUP(A14,'⚪设计'!$A$228:$G$247,7,FALSE),'⚪设计'!$B$85:$D$101,2,FALSE))</f>
        <v/>
      </c>
      <c r="U14" s="88">
        <f t="shared" si="3"/>
        <v>0</v>
      </c>
      <c r="V14" s="7">
        <f>'⚪设计'!K239</f>
        <v>0</v>
      </c>
      <c r="W14" s="88">
        <f>IF(T14="",0,ROUND(VLOOKUP($A14,'⚪设计'!$A$228:$B$247,2,FALSE)*$B14/SUM(IF($E14="",0,VLOOKUP($E14,'⚪设计'!$C$85:$E$101,3,FALSE))*$F14,IF($J14="",0,VLOOKUP($J14,'⚪设计'!$C$85:$E$101,3,FALSE))*$K14,IF($O14="",0,VLOOKUP($O14,'⚪设计'!$C$85:$E$101,3,FALSE))*$P14,IF($T14="",0,VLOOKUP($T14,'⚪设计'!$C$85:$E$101,3,FALSE))*$U14)*VLOOKUP(T14,'⚪设计'!$C$85:$E$101,3,FALSE),0))</f>
        <v>0</v>
      </c>
      <c r="X14" s="88">
        <f>ROUND(战斗节奏!$B$3/SUM(IF(线下模式!$E14="",0,VLOOKUP(线下模式!$E14,'⚪设计'!$C$85:$G$101,4,FALSE)*线下模式!$F14),IF(线下模式!$J14="",0,VLOOKUP(线下模式!$J14,'⚪设计'!$C$85:$G$101,4,FALSE)*线下模式!$K14),IF(线下模式!$O14="",0,VLOOKUP(线下模式!$O14,'⚪设计'!$C$85:$G$101,4,FALSE)*线下模式!$P14),IF(线下模式!$T14="",0,VLOOKUP(线下模式!$T14,'⚪设计'!$C$85:$G$101,4,FALSE)*线下模式!$U14))*IF(T14="",0,VLOOKUP(T14,'⚪设计'!$C$85:$G$101,4,FALSE)),0)</f>
        <v>0</v>
      </c>
    </row>
    <row r="15" spans="1:24" x14ac:dyDescent="0.2">
      <c r="A15" s="84">
        <v>13</v>
      </c>
      <c r="B15" s="88">
        <f>MAX(MIN(战斗节奏!$C$3-INT(A15/'⚪设计'!$C$55),MOD(A15,'⚪设计'!$C$55)),0)*'⚪设计'!$C$79*防御塔!$C$2+MIN(INT(A15/'⚪设计'!$C$55),战斗节奏!$C$3)*'⚪设计'!$C$80*防御塔!$C$2</f>
        <v>15300</v>
      </c>
      <c r="C15" s="7">
        <v>1.6</v>
      </c>
      <c r="D15" s="7">
        <v>22</v>
      </c>
      <c r="E15" s="71" t="str">
        <f>IF(VLOOKUP(A15,'⚪设计'!$A$228:$G$247,4,FALSE)="","",VLOOKUP(VLOOKUP(A15,'⚪设计'!$A$228:$G$247,4,FALSE),'⚪设计'!$B$85:$D$101,2,FALSE))</f>
        <v>ResUnit_Gui1</v>
      </c>
      <c r="F15" s="88">
        <f t="shared" si="0"/>
        <v>15</v>
      </c>
      <c r="G15" s="7">
        <f>'⚪设计'!H240</f>
        <v>1.5</v>
      </c>
      <c r="H15" s="88">
        <f>IF(E15="",0,ROUND(VLOOKUP($A15,'⚪设计'!$A$228:$B$247,2,FALSE)*$B15/SUM(IF($E15="",0,VLOOKUP($E15,'⚪设计'!$C$85:$E$101,3,FALSE))*$F15,IF($J15="",0,VLOOKUP($J15,'⚪设计'!$C$85:$E$101,3,FALSE))*$K15,IF($O15="",0,VLOOKUP($O15,'⚪设计'!$C$85:$E$101,3,FALSE))*$P15,IF($T15="",0,VLOOKUP($T15,'⚪设计'!$C$85:$E$101,3,FALSE))*$U15)*VLOOKUP(E15,'⚪设计'!$C$85:$E$101,3,FALSE),0))</f>
        <v>17000</v>
      </c>
      <c r="I15" s="88">
        <f>ROUND(战斗节奏!$B$3/SUM(IF(线下模式!$E15="",0,VLOOKUP(线下模式!$E15,'⚪设计'!$C$85:$G$101,4,FALSE)*线下模式!$F15),IF(线下模式!$J15="",0,VLOOKUP(线下模式!$J15,'⚪设计'!$C$85:$G$101,4,FALSE)*线下模式!$K15),IF(线下模式!$O15="",0,VLOOKUP(线下模式!$O15,'⚪设计'!$C$85:$G$101,4,FALSE)*线下模式!$P15),IF(线下模式!$T15="",0,VLOOKUP(线下模式!$T15,'⚪设计'!$C$85:$G$101,4,FALSE)*线下模式!$U15))*IF(E15="",0,VLOOKUP(E15,'⚪设计'!$C$85:$G$101,4,FALSE)),0)</f>
        <v>20</v>
      </c>
      <c r="J15" s="88" t="str">
        <f>IF(VLOOKUP(A15,'⚪设计'!$A$228:$G$247,5,FALSE)="","",VLOOKUP(VLOOKUP(A15,'⚪设计'!$A$228:$G$247,5,FALSE),'⚪设计'!$B$85:$D$101,2,FALSE))</f>
        <v>ResUnit_ZhiZhu2</v>
      </c>
      <c r="K15" s="88">
        <f t="shared" si="1"/>
        <v>15</v>
      </c>
      <c r="L15" s="7">
        <f>'⚪设计'!I240</f>
        <v>1.5</v>
      </c>
      <c r="M15" s="88">
        <f>IF(J15="",0,ROUND(VLOOKUP($A15,'⚪设计'!$A$228:$B$247,2,FALSE)*$B15/SUM(IF($E15="",0,VLOOKUP($E15,'⚪设计'!$C$85:$E$101,3,FALSE))*$F15,IF($J15="",0,VLOOKUP($J15,'⚪设计'!$C$85:$E$101,3,FALSE))*$K15,IF($O15="",0,VLOOKUP($O15,'⚪设计'!$C$85:$E$101,3,FALSE))*$P15,IF($T15="",0,VLOOKUP($T15,'⚪设计'!$C$85:$E$101,3,FALSE))*$U15)*VLOOKUP(J15,'⚪设计'!$C$85:$E$101,3,FALSE),0))</f>
        <v>34000</v>
      </c>
      <c r="N15" s="88">
        <f>ROUND(战斗节奏!$B$3/SUM(IF(线下模式!$E15="",0,VLOOKUP(线下模式!$E15,'⚪设计'!$C$85:$G$101,4,FALSE)*线下模式!$F15),IF(线下模式!$J15="",0,VLOOKUP(线下模式!$J15,'⚪设计'!$C$85:$G$101,4,FALSE)*线下模式!$K15),IF(线下模式!$O15="",0,VLOOKUP(线下模式!$O15,'⚪设计'!$C$85:$G$101,4,FALSE)*线下模式!$P15),IF(线下模式!$T15="",0,VLOOKUP(线下模式!$T15,'⚪设计'!$C$85:$G$101,4,FALSE)*线下模式!$U15))*IF(J15="",0,VLOOKUP(J15,'⚪设计'!$C$85:$G$101,4,FALSE)),0)</f>
        <v>20</v>
      </c>
      <c r="O15" s="71" t="str">
        <f>IF(VLOOKUP(A15,'⚪设计'!$A$228:$G$247,6,FALSE)="","",VLOOKUP(VLOOKUP(A15,'⚪设计'!$A$228:$G$247,6,FALSE),'⚪设计'!$B$85:$D$101,2,FALSE))</f>
        <v/>
      </c>
      <c r="P15" s="88">
        <f t="shared" si="2"/>
        <v>0</v>
      </c>
      <c r="Q15" s="7">
        <f>'⚪设计'!J240</f>
        <v>0</v>
      </c>
      <c r="R15" s="88">
        <f>IF(O15="",0,ROUND(VLOOKUP($A15,'⚪设计'!$A$228:$B$247,2,FALSE)*$B15/SUM(IF($E15="",0,VLOOKUP($E15,'⚪设计'!$C$85:$E$101,3,FALSE))*$F15,IF($J15="",0,VLOOKUP($J15,'⚪设计'!$C$85:$E$101,3,FALSE))*$K15,IF($O15="",0,VLOOKUP($O15,'⚪设计'!$C$85:$E$101,3,FALSE))*$P15,IF($T15="",0,VLOOKUP($T15,'⚪设计'!$C$85:$E$101,3,FALSE))*$U15)*VLOOKUP(O15,'⚪设计'!$C$85:$E$101,3,FALSE),0))</f>
        <v>0</v>
      </c>
      <c r="S15" s="88">
        <f>ROUND(战斗节奏!$B$3/SUM(IF(线下模式!$E15="",0,VLOOKUP(线下模式!$E15,'⚪设计'!$C$85:$G$101,4,FALSE)*线下模式!$F15),IF(线下模式!$J15="",0,VLOOKUP(线下模式!$J15,'⚪设计'!$C$85:$G$101,4,FALSE)*线下模式!$K15),IF(线下模式!$O15="",0,VLOOKUP(线下模式!$O15,'⚪设计'!$C$85:$G$101,4,FALSE)*线下模式!$P15),IF(线下模式!$T15="",0,VLOOKUP(线下模式!$T15,'⚪设计'!$C$85:$G$101,4,FALSE)*线下模式!$U15))*IF(O15="",0,VLOOKUP(O15,'⚪设计'!$C$85:$G$101,4,FALSE)),0)</f>
        <v>0</v>
      </c>
      <c r="T15" s="88" t="str">
        <f>IF(VLOOKUP(A15,'⚪设计'!$A$228:$G$247,7,FALSE)="","",VLOOKUP(VLOOKUP(A15,'⚪设计'!$A$228:$G$247,7,FALSE),'⚪设计'!$B$85:$D$101,2,FALSE))</f>
        <v/>
      </c>
      <c r="U15" s="88">
        <f t="shared" si="3"/>
        <v>0</v>
      </c>
      <c r="V15" s="7">
        <f>'⚪设计'!K240</f>
        <v>0</v>
      </c>
      <c r="W15" s="88">
        <f>IF(T15="",0,ROUND(VLOOKUP($A15,'⚪设计'!$A$228:$B$247,2,FALSE)*$B15/SUM(IF($E15="",0,VLOOKUP($E15,'⚪设计'!$C$85:$E$101,3,FALSE))*$F15,IF($J15="",0,VLOOKUP($J15,'⚪设计'!$C$85:$E$101,3,FALSE))*$K15,IF($O15="",0,VLOOKUP($O15,'⚪设计'!$C$85:$E$101,3,FALSE))*$P15,IF($T15="",0,VLOOKUP($T15,'⚪设计'!$C$85:$E$101,3,FALSE))*$U15)*VLOOKUP(T15,'⚪设计'!$C$85:$E$101,3,FALSE),0))</f>
        <v>0</v>
      </c>
      <c r="X15" s="88">
        <f>ROUND(战斗节奏!$B$3/SUM(IF(线下模式!$E15="",0,VLOOKUP(线下模式!$E15,'⚪设计'!$C$85:$G$101,4,FALSE)*线下模式!$F15),IF(线下模式!$J15="",0,VLOOKUP(线下模式!$J15,'⚪设计'!$C$85:$G$101,4,FALSE)*线下模式!$K15),IF(线下模式!$O15="",0,VLOOKUP(线下模式!$O15,'⚪设计'!$C$85:$G$101,4,FALSE)*线下模式!$P15),IF(线下模式!$T15="",0,VLOOKUP(线下模式!$T15,'⚪设计'!$C$85:$G$101,4,FALSE)*线下模式!$U15))*IF(T15="",0,VLOOKUP(T15,'⚪设计'!$C$85:$G$101,4,FALSE)),0)</f>
        <v>0</v>
      </c>
    </row>
    <row r="16" spans="1:24" x14ac:dyDescent="0.2">
      <c r="A16" s="84">
        <v>14</v>
      </c>
      <c r="B16" s="88">
        <f>MAX(MIN(战斗节奏!$C$3-INT(A16/'⚪设计'!$C$55),MOD(A16,'⚪设计'!$C$55)),0)*'⚪设计'!$C$79*防御塔!$C$2+MIN(INT(A16/'⚪设计'!$C$55),战斗节奏!$C$3)*'⚪设计'!$C$80*防御塔!$C$2</f>
        <v>16200</v>
      </c>
      <c r="C16" s="7">
        <v>1.65</v>
      </c>
      <c r="D16" s="7">
        <v>23</v>
      </c>
      <c r="E16" s="71" t="str">
        <f>IF(VLOOKUP(A16,'⚪设计'!$A$228:$G$247,4,FALSE)="","",VLOOKUP(VLOOKUP(A16,'⚪设计'!$A$228:$G$247,4,FALSE),'⚪设计'!$B$85:$D$101,2,FALSE))</f>
        <v>ResUnit_Gui1</v>
      </c>
      <c r="F16" s="88">
        <f t="shared" si="0"/>
        <v>31</v>
      </c>
      <c r="G16" s="7">
        <f>'⚪设计'!H241</f>
        <v>0.75</v>
      </c>
      <c r="H16" s="88">
        <f>IF(E16="",0,ROUND(VLOOKUP($A16,'⚪设计'!$A$228:$B$247,2,FALSE)*$B16/SUM(IF($E16="",0,VLOOKUP($E16,'⚪设计'!$C$85:$E$101,3,FALSE))*$F16,IF($J16="",0,VLOOKUP($J16,'⚪设计'!$C$85:$E$101,3,FALSE))*$K16,IF($O16="",0,VLOOKUP($O16,'⚪设计'!$C$85:$E$101,3,FALSE))*$P16,IF($T16="",0,VLOOKUP($T16,'⚪设计'!$C$85:$E$101,3,FALSE))*$U16)*VLOOKUP(E16,'⚪设计'!$C$85:$E$101,3,FALSE),0))</f>
        <v>11278</v>
      </c>
      <c r="I16" s="88">
        <f>ROUND(战斗节奏!$B$3/SUM(IF(线下模式!$E16="",0,VLOOKUP(线下模式!$E16,'⚪设计'!$C$85:$G$101,4,FALSE)*线下模式!$F16),IF(线下模式!$J16="",0,VLOOKUP(线下模式!$J16,'⚪设计'!$C$85:$G$101,4,FALSE)*线下模式!$K16),IF(线下模式!$O16="",0,VLOOKUP(线下模式!$O16,'⚪设计'!$C$85:$G$101,4,FALSE)*线下模式!$P16),IF(线下模式!$T16="",0,VLOOKUP(线下模式!$T16,'⚪设计'!$C$85:$G$101,4,FALSE)*线下模式!$U16))*IF(E16="",0,VLOOKUP(E16,'⚪设计'!$C$85:$G$101,4,FALSE)),0)</f>
        <v>13</v>
      </c>
      <c r="J16" s="88" t="str">
        <f>IF(VLOOKUP(A16,'⚪设计'!$A$228:$G$247,5,FALSE)="","",VLOOKUP(VLOOKUP(A16,'⚪设计'!$A$228:$G$247,5,FALSE),'⚪设计'!$B$85:$D$101,2,FALSE))</f>
        <v>ResUnit_ZhongZi2</v>
      </c>
      <c r="K16" s="88">
        <f t="shared" si="1"/>
        <v>8</v>
      </c>
      <c r="L16" s="7">
        <f>'⚪设计'!I241</f>
        <v>3</v>
      </c>
      <c r="M16" s="88">
        <f>IF(J16="",0,ROUND(VLOOKUP($A16,'⚪设计'!$A$228:$B$247,2,FALSE)*$B16/SUM(IF($E16="",0,VLOOKUP($E16,'⚪设计'!$C$85:$E$101,3,FALSE))*$F16,IF($J16="",0,VLOOKUP($J16,'⚪设计'!$C$85:$E$101,3,FALSE))*$K16,IF($O16="",0,VLOOKUP($O16,'⚪设计'!$C$85:$E$101,3,FALSE))*$P16,IF($T16="",0,VLOOKUP($T16,'⚪设计'!$C$85:$E$101,3,FALSE))*$U16)*VLOOKUP(J16,'⚪设计'!$C$85:$E$101,3,FALSE),0))</f>
        <v>67671</v>
      </c>
      <c r="N16" s="88">
        <f>ROUND(战斗节奏!$B$3/SUM(IF(线下模式!$E16="",0,VLOOKUP(线下模式!$E16,'⚪设计'!$C$85:$G$101,4,FALSE)*线下模式!$F16),IF(线下模式!$J16="",0,VLOOKUP(线下模式!$J16,'⚪设计'!$C$85:$G$101,4,FALSE)*线下模式!$K16),IF(线下模式!$O16="",0,VLOOKUP(线下模式!$O16,'⚪设计'!$C$85:$G$101,4,FALSE)*线下模式!$P16),IF(线下模式!$T16="",0,VLOOKUP(线下模式!$T16,'⚪设计'!$C$85:$G$101,4,FALSE)*线下模式!$U16))*IF(J16="",0,VLOOKUP(J16,'⚪设计'!$C$85:$G$101,4,FALSE)),0)</f>
        <v>26</v>
      </c>
      <c r="O16" s="71" t="str">
        <f>IF(VLOOKUP(A16,'⚪设计'!$A$228:$G$247,6,FALSE)="","",VLOOKUP(VLOOKUP(A16,'⚪设计'!$A$228:$G$247,6,FALSE),'⚪设计'!$B$85:$D$101,2,FALSE))</f>
        <v/>
      </c>
      <c r="P16" s="88">
        <f t="shared" si="2"/>
        <v>0</v>
      </c>
      <c r="Q16" s="7">
        <f>'⚪设计'!J241</f>
        <v>0</v>
      </c>
      <c r="R16" s="88">
        <f>IF(O16="",0,ROUND(VLOOKUP($A16,'⚪设计'!$A$228:$B$247,2,FALSE)*$B16/SUM(IF($E16="",0,VLOOKUP($E16,'⚪设计'!$C$85:$E$101,3,FALSE))*$F16,IF($J16="",0,VLOOKUP($J16,'⚪设计'!$C$85:$E$101,3,FALSE))*$K16,IF($O16="",0,VLOOKUP($O16,'⚪设计'!$C$85:$E$101,3,FALSE))*$P16,IF($T16="",0,VLOOKUP($T16,'⚪设计'!$C$85:$E$101,3,FALSE))*$U16)*VLOOKUP(O16,'⚪设计'!$C$85:$E$101,3,FALSE),0))</f>
        <v>0</v>
      </c>
      <c r="S16" s="88">
        <f>ROUND(战斗节奏!$B$3/SUM(IF(线下模式!$E16="",0,VLOOKUP(线下模式!$E16,'⚪设计'!$C$85:$G$101,4,FALSE)*线下模式!$F16),IF(线下模式!$J16="",0,VLOOKUP(线下模式!$J16,'⚪设计'!$C$85:$G$101,4,FALSE)*线下模式!$K16),IF(线下模式!$O16="",0,VLOOKUP(线下模式!$O16,'⚪设计'!$C$85:$G$101,4,FALSE)*线下模式!$P16),IF(线下模式!$T16="",0,VLOOKUP(线下模式!$T16,'⚪设计'!$C$85:$G$101,4,FALSE)*线下模式!$U16))*IF(O16="",0,VLOOKUP(O16,'⚪设计'!$C$85:$G$101,4,FALSE)),0)</f>
        <v>0</v>
      </c>
      <c r="T16" s="88" t="str">
        <f>IF(VLOOKUP(A16,'⚪设计'!$A$228:$G$247,7,FALSE)="","",VLOOKUP(VLOOKUP(A16,'⚪设计'!$A$228:$G$247,7,FALSE),'⚪设计'!$B$85:$D$101,2,FALSE))</f>
        <v/>
      </c>
      <c r="U16" s="88">
        <f t="shared" si="3"/>
        <v>0</v>
      </c>
      <c r="V16" s="7">
        <f>'⚪设计'!K241</f>
        <v>0</v>
      </c>
      <c r="W16" s="88">
        <f>IF(T16="",0,ROUND(VLOOKUP($A16,'⚪设计'!$A$228:$B$247,2,FALSE)*$B16/SUM(IF($E16="",0,VLOOKUP($E16,'⚪设计'!$C$85:$E$101,3,FALSE))*$F16,IF($J16="",0,VLOOKUP($J16,'⚪设计'!$C$85:$E$101,3,FALSE))*$K16,IF($O16="",0,VLOOKUP($O16,'⚪设计'!$C$85:$E$101,3,FALSE))*$P16,IF($T16="",0,VLOOKUP($T16,'⚪设计'!$C$85:$E$101,3,FALSE))*$U16)*VLOOKUP(T16,'⚪设计'!$C$85:$E$101,3,FALSE),0))</f>
        <v>0</v>
      </c>
      <c r="X16" s="88">
        <f>ROUND(战斗节奏!$B$3/SUM(IF(线下模式!$E16="",0,VLOOKUP(线下模式!$E16,'⚪设计'!$C$85:$G$101,4,FALSE)*线下模式!$F16),IF(线下模式!$J16="",0,VLOOKUP(线下模式!$J16,'⚪设计'!$C$85:$G$101,4,FALSE)*线下模式!$K16),IF(线下模式!$O16="",0,VLOOKUP(线下模式!$O16,'⚪设计'!$C$85:$G$101,4,FALSE)*线下模式!$P16),IF(线下模式!$T16="",0,VLOOKUP(线下模式!$T16,'⚪设计'!$C$85:$G$101,4,FALSE)*线下模式!$U16))*IF(T16="",0,VLOOKUP(T16,'⚪设计'!$C$85:$G$101,4,FALSE)),0)</f>
        <v>0</v>
      </c>
    </row>
    <row r="17" spans="1:24" x14ac:dyDescent="0.2">
      <c r="A17" s="84">
        <v>15</v>
      </c>
      <c r="B17" s="88">
        <f>MAX(MIN(战斗节奏!$C$3-INT(A17/'⚪设计'!$C$55),MOD(A17,'⚪设计'!$C$55)),0)*'⚪设计'!$C$79*防御塔!$C$2+MIN(INT(A17/'⚪设计'!$C$55),战斗节奏!$C$3)*'⚪设计'!$C$80*防御塔!$C$2</f>
        <v>18000</v>
      </c>
      <c r="C17" s="7">
        <v>1.7</v>
      </c>
      <c r="D17" s="7">
        <v>24</v>
      </c>
      <c r="E17" s="71" t="str">
        <f>IF(VLOOKUP(A17,'⚪设计'!$A$228:$G$247,4,FALSE)="","",VLOOKUP(VLOOKUP(A17,'⚪设计'!$A$228:$G$247,4,FALSE),'⚪设计'!$B$85:$D$101,2,FALSE))</f>
        <v>ResUnit_MiFeng2</v>
      </c>
      <c r="F17" s="88">
        <f t="shared" si="0"/>
        <v>120</v>
      </c>
      <c r="G17" s="7">
        <f>'⚪设计'!H242</f>
        <v>0.2</v>
      </c>
      <c r="H17" s="88">
        <f>IF(E17="",0,ROUND(VLOOKUP($A17,'⚪设计'!$A$228:$B$247,2,FALSE)*$B17/SUM(IF($E17="",0,VLOOKUP($E17,'⚪设计'!$C$85:$E$101,3,FALSE))*$F17,IF($J17="",0,VLOOKUP($J17,'⚪设计'!$C$85:$E$101,3,FALSE))*$K17,IF($O17="",0,VLOOKUP($O17,'⚪设计'!$C$85:$E$101,3,FALSE))*$P17,IF($T17="",0,VLOOKUP($T17,'⚪设计'!$C$85:$E$101,3,FALSE))*$U17)*VLOOKUP(E17,'⚪设计'!$C$85:$E$101,3,FALSE),0))</f>
        <v>8882</v>
      </c>
      <c r="I17" s="88">
        <f>ROUND(战斗节奏!$B$3/SUM(IF(线下模式!$E17="",0,VLOOKUP(线下模式!$E17,'⚪设计'!$C$85:$G$101,4,FALSE)*线下模式!$F17),IF(线下模式!$J17="",0,VLOOKUP(线下模式!$J17,'⚪设计'!$C$85:$G$101,4,FALSE)*线下模式!$K17),IF(线下模式!$O17="",0,VLOOKUP(线下模式!$O17,'⚪设计'!$C$85:$G$101,4,FALSE)*线下模式!$P17),IF(线下模式!$T17="",0,VLOOKUP(线下模式!$T17,'⚪设计'!$C$85:$G$101,4,FALSE)*线下模式!$U17))*IF(E17="",0,VLOOKUP(E17,'⚪设计'!$C$85:$G$101,4,FALSE)),0)</f>
        <v>4</v>
      </c>
      <c r="J17" s="88" t="str">
        <f>IF(VLOOKUP(A17,'⚪设计'!$A$228:$G$247,5,FALSE)="","",VLOOKUP(VLOOKUP(A17,'⚪设计'!$A$228:$G$247,5,FALSE),'⚪设计'!$B$85:$D$101,2,FALSE))</f>
        <v>ResUnit_ZhongZi1</v>
      </c>
      <c r="K17" s="88">
        <f t="shared" si="1"/>
        <v>8</v>
      </c>
      <c r="L17" s="7">
        <f>'⚪设计'!I242</f>
        <v>3</v>
      </c>
      <c r="M17" s="88">
        <f>IF(J17="",0,ROUND(VLOOKUP($A17,'⚪设计'!$A$228:$B$247,2,FALSE)*$B17/SUM(IF($E17="",0,VLOOKUP($E17,'⚪设计'!$C$85:$E$101,3,FALSE))*$F17,IF($J17="",0,VLOOKUP($J17,'⚪设计'!$C$85:$E$101,3,FALSE))*$K17,IF($O17="",0,VLOOKUP($O17,'⚪设计'!$C$85:$E$101,3,FALSE))*$P17,IF($T17="",0,VLOOKUP($T17,'⚪设计'!$C$85:$E$101,3,FALSE))*$U17)*VLOOKUP(J17,'⚪设计'!$C$85:$E$101,3,FALSE),0))</f>
        <v>13322</v>
      </c>
      <c r="N17" s="88">
        <f>ROUND(战斗节奏!$B$3/SUM(IF(线下模式!$E17="",0,VLOOKUP(线下模式!$E17,'⚪设计'!$C$85:$G$101,4,FALSE)*线下模式!$F17),IF(线下模式!$J17="",0,VLOOKUP(线下模式!$J17,'⚪设计'!$C$85:$G$101,4,FALSE)*线下模式!$K17),IF(线下模式!$O17="",0,VLOOKUP(线下模式!$O17,'⚪设计'!$C$85:$G$101,4,FALSE)*线下模式!$P17),IF(线下模式!$T17="",0,VLOOKUP(线下模式!$T17,'⚪设计'!$C$85:$G$101,4,FALSE)*线下模式!$U17))*IF(J17="",0,VLOOKUP(J17,'⚪设计'!$C$85:$G$101,4,FALSE)),0)</f>
        <v>4</v>
      </c>
      <c r="O17" s="71" t="str">
        <f>IF(VLOOKUP(A17,'⚪设计'!$A$228:$G$247,6,FALSE)="","",VLOOKUP(VLOOKUP(A17,'⚪设计'!$A$228:$G$247,6,FALSE),'⚪设计'!$B$85:$D$101,2,FALSE))</f>
        <v>ResUnit_ZhongZi3</v>
      </c>
      <c r="P17" s="88">
        <f t="shared" si="2"/>
        <v>1</v>
      </c>
      <c r="Q17" s="7">
        <f>'⚪设计'!J242</f>
        <v>0</v>
      </c>
      <c r="R17" s="88">
        <f>IF(O17="",0,ROUND(VLOOKUP($A17,'⚪设计'!$A$228:$B$247,2,FALSE)*$B17/SUM(IF($E17="",0,VLOOKUP($E17,'⚪设计'!$C$85:$E$101,3,FALSE))*$F17,IF($J17="",0,VLOOKUP($J17,'⚪设计'!$C$85:$E$101,3,FALSE))*$K17,IF($O17="",0,VLOOKUP($O17,'⚪设计'!$C$85:$E$101,3,FALSE))*$P17,IF($T17="",0,VLOOKUP($T17,'⚪设计'!$C$85:$E$101,3,FALSE))*$U17)*VLOOKUP(O17,'⚪设计'!$C$85:$E$101,3,FALSE),0))</f>
        <v>177632</v>
      </c>
      <c r="S17" s="88">
        <f>ROUND(战斗节奏!$B$3/SUM(IF(线下模式!$E17="",0,VLOOKUP(线下模式!$E17,'⚪设计'!$C$85:$G$101,4,FALSE)*线下模式!$F17),IF(线下模式!$J17="",0,VLOOKUP(线下模式!$J17,'⚪设计'!$C$85:$G$101,4,FALSE)*线下模式!$K17),IF(线下模式!$O17="",0,VLOOKUP(线下模式!$O17,'⚪设计'!$C$85:$G$101,4,FALSE)*线下模式!$P17),IF(线下模式!$T17="",0,VLOOKUP(线下模式!$T17,'⚪设计'!$C$85:$G$101,4,FALSE)*线下模式!$U17))*IF(O17="",0,VLOOKUP(O17,'⚪设计'!$C$85:$G$101,4,FALSE)),0)</f>
        <v>81</v>
      </c>
      <c r="T17" s="88" t="str">
        <f>IF(VLOOKUP(A17,'⚪设计'!$A$228:$G$247,7,FALSE)="","",VLOOKUP(VLOOKUP(A17,'⚪设计'!$A$228:$G$247,7,FALSE),'⚪设计'!$B$85:$D$101,2,FALSE))</f>
        <v/>
      </c>
      <c r="U17" s="88">
        <f t="shared" si="3"/>
        <v>0</v>
      </c>
      <c r="V17" s="7">
        <f>'⚪设计'!K242</f>
        <v>0</v>
      </c>
      <c r="W17" s="88">
        <f>IF(T17="",0,ROUND(VLOOKUP($A17,'⚪设计'!$A$228:$B$247,2,FALSE)*$B17/SUM(IF($E17="",0,VLOOKUP($E17,'⚪设计'!$C$85:$E$101,3,FALSE))*$F17,IF($J17="",0,VLOOKUP($J17,'⚪设计'!$C$85:$E$101,3,FALSE))*$K17,IF($O17="",0,VLOOKUP($O17,'⚪设计'!$C$85:$E$101,3,FALSE))*$P17,IF($T17="",0,VLOOKUP($T17,'⚪设计'!$C$85:$E$101,3,FALSE))*$U17)*VLOOKUP(T17,'⚪设计'!$C$85:$E$101,3,FALSE),0))</f>
        <v>0</v>
      </c>
      <c r="X17" s="88">
        <f>ROUND(战斗节奏!$B$3/SUM(IF(线下模式!$E17="",0,VLOOKUP(线下模式!$E17,'⚪设计'!$C$85:$G$101,4,FALSE)*线下模式!$F17),IF(线下模式!$J17="",0,VLOOKUP(线下模式!$J17,'⚪设计'!$C$85:$G$101,4,FALSE)*线下模式!$K17),IF(线下模式!$O17="",0,VLOOKUP(线下模式!$O17,'⚪设计'!$C$85:$G$101,4,FALSE)*线下模式!$P17),IF(线下模式!$T17="",0,VLOOKUP(线下模式!$T17,'⚪设计'!$C$85:$G$101,4,FALSE)*线下模式!$U17))*IF(T17="",0,VLOOKUP(T17,'⚪设计'!$C$85:$G$101,4,FALSE)),0)</f>
        <v>0</v>
      </c>
    </row>
    <row r="18" spans="1:24" x14ac:dyDescent="0.2">
      <c r="A18" s="84">
        <v>16</v>
      </c>
      <c r="B18" s="88">
        <f>MAX(MIN(战斗节奏!$C$3-INT(A18/'⚪设计'!$C$55),MOD(A18,'⚪设计'!$C$55)),0)*'⚪设计'!$C$79*防御塔!$C$2+MIN(INT(A18/'⚪设计'!$C$55),战斗节奏!$C$3)*'⚪设计'!$C$80*防御塔!$C$2</f>
        <v>18900</v>
      </c>
      <c r="C18" s="7">
        <v>1.75</v>
      </c>
      <c r="D18" s="7">
        <v>25</v>
      </c>
      <c r="E18" s="71" t="str">
        <f>IF(VLOOKUP(A18,'⚪设计'!$A$228:$G$247,4,FALSE)="","",VLOOKUP(VLOOKUP(A18,'⚪设计'!$A$228:$G$247,4,FALSE),'⚪设计'!$B$85:$D$101,2,FALSE))</f>
        <v>ResUnit_Dan1</v>
      </c>
      <c r="F18" s="88">
        <f t="shared" si="0"/>
        <v>33</v>
      </c>
      <c r="G18" s="7">
        <f>'⚪设计'!H243</f>
        <v>0.75</v>
      </c>
      <c r="H18" s="88">
        <f>IF(E18="",0,ROUND(VLOOKUP($A18,'⚪设计'!$A$228:$B$247,2,FALSE)*$B18/SUM(IF($E18="",0,VLOOKUP($E18,'⚪设计'!$C$85:$E$101,3,FALSE))*$F18,IF($J18="",0,VLOOKUP($J18,'⚪设计'!$C$85:$E$101,3,FALSE))*$K18,IF($O18="",0,VLOOKUP($O18,'⚪设计'!$C$85:$E$101,3,FALSE))*$P18,IF($T18="",0,VLOOKUP($T18,'⚪设计'!$C$85:$E$101,3,FALSE))*$U18)*VLOOKUP(E18,'⚪设计'!$C$85:$E$101,3,FALSE),0))</f>
        <v>23143</v>
      </c>
      <c r="I18" s="88">
        <f>ROUND(战斗节奏!$B$3/SUM(IF(线下模式!$E18="",0,VLOOKUP(线下模式!$E18,'⚪设计'!$C$85:$G$101,4,FALSE)*线下模式!$F18),IF(线下模式!$J18="",0,VLOOKUP(线下模式!$J18,'⚪设计'!$C$85:$G$101,4,FALSE)*线下模式!$K18),IF(线下模式!$O18="",0,VLOOKUP(线下模式!$O18,'⚪设计'!$C$85:$G$101,4,FALSE)*线下模式!$P18),IF(线下模式!$T18="",0,VLOOKUP(线下模式!$T18,'⚪设计'!$C$85:$G$101,4,FALSE)*线下模式!$U18))*IF(E18="",0,VLOOKUP(E18,'⚪设计'!$C$85:$G$101,4,FALSE)),0)</f>
        <v>15</v>
      </c>
      <c r="J18" s="88" t="str">
        <f>IF(VLOOKUP(A18,'⚪设计'!$A$228:$G$247,5,FALSE)="","",VLOOKUP(VLOOKUP(A18,'⚪设计'!$A$228:$G$247,5,FALSE),'⚪设计'!$B$85:$D$101,2,FALSE))</f>
        <v>ResUnit_Dan2</v>
      </c>
      <c r="K18" s="88">
        <f t="shared" si="1"/>
        <v>8</v>
      </c>
      <c r="L18" s="7">
        <f>'⚪设计'!I243</f>
        <v>3</v>
      </c>
      <c r="M18" s="88">
        <f>IF(J18="",0,ROUND(VLOOKUP($A18,'⚪设计'!$A$228:$B$247,2,FALSE)*$B18/SUM(IF($E18="",0,VLOOKUP($E18,'⚪设计'!$C$85:$E$101,3,FALSE))*$F18,IF($J18="",0,VLOOKUP($J18,'⚪设计'!$C$85:$E$101,3,FALSE))*$K18,IF($O18="",0,VLOOKUP($O18,'⚪设计'!$C$85:$E$101,3,FALSE))*$P18,IF($T18="",0,VLOOKUP($T18,'⚪设计'!$C$85:$E$101,3,FALSE))*$U18)*VLOOKUP(J18,'⚪设计'!$C$85:$E$101,3,FALSE),0))</f>
        <v>46286</v>
      </c>
      <c r="N18" s="88">
        <f>ROUND(战斗节奏!$B$3/SUM(IF(线下模式!$E18="",0,VLOOKUP(线下模式!$E18,'⚪设计'!$C$85:$G$101,4,FALSE)*线下模式!$F18),IF(线下模式!$J18="",0,VLOOKUP(线下模式!$J18,'⚪设计'!$C$85:$G$101,4,FALSE)*线下模式!$K18),IF(线下模式!$O18="",0,VLOOKUP(线下模式!$O18,'⚪设计'!$C$85:$G$101,4,FALSE)*线下模式!$P18),IF(线下模式!$T18="",0,VLOOKUP(线下模式!$T18,'⚪设计'!$C$85:$G$101,4,FALSE)*线下模式!$U18))*IF(J18="",0,VLOOKUP(J18,'⚪设计'!$C$85:$G$101,4,FALSE)),0)</f>
        <v>15</v>
      </c>
      <c r="O18" s="71" t="str">
        <f>IF(VLOOKUP(A18,'⚪设计'!$A$228:$G$247,6,FALSE)="","",VLOOKUP(VLOOKUP(A18,'⚪设计'!$A$228:$G$247,6,FALSE),'⚪设计'!$B$85:$D$101,2,FALSE))</f>
        <v/>
      </c>
      <c r="P18" s="88">
        <f t="shared" si="2"/>
        <v>0</v>
      </c>
      <c r="Q18" s="7">
        <f>'⚪设计'!J243</f>
        <v>0</v>
      </c>
      <c r="R18" s="88">
        <f>IF(O18="",0,ROUND(VLOOKUP($A18,'⚪设计'!$A$228:$B$247,2,FALSE)*$B18/SUM(IF($E18="",0,VLOOKUP($E18,'⚪设计'!$C$85:$E$101,3,FALSE))*$F18,IF($J18="",0,VLOOKUP($J18,'⚪设计'!$C$85:$E$101,3,FALSE))*$K18,IF($O18="",0,VLOOKUP($O18,'⚪设计'!$C$85:$E$101,3,FALSE))*$P18,IF($T18="",0,VLOOKUP($T18,'⚪设计'!$C$85:$E$101,3,FALSE))*$U18)*VLOOKUP(O18,'⚪设计'!$C$85:$E$101,3,FALSE),0))</f>
        <v>0</v>
      </c>
      <c r="S18" s="88">
        <f>ROUND(战斗节奏!$B$3/SUM(IF(线下模式!$E18="",0,VLOOKUP(线下模式!$E18,'⚪设计'!$C$85:$G$101,4,FALSE)*线下模式!$F18),IF(线下模式!$J18="",0,VLOOKUP(线下模式!$J18,'⚪设计'!$C$85:$G$101,4,FALSE)*线下模式!$K18),IF(线下模式!$O18="",0,VLOOKUP(线下模式!$O18,'⚪设计'!$C$85:$G$101,4,FALSE)*线下模式!$P18),IF(线下模式!$T18="",0,VLOOKUP(线下模式!$T18,'⚪设计'!$C$85:$G$101,4,FALSE)*线下模式!$U18))*IF(O18="",0,VLOOKUP(O18,'⚪设计'!$C$85:$G$101,4,FALSE)),0)</f>
        <v>0</v>
      </c>
      <c r="T18" s="88" t="str">
        <f>IF(VLOOKUP(A18,'⚪设计'!$A$228:$G$247,7,FALSE)="","",VLOOKUP(VLOOKUP(A18,'⚪设计'!$A$228:$G$247,7,FALSE),'⚪设计'!$B$85:$D$101,2,FALSE))</f>
        <v/>
      </c>
      <c r="U18" s="88">
        <f t="shared" si="3"/>
        <v>0</v>
      </c>
      <c r="V18" s="7">
        <f>'⚪设计'!K243</f>
        <v>0</v>
      </c>
      <c r="W18" s="88">
        <f>IF(T18="",0,ROUND(VLOOKUP($A18,'⚪设计'!$A$228:$B$247,2,FALSE)*$B18/SUM(IF($E18="",0,VLOOKUP($E18,'⚪设计'!$C$85:$E$101,3,FALSE))*$F18,IF($J18="",0,VLOOKUP($J18,'⚪设计'!$C$85:$E$101,3,FALSE))*$K18,IF($O18="",0,VLOOKUP($O18,'⚪设计'!$C$85:$E$101,3,FALSE))*$P18,IF($T18="",0,VLOOKUP($T18,'⚪设计'!$C$85:$E$101,3,FALSE))*$U18)*VLOOKUP(T18,'⚪设计'!$C$85:$E$101,3,FALSE),0))</f>
        <v>0</v>
      </c>
      <c r="X18" s="88">
        <f>ROUND(战斗节奏!$B$3/SUM(IF(线下模式!$E18="",0,VLOOKUP(线下模式!$E18,'⚪设计'!$C$85:$G$101,4,FALSE)*线下模式!$F18),IF(线下模式!$J18="",0,VLOOKUP(线下模式!$J18,'⚪设计'!$C$85:$G$101,4,FALSE)*线下模式!$K18),IF(线下模式!$O18="",0,VLOOKUP(线下模式!$O18,'⚪设计'!$C$85:$G$101,4,FALSE)*线下模式!$P18),IF(线下模式!$T18="",0,VLOOKUP(线下模式!$T18,'⚪设计'!$C$85:$G$101,4,FALSE)*线下模式!$U18))*IF(T18="",0,VLOOKUP(T18,'⚪设计'!$C$85:$G$101,4,FALSE)),0)</f>
        <v>0</v>
      </c>
    </row>
    <row r="19" spans="1:24" x14ac:dyDescent="0.2">
      <c r="A19" s="84">
        <v>17</v>
      </c>
      <c r="B19" s="88">
        <f>MAX(MIN(战斗节奏!$C$3-INT(A19/'⚪设计'!$C$55),MOD(A19,'⚪设计'!$C$55)),0)*'⚪设计'!$C$79*防御塔!$C$2+MIN(INT(A19/'⚪设计'!$C$55),战斗节奏!$C$3)*'⚪设计'!$C$80*防御塔!$C$2</f>
        <v>19800</v>
      </c>
      <c r="C19" s="7">
        <v>1.8</v>
      </c>
      <c r="D19" s="7">
        <v>26</v>
      </c>
      <c r="E19" s="71" t="str">
        <f>IF(VLOOKUP(A19,'⚪设计'!$A$228:$G$247,4,FALSE)="","",VLOOKUP(VLOOKUP(A19,'⚪设计'!$A$228:$G$247,4,FALSE),'⚪设计'!$B$85:$D$101,2,FALSE))</f>
        <v>ResUnit_Dan2</v>
      </c>
      <c r="F19" s="88">
        <f t="shared" si="0"/>
        <v>17</v>
      </c>
      <c r="G19" s="7">
        <f>'⚪设计'!H244</f>
        <v>1.5</v>
      </c>
      <c r="H19" s="88">
        <f>IF(E19="",0,ROUND(VLOOKUP($A19,'⚪设计'!$A$228:$B$247,2,FALSE)*$B19/SUM(IF($E19="",0,VLOOKUP($E19,'⚪设计'!$C$85:$E$101,3,FALSE))*$F19,IF($J19="",0,VLOOKUP($J19,'⚪设计'!$C$85:$E$101,3,FALSE))*$K19,IF($O19="",0,VLOOKUP($O19,'⚪设计'!$C$85:$E$101,3,FALSE))*$P19,IF($T19="",0,VLOOKUP($T19,'⚪设计'!$C$85:$E$101,3,FALSE))*$U19)*VLOOKUP(E19,'⚪设计'!$C$85:$E$101,3,FALSE),0))</f>
        <v>40174</v>
      </c>
      <c r="I19" s="88">
        <f>ROUND(战斗节奏!$B$3/SUM(IF(线下模式!$E19="",0,VLOOKUP(线下模式!$E19,'⚪设计'!$C$85:$G$101,4,FALSE)*线下模式!$F19),IF(线下模式!$J19="",0,VLOOKUP(线下模式!$J19,'⚪设计'!$C$85:$G$101,4,FALSE)*线下模式!$K19),IF(线下模式!$O19="",0,VLOOKUP(线下模式!$O19,'⚪设计'!$C$85:$G$101,4,FALSE)*线下模式!$P19),IF(线下模式!$T19="",0,VLOOKUP(线下模式!$T19,'⚪设计'!$C$85:$G$101,4,FALSE)*线下模式!$U19))*IF(E19="",0,VLOOKUP(E19,'⚪设计'!$C$85:$G$101,4,FALSE)),0)</f>
        <v>17</v>
      </c>
      <c r="J19" s="88" t="str">
        <f>IF(VLOOKUP(A19,'⚪设计'!$A$228:$G$247,5,FALSE)="","",VLOOKUP(VLOOKUP(A19,'⚪设计'!$A$228:$G$247,5,FALSE),'⚪设计'!$B$85:$D$101,2,FALSE))</f>
        <v>ResUnit_ZhiZhu2</v>
      </c>
      <c r="K19" s="88">
        <f t="shared" si="1"/>
        <v>35</v>
      </c>
      <c r="L19" s="7">
        <f>'⚪设计'!I244</f>
        <v>0.75</v>
      </c>
      <c r="M19" s="88">
        <f>IF(J19="",0,ROUND(VLOOKUP($A19,'⚪设计'!$A$228:$B$247,2,FALSE)*$B19/SUM(IF($E19="",0,VLOOKUP($E19,'⚪设计'!$C$85:$E$101,3,FALSE))*$F19,IF($J19="",0,VLOOKUP($J19,'⚪设计'!$C$85:$E$101,3,FALSE))*$K19,IF($O19="",0,VLOOKUP($O19,'⚪设计'!$C$85:$E$101,3,FALSE))*$P19,IF($T19="",0,VLOOKUP($T19,'⚪设计'!$C$85:$E$101,3,FALSE))*$U19)*VLOOKUP(J19,'⚪设计'!$C$85:$E$101,3,FALSE),0))</f>
        <v>20087</v>
      </c>
      <c r="N19" s="88">
        <f>ROUND(战斗节奏!$B$3/SUM(IF(线下模式!$E19="",0,VLOOKUP(线下模式!$E19,'⚪设计'!$C$85:$G$101,4,FALSE)*线下模式!$F19),IF(线下模式!$J19="",0,VLOOKUP(线下模式!$J19,'⚪设计'!$C$85:$G$101,4,FALSE)*线下模式!$K19),IF(线下模式!$O19="",0,VLOOKUP(线下模式!$O19,'⚪设计'!$C$85:$G$101,4,FALSE)*线下模式!$P19),IF(线下模式!$T19="",0,VLOOKUP(线下模式!$T19,'⚪设计'!$C$85:$G$101,4,FALSE)*线下模式!$U19))*IF(J19="",0,VLOOKUP(J19,'⚪设计'!$C$85:$G$101,4,FALSE)),0)</f>
        <v>9</v>
      </c>
      <c r="O19" s="71" t="str">
        <f>IF(VLOOKUP(A19,'⚪设计'!$A$228:$G$247,6,FALSE)="","",VLOOKUP(VLOOKUP(A19,'⚪设计'!$A$228:$G$247,6,FALSE),'⚪设计'!$B$85:$D$101,2,FALSE))</f>
        <v/>
      </c>
      <c r="P19" s="88">
        <f t="shared" si="2"/>
        <v>0</v>
      </c>
      <c r="Q19" s="7">
        <f>'⚪设计'!J244</f>
        <v>0</v>
      </c>
      <c r="R19" s="88">
        <f>IF(O19="",0,ROUND(VLOOKUP($A19,'⚪设计'!$A$228:$B$247,2,FALSE)*$B19/SUM(IF($E19="",0,VLOOKUP($E19,'⚪设计'!$C$85:$E$101,3,FALSE))*$F19,IF($J19="",0,VLOOKUP($J19,'⚪设计'!$C$85:$E$101,3,FALSE))*$K19,IF($O19="",0,VLOOKUP($O19,'⚪设计'!$C$85:$E$101,3,FALSE))*$P19,IF($T19="",0,VLOOKUP($T19,'⚪设计'!$C$85:$E$101,3,FALSE))*$U19)*VLOOKUP(O19,'⚪设计'!$C$85:$E$101,3,FALSE),0))</f>
        <v>0</v>
      </c>
      <c r="S19" s="88">
        <f>ROUND(战斗节奏!$B$3/SUM(IF(线下模式!$E19="",0,VLOOKUP(线下模式!$E19,'⚪设计'!$C$85:$G$101,4,FALSE)*线下模式!$F19),IF(线下模式!$J19="",0,VLOOKUP(线下模式!$J19,'⚪设计'!$C$85:$G$101,4,FALSE)*线下模式!$K19),IF(线下模式!$O19="",0,VLOOKUP(线下模式!$O19,'⚪设计'!$C$85:$G$101,4,FALSE)*线下模式!$P19),IF(线下模式!$T19="",0,VLOOKUP(线下模式!$T19,'⚪设计'!$C$85:$G$101,4,FALSE)*线下模式!$U19))*IF(O19="",0,VLOOKUP(O19,'⚪设计'!$C$85:$G$101,4,FALSE)),0)</f>
        <v>0</v>
      </c>
      <c r="T19" s="88" t="str">
        <f>IF(VLOOKUP(A19,'⚪设计'!$A$228:$G$247,7,FALSE)="","",VLOOKUP(VLOOKUP(A19,'⚪设计'!$A$228:$G$247,7,FALSE),'⚪设计'!$B$85:$D$101,2,FALSE))</f>
        <v/>
      </c>
      <c r="U19" s="88">
        <f t="shared" si="3"/>
        <v>0</v>
      </c>
      <c r="V19" s="7">
        <f>'⚪设计'!K244</f>
        <v>0</v>
      </c>
      <c r="W19" s="88">
        <f>IF(T19="",0,ROUND(VLOOKUP($A19,'⚪设计'!$A$228:$B$247,2,FALSE)*$B19/SUM(IF($E19="",0,VLOOKUP($E19,'⚪设计'!$C$85:$E$101,3,FALSE))*$F19,IF($J19="",0,VLOOKUP($J19,'⚪设计'!$C$85:$E$101,3,FALSE))*$K19,IF($O19="",0,VLOOKUP($O19,'⚪设计'!$C$85:$E$101,3,FALSE))*$P19,IF($T19="",0,VLOOKUP($T19,'⚪设计'!$C$85:$E$101,3,FALSE))*$U19)*VLOOKUP(T19,'⚪设计'!$C$85:$E$101,3,FALSE),0))</f>
        <v>0</v>
      </c>
      <c r="X19" s="88">
        <f>ROUND(战斗节奏!$B$3/SUM(IF(线下模式!$E19="",0,VLOOKUP(线下模式!$E19,'⚪设计'!$C$85:$G$101,4,FALSE)*线下模式!$F19),IF(线下模式!$J19="",0,VLOOKUP(线下模式!$J19,'⚪设计'!$C$85:$G$101,4,FALSE)*线下模式!$K19),IF(线下模式!$O19="",0,VLOOKUP(线下模式!$O19,'⚪设计'!$C$85:$G$101,4,FALSE)*线下模式!$P19),IF(线下模式!$T19="",0,VLOOKUP(线下模式!$T19,'⚪设计'!$C$85:$G$101,4,FALSE)*线下模式!$U19))*IF(T19="",0,VLOOKUP(T19,'⚪设计'!$C$85:$G$101,4,FALSE)),0)</f>
        <v>0</v>
      </c>
    </row>
    <row r="20" spans="1:24" x14ac:dyDescent="0.2">
      <c r="A20" s="84">
        <v>18</v>
      </c>
      <c r="B20" s="88">
        <f>MAX(MIN(战斗节奏!$C$3-INT(A20/'⚪设计'!$C$55),MOD(A20,'⚪设计'!$C$55)),0)*'⚪设计'!$C$79*防御塔!$C$2+MIN(INT(A20/'⚪设计'!$C$55),战斗节奏!$C$3)*'⚪设计'!$C$80*防御塔!$C$2</f>
        <v>21600</v>
      </c>
      <c r="C20" s="7">
        <v>1.85</v>
      </c>
      <c r="D20" s="7">
        <v>27</v>
      </c>
      <c r="E20" s="71" t="str">
        <f>IF(VLOOKUP(A20,'⚪设计'!$A$228:$G$247,4,FALSE)="","",VLOOKUP(VLOOKUP(A20,'⚪设计'!$A$228:$G$247,4,FALSE),'⚪设计'!$B$85:$D$101,2,FALSE))</f>
        <v>ResUnit_Dan2</v>
      </c>
      <c r="F20" s="88">
        <f t="shared" si="0"/>
        <v>18</v>
      </c>
      <c r="G20" s="7">
        <f>'⚪设计'!H245</f>
        <v>1.5</v>
      </c>
      <c r="H20" s="88">
        <f>IF(E20="",0,ROUND(VLOOKUP($A20,'⚪设计'!$A$228:$B$247,2,FALSE)*$B20/SUM(IF($E20="",0,VLOOKUP($E20,'⚪设计'!$C$85:$E$101,3,FALSE))*$F20,IF($J20="",0,VLOOKUP($J20,'⚪设计'!$C$85:$E$101,3,FALSE))*$K20,IF($O20="",0,VLOOKUP($O20,'⚪设计'!$C$85:$E$101,3,FALSE))*$P20,IF($T20="",0,VLOOKUP($T20,'⚪设计'!$C$85:$E$101,3,FALSE))*$U20)*VLOOKUP(E20,'⚪设计'!$C$85:$E$101,3,FALSE),0))</f>
        <v>30316</v>
      </c>
      <c r="I20" s="88">
        <f>ROUND(战斗节奏!$B$3/SUM(IF(线下模式!$E20="",0,VLOOKUP(线下模式!$E20,'⚪设计'!$C$85:$G$101,4,FALSE)*线下模式!$F20),IF(线下模式!$J20="",0,VLOOKUP(线下模式!$J20,'⚪设计'!$C$85:$G$101,4,FALSE)*线下模式!$K20),IF(线下模式!$O20="",0,VLOOKUP(线下模式!$O20,'⚪设计'!$C$85:$G$101,4,FALSE)*线下模式!$P20),IF(线下模式!$T20="",0,VLOOKUP(线下模式!$T20,'⚪设计'!$C$85:$G$101,4,FALSE)*线下模式!$U20))*IF(E20="",0,VLOOKUP(E20,'⚪设计'!$C$85:$G$101,4,FALSE)),0)</f>
        <v>12</v>
      </c>
      <c r="J20" s="88" t="str">
        <f>IF(VLOOKUP(A20,'⚪设计'!$A$228:$G$247,5,FALSE)="","",VLOOKUP(VLOOKUP(A20,'⚪设计'!$A$228:$G$247,5,FALSE),'⚪设计'!$B$85:$D$101,2,FALSE))</f>
        <v>ResUnit_ZhiZhu2</v>
      </c>
      <c r="K20" s="88">
        <f t="shared" si="1"/>
        <v>36</v>
      </c>
      <c r="L20" s="7">
        <f>'⚪设计'!I245</f>
        <v>0.75</v>
      </c>
      <c r="M20" s="88">
        <f>IF(J20="",0,ROUND(VLOOKUP($A20,'⚪设计'!$A$228:$B$247,2,FALSE)*$B20/SUM(IF($E20="",0,VLOOKUP($E20,'⚪设计'!$C$85:$E$101,3,FALSE))*$F20,IF($J20="",0,VLOOKUP($J20,'⚪设计'!$C$85:$E$101,3,FALSE))*$K20,IF($O20="",0,VLOOKUP($O20,'⚪设计'!$C$85:$E$101,3,FALSE))*$P20,IF($T20="",0,VLOOKUP($T20,'⚪设计'!$C$85:$E$101,3,FALSE))*$U20)*VLOOKUP(J20,'⚪设计'!$C$85:$E$101,3,FALSE),0))</f>
        <v>15158</v>
      </c>
      <c r="N20" s="88">
        <f>ROUND(战斗节奏!$B$3/SUM(IF(线下模式!$E20="",0,VLOOKUP(线下模式!$E20,'⚪设计'!$C$85:$G$101,4,FALSE)*线下模式!$F20),IF(线下模式!$J20="",0,VLOOKUP(线下模式!$J20,'⚪设计'!$C$85:$G$101,4,FALSE)*线下模式!$K20),IF(线下模式!$O20="",0,VLOOKUP(线下模式!$O20,'⚪设计'!$C$85:$G$101,4,FALSE)*线下模式!$P20),IF(线下模式!$T20="",0,VLOOKUP(线下模式!$T20,'⚪设计'!$C$85:$G$101,4,FALSE)*线下模式!$U20))*IF(J20="",0,VLOOKUP(J20,'⚪设计'!$C$85:$G$101,4,FALSE)),0)</f>
        <v>6</v>
      </c>
      <c r="O20" s="71" t="str">
        <f>IF(VLOOKUP(A20,'⚪设计'!$A$228:$G$247,6,FALSE)="","",VLOOKUP(VLOOKUP(A20,'⚪设计'!$A$228:$G$247,6,FALSE),'⚪设计'!$B$85:$D$101,2,FALSE))</f>
        <v>ResUnit_ZhongZi2</v>
      </c>
      <c r="P20" s="88">
        <f t="shared" si="2"/>
        <v>14</v>
      </c>
      <c r="Q20" s="7">
        <f>'⚪设计'!J245</f>
        <v>2</v>
      </c>
      <c r="R20" s="88">
        <f>IF(O20="",0,ROUND(VLOOKUP($A20,'⚪设计'!$A$228:$B$247,2,FALSE)*$B20/SUM(IF($E20="",0,VLOOKUP($E20,'⚪设计'!$C$85:$E$101,3,FALSE))*$F20,IF($J20="",0,VLOOKUP($J20,'⚪设计'!$C$85:$E$101,3,FALSE))*$K20,IF($O20="",0,VLOOKUP($O20,'⚪设计'!$C$85:$E$101,3,FALSE))*$P20,IF($T20="",0,VLOOKUP($T20,'⚪设计'!$C$85:$E$101,3,FALSE))*$U20)*VLOOKUP(O20,'⚪设计'!$C$85:$E$101,3,FALSE),0))</f>
        <v>45474</v>
      </c>
      <c r="S20" s="88">
        <f>ROUND(战斗节奏!$B$3/SUM(IF(线下模式!$E20="",0,VLOOKUP(线下模式!$E20,'⚪设计'!$C$85:$G$101,4,FALSE)*线下模式!$F20),IF(线下模式!$J20="",0,VLOOKUP(线下模式!$J20,'⚪设计'!$C$85:$G$101,4,FALSE)*线下模式!$K20),IF(线下模式!$O20="",0,VLOOKUP(线下模式!$O20,'⚪设计'!$C$85:$G$101,4,FALSE)*线下模式!$P20),IF(线下模式!$T20="",0,VLOOKUP(线下模式!$T20,'⚪设计'!$C$85:$G$101,4,FALSE)*线下模式!$U20))*IF(O20="",0,VLOOKUP(O20,'⚪设计'!$C$85:$G$101,4,FALSE)),0)</f>
        <v>12</v>
      </c>
      <c r="T20" s="88" t="str">
        <f>IF(VLOOKUP(A20,'⚪设计'!$A$228:$G$247,7,FALSE)="","",VLOOKUP(VLOOKUP(A20,'⚪设计'!$A$228:$G$247,7,FALSE),'⚪设计'!$B$85:$D$101,2,FALSE))</f>
        <v/>
      </c>
      <c r="U20" s="88">
        <f t="shared" si="3"/>
        <v>0</v>
      </c>
      <c r="V20" s="7">
        <f>'⚪设计'!K245</f>
        <v>0</v>
      </c>
      <c r="W20" s="88">
        <f>IF(T20="",0,ROUND(VLOOKUP($A20,'⚪设计'!$A$228:$B$247,2,FALSE)*$B20/SUM(IF($E20="",0,VLOOKUP($E20,'⚪设计'!$C$85:$E$101,3,FALSE))*$F20,IF($J20="",0,VLOOKUP($J20,'⚪设计'!$C$85:$E$101,3,FALSE))*$K20,IF($O20="",0,VLOOKUP($O20,'⚪设计'!$C$85:$E$101,3,FALSE))*$P20,IF($T20="",0,VLOOKUP($T20,'⚪设计'!$C$85:$E$101,3,FALSE))*$U20)*VLOOKUP(T20,'⚪设计'!$C$85:$E$101,3,FALSE),0))</f>
        <v>0</v>
      </c>
      <c r="X20" s="88">
        <f>ROUND(战斗节奏!$B$3/SUM(IF(线下模式!$E20="",0,VLOOKUP(线下模式!$E20,'⚪设计'!$C$85:$G$101,4,FALSE)*线下模式!$F20),IF(线下模式!$J20="",0,VLOOKUP(线下模式!$J20,'⚪设计'!$C$85:$G$101,4,FALSE)*线下模式!$K20),IF(线下模式!$O20="",0,VLOOKUP(线下模式!$O20,'⚪设计'!$C$85:$G$101,4,FALSE)*线下模式!$P20),IF(线下模式!$T20="",0,VLOOKUP(线下模式!$T20,'⚪设计'!$C$85:$G$101,4,FALSE)*线下模式!$U20))*IF(T20="",0,VLOOKUP(T20,'⚪设计'!$C$85:$G$101,4,FALSE)),0)</f>
        <v>0</v>
      </c>
    </row>
    <row r="21" spans="1:24" x14ac:dyDescent="0.2">
      <c r="A21" s="84">
        <v>19</v>
      </c>
      <c r="B21" s="88">
        <f>MAX(MIN(战斗节奏!$C$3-INT(A21/'⚪设计'!$C$55),MOD(A21,'⚪设计'!$C$55)),0)*'⚪设计'!$C$79*防御塔!$C$2+MIN(INT(A21/'⚪设计'!$C$55),战斗节奏!$C$3)*'⚪设计'!$C$80*防御塔!$C$2</f>
        <v>22500</v>
      </c>
      <c r="C21" s="7">
        <v>1.9</v>
      </c>
      <c r="D21" s="7">
        <v>28</v>
      </c>
      <c r="E21" s="71" t="str">
        <f>IF(VLOOKUP(A21,'⚪设计'!$A$228:$G$247,4,FALSE)="","",VLOOKUP(VLOOKUP(A21,'⚪设计'!$A$228:$G$247,4,FALSE),'⚪设计'!$B$85:$D$101,2,FALSE))</f>
        <v>ResUnit_Dan2</v>
      </c>
      <c r="F21" s="88">
        <f t="shared" si="0"/>
        <v>19</v>
      </c>
      <c r="G21" s="7">
        <f>'⚪设计'!H246</f>
        <v>1.5</v>
      </c>
      <c r="H21" s="88">
        <f>IF(E21="",0,ROUND(VLOOKUP($A21,'⚪设计'!$A$228:$B$247,2,FALSE)*$B21/SUM(IF($E21="",0,VLOOKUP($E21,'⚪设计'!$C$85:$E$101,3,FALSE))*$F21,IF($J21="",0,VLOOKUP($J21,'⚪设计'!$C$85:$E$101,3,FALSE))*$K21,IF($O21="",0,VLOOKUP($O21,'⚪设计'!$C$85:$E$101,3,FALSE))*$P21,IF($T21="",0,VLOOKUP($T21,'⚪设计'!$C$85:$E$101,3,FALSE))*$U21)*VLOOKUP(E21,'⚪设计'!$C$85:$E$101,3,FALSE),0))</f>
        <v>25472</v>
      </c>
      <c r="I21" s="88">
        <f>ROUND(战斗节奏!$B$3/SUM(IF(线下模式!$E21="",0,VLOOKUP(线下模式!$E21,'⚪设计'!$C$85:$G$101,4,FALSE)*线下模式!$F21),IF(线下模式!$J21="",0,VLOOKUP(线下模式!$J21,'⚪设计'!$C$85:$G$101,4,FALSE)*线下模式!$K21),IF(线下模式!$O21="",0,VLOOKUP(线下模式!$O21,'⚪设计'!$C$85:$G$101,4,FALSE)*线下模式!$P21),IF(线下模式!$T21="",0,VLOOKUP(线下模式!$T21,'⚪设计'!$C$85:$G$101,4,FALSE)*线下模式!$U21))*IF(E21="",0,VLOOKUP(E21,'⚪设计'!$C$85:$G$101,4,FALSE)),0)</f>
        <v>9</v>
      </c>
      <c r="J21" s="88" t="str">
        <f>IF(VLOOKUP(A21,'⚪设计'!$A$228:$G$247,5,FALSE)="","",VLOOKUP(VLOOKUP(A21,'⚪设计'!$A$228:$G$247,5,FALSE),'⚪设计'!$B$85:$D$101,2,FALSE))</f>
        <v>ResUnit_Gui2</v>
      </c>
      <c r="K21" s="88">
        <f t="shared" si="1"/>
        <v>37</v>
      </c>
      <c r="L21" s="7">
        <f>'⚪设计'!I246</f>
        <v>0.75</v>
      </c>
      <c r="M21" s="88">
        <f>IF(J21="",0,ROUND(VLOOKUP($A21,'⚪设计'!$A$228:$B$247,2,FALSE)*$B21/SUM(IF($E21="",0,VLOOKUP($E21,'⚪设计'!$C$85:$E$101,3,FALSE))*$F21,IF($J21="",0,VLOOKUP($J21,'⚪设计'!$C$85:$E$101,3,FALSE))*$K21,IF($O21="",0,VLOOKUP($O21,'⚪设计'!$C$85:$E$101,3,FALSE))*$P21,IF($T21="",0,VLOOKUP($T21,'⚪设计'!$C$85:$E$101,3,FALSE))*$U21)*VLOOKUP(J21,'⚪设计'!$C$85:$E$101,3,FALSE),0))</f>
        <v>12736</v>
      </c>
      <c r="N21" s="88">
        <f>ROUND(战斗节奏!$B$3/SUM(IF(线下模式!$E21="",0,VLOOKUP(线下模式!$E21,'⚪设计'!$C$85:$G$101,4,FALSE)*线下模式!$F21),IF(线下模式!$J21="",0,VLOOKUP(线下模式!$J21,'⚪设计'!$C$85:$G$101,4,FALSE)*线下模式!$K21),IF(线下模式!$O21="",0,VLOOKUP(线下模式!$O21,'⚪设计'!$C$85:$G$101,4,FALSE)*线下模式!$P21),IF(线下模式!$T21="",0,VLOOKUP(线下模式!$T21,'⚪设计'!$C$85:$G$101,4,FALSE)*线下模式!$U21))*IF(J21="",0,VLOOKUP(J21,'⚪设计'!$C$85:$G$101,4,FALSE)),0)</f>
        <v>5</v>
      </c>
      <c r="O21" s="71" t="str">
        <f>IF(VLOOKUP(A21,'⚪设计'!$A$228:$G$247,6,FALSE)="","",VLOOKUP(VLOOKUP(A21,'⚪设计'!$A$228:$G$247,6,FALSE),'⚪设计'!$B$85:$D$101,2,FALSE))</f>
        <v>ResUnit_ZhongZi2</v>
      </c>
      <c r="P21" s="88">
        <f t="shared" si="2"/>
        <v>28</v>
      </c>
      <c r="Q21" s="7">
        <f>'⚪设计'!J246</f>
        <v>1</v>
      </c>
      <c r="R21" s="88">
        <f>IF(O21="",0,ROUND(VLOOKUP($A21,'⚪设计'!$A$228:$B$247,2,FALSE)*$B21/SUM(IF($E21="",0,VLOOKUP($E21,'⚪设计'!$C$85:$E$101,3,FALSE))*$F21,IF($J21="",0,VLOOKUP($J21,'⚪设计'!$C$85:$E$101,3,FALSE))*$K21,IF($O21="",0,VLOOKUP($O21,'⚪设计'!$C$85:$E$101,3,FALSE))*$P21,IF($T21="",0,VLOOKUP($T21,'⚪设计'!$C$85:$E$101,3,FALSE))*$U21)*VLOOKUP(O21,'⚪设计'!$C$85:$E$101,3,FALSE),0))</f>
        <v>38208</v>
      </c>
      <c r="S21" s="88">
        <f>ROUND(战斗节奏!$B$3/SUM(IF(线下模式!$E21="",0,VLOOKUP(线下模式!$E21,'⚪设计'!$C$85:$G$101,4,FALSE)*线下模式!$F21),IF(线下模式!$J21="",0,VLOOKUP(线下模式!$J21,'⚪设计'!$C$85:$G$101,4,FALSE)*线下模式!$K21),IF(线下模式!$O21="",0,VLOOKUP(线下模式!$O21,'⚪设计'!$C$85:$G$101,4,FALSE)*线下模式!$P21),IF(线下模式!$T21="",0,VLOOKUP(线下模式!$T21,'⚪设计'!$C$85:$G$101,4,FALSE)*线下模式!$U21))*IF(O21="",0,VLOOKUP(O21,'⚪设计'!$C$85:$G$101,4,FALSE)),0)</f>
        <v>9</v>
      </c>
      <c r="T21" s="88" t="str">
        <f>IF(VLOOKUP(A21,'⚪设计'!$A$228:$G$247,7,FALSE)="","",VLOOKUP(VLOOKUP(A21,'⚪设计'!$A$228:$G$247,7,FALSE),'⚪设计'!$B$85:$D$101,2,FALSE))</f>
        <v/>
      </c>
      <c r="U21" s="88">
        <f t="shared" si="3"/>
        <v>0</v>
      </c>
      <c r="V21" s="7">
        <f>'⚪设计'!K246</f>
        <v>0</v>
      </c>
      <c r="W21" s="88">
        <f>IF(T21="",0,ROUND(VLOOKUP($A21,'⚪设计'!$A$228:$B$247,2,FALSE)*$B21/SUM(IF($E21="",0,VLOOKUP($E21,'⚪设计'!$C$85:$E$101,3,FALSE))*$F21,IF($J21="",0,VLOOKUP($J21,'⚪设计'!$C$85:$E$101,3,FALSE))*$K21,IF($O21="",0,VLOOKUP($O21,'⚪设计'!$C$85:$E$101,3,FALSE))*$P21,IF($T21="",0,VLOOKUP($T21,'⚪设计'!$C$85:$E$101,3,FALSE))*$U21)*VLOOKUP(T21,'⚪设计'!$C$85:$E$101,3,FALSE),0))</f>
        <v>0</v>
      </c>
      <c r="X21" s="88">
        <f>ROUND(战斗节奏!$B$3/SUM(IF(线下模式!$E21="",0,VLOOKUP(线下模式!$E21,'⚪设计'!$C$85:$G$101,4,FALSE)*线下模式!$F21),IF(线下模式!$J21="",0,VLOOKUP(线下模式!$J21,'⚪设计'!$C$85:$G$101,4,FALSE)*线下模式!$K21),IF(线下模式!$O21="",0,VLOOKUP(线下模式!$O21,'⚪设计'!$C$85:$G$101,4,FALSE)*线下模式!$P21),IF(线下模式!$T21="",0,VLOOKUP(线下模式!$T21,'⚪设计'!$C$85:$G$101,4,FALSE)*线下模式!$U21))*IF(T21="",0,VLOOKUP(T21,'⚪设计'!$C$85:$G$101,4,FALSE)),0)</f>
        <v>0</v>
      </c>
    </row>
    <row r="22" spans="1:24" x14ac:dyDescent="0.2">
      <c r="A22" s="84">
        <v>20</v>
      </c>
      <c r="B22" s="88">
        <f>MAX(MIN(战斗节奏!$C$3-INT(A22/'⚪设计'!$C$55),MOD(A22,'⚪设计'!$C$55)),0)*'⚪设计'!$C$79*防御塔!$C$2+MIN(INT(A22/'⚪设计'!$C$55),战斗节奏!$C$3)*'⚪设计'!$C$80*防御塔!$C$2</f>
        <v>23400</v>
      </c>
      <c r="C22" s="7">
        <v>1.95</v>
      </c>
      <c r="D22" s="7">
        <v>29</v>
      </c>
      <c r="E22" s="71" t="str">
        <f>IF(VLOOKUP(A22,'⚪设计'!$A$228:$G$247,4,FALSE)="","",VLOOKUP(VLOOKUP(A22,'⚪设计'!$A$228:$G$247,4,FALSE),'⚪设计'!$B$85:$D$101,2,FALSE))</f>
        <v>ResUnit_MiFeng2</v>
      </c>
      <c r="F22" s="88">
        <f t="shared" si="0"/>
        <v>145</v>
      </c>
      <c r="G22" s="7">
        <f>'⚪设计'!H247</f>
        <v>0.2</v>
      </c>
      <c r="H22" s="88">
        <f>IF(E22="",0,ROUND(VLOOKUP($A22,'⚪设计'!$A$228:$B$247,2,FALSE)*$B22/SUM(IF($E22="",0,VLOOKUP($E22,'⚪设计'!$C$85:$E$101,3,FALSE))*$F22,IF($J22="",0,VLOOKUP($J22,'⚪设计'!$C$85:$E$101,3,FALSE))*$K22,IF($O22="",0,VLOOKUP($O22,'⚪设计'!$C$85:$E$101,3,FALSE))*$P22,IF($T22="",0,VLOOKUP($T22,'⚪设计'!$C$85:$E$101,3,FALSE))*$U22)*VLOOKUP(E22,'⚪设计'!$C$85:$E$101,3,FALSE),0))</f>
        <v>12071</v>
      </c>
      <c r="I22" s="88">
        <f>ROUND(战斗节奏!$B$3/SUM(IF(线下模式!$E22="",0,VLOOKUP(线下模式!$E22,'⚪设计'!$C$85:$G$101,4,FALSE)*线下模式!$F22),IF(线下模式!$J22="",0,VLOOKUP(线下模式!$J22,'⚪设计'!$C$85:$G$101,4,FALSE)*线下模式!$K22),IF(线下模式!$O22="",0,VLOOKUP(线下模式!$O22,'⚪设计'!$C$85:$G$101,4,FALSE)*线下模式!$P22),IF(线下模式!$T22="",0,VLOOKUP(线下模式!$T22,'⚪设计'!$C$85:$G$101,4,FALSE)*线下模式!$U22))*IF(E22="",0,VLOOKUP(E22,'⚪设计'!$C$85:$G$101,4,FALSE)),0)</f>
        <v>3</v>
      </c>
      <c r="J22" s="88" t="str">
        <f>IF(VLOOKUP(A22,'⚪设计'!$A$228:$G$247,5,FALSE)="","",VLOOKUP(VLOOKUP(A22,'⚪设计'!$A$228:$G$247,5,FALSE),'⚪设计'!$B$85:$D$101,2,FALSE))</f>
        <v>ResUnit_Gui3</v>
      </c>
      <c r="K22" s="88">
        <f t="shared" si="1"/>
        <v>1</v>
      </c>
      <c r="L22" s="7">
        <f>'⚪设计'!I247</f>
        <v>0</v>
      </c>
      <c r="M22" s="88">
        <f>IF(J22="",0,ROUND(VLOOKUP($A22,'⚪设计'!$A$228:$B$247,2,FALSE)*$B22/SUM(IF($E22="",0,VLOOKUP($E22,'⚪设计'!$C$85:$E$101,3,FALSE))*$F22,IF($J22="",0,VLOOKUP($J22,'⚪设计'!$C$85:$E$101,3,FALSE))*$K22,IF($O22="",0,VLOOKUP($O22,'⚪设计'!$C$85:$E$101,3,FALSE))*$P22,IF($T22="",0,VLOOKUP($T22,'⚪设计'!$C$85:$E$101,3,FALSE))*$U22)*VLOOKUP(J22,'⚪设计'!$C$85:$E$101,3,FALSE),0))</f>
        <v>241429</v>
      </c>
      <c r="N22" s="88">
        <f>ROUND(战斗节奏!$B$3/SUM(IF(线下模式!$E22="",0,VLOOKUP(线下模式!$E22,'⚪设计'!$C$85:$G$101,4,FALSE)*线下模式!$F22),IF(线下模式!$J22="",0,VLOOKUP(线下模式!$J22,'⚪设计'!$C$85:$G$101,4,FALSE)*线下模式!$K22),IF(线下模式!$O22="",0,VLOOKUP(线下模式!$O22,'⚪设计'!$C$85:$G$101,4,FALSE)*线下模式!$P22),IF(线下模式!$T22="",0,VLOOKUP(线下模式!$T22,'⚪设计'!$C$85:$G$101,4,FALSE)*线下模式!$U22))*IF(J22="",0,VLOOKUP(J22,'⚪设计'!$C$85:$G$101,4,FALSE)),0)</f>
        <v>33</v>
      </c>
      <c r="O22" s="71" t="str">
        <f>IF(VLOOKUP(A22,'⚪设计'!$A$228:$G$247,6,FALSE)="","",VLOOKUP(VLOOKUP(A22,'⚪设计'!$A$228:$G$247,6,FALSE),'⚪设计'!$B$85:$D$101,2,FALSE))</f>
        <v>ResUnit_ZhongZi2</v>
      </c>
      <c r="P22" s="88">
        <f t="shared" si="2"/>
        <v>29</v>
      </c>
      <c r="Q22" s="7">
        <f>'⚪设计'!J247</f>
        <v>1</v>
      </c>
      <c r="R22" s="88">
        <f>IF(O22="",0,ROUND(VLOOKUP($A22,'⚪设计'!$A$228:$B$247,2,FALSE)*$B22/SUM(IF($E22="",0,VLOOKUP($E22,'⚪设计'!$C$85:$E$101,3,FALSE))*$F22,IF($J22="",0,VLOOKUP($J22,'⚪设计'!$C$85:$E$101,3,FALSE))*$K22,IF($O22="",0,VLOOKUP($O22,'⚪设计'!$C$85:$E$101,3,FALSE))*$P22,IF($T22="",0,VLOOKUP($T22,'⚪设计'!$C$85:$E$101,3,FALSE))*$U22)*VLOOKUP(O22,'⚪设计'!$C$85:$E$101,3,FALSE),0))</f>
        <v>36214</v>
      </c>
      <c r="S22" s="88">
        <f>ROUND(战斗节奏!$B$3/SUM(IF(线下模式!$E22="",0,VLOOKUP(线下模式!$E22,'⚪设计'!$C$85:$G$101,4,FALSE)*线下模式!$F22),IF(线下模式!$J22="",0,VLOOKUP(线下模式!$J22,'⚪设计'!$C$85:$G$101,4,FALSE)*线下模式!$K22),IF(线下模式!$O22="",0,VLOOKUP(线下模式!$O22,'⚪设计'!$C$85:$G$101,4,FALSE)*线下模式!$P22),IF(线下模式!$T22="",0,VLOOKUP(线下模式!$T22,'⚪设计'!$C$85:$G$101,4,FALSE)*线下模式!$U22))*IF(O22="",0,VLOOKUP(O22,'⚪设计'!$C$85:$G$101,4,FALSE)),0)</f>
        <v>3</v>
      </c>
      <c r="T22" s="88" t="str">
        <f>IF(VLOOKUP(A22,'⚪设计'!$A$228:$G$247,7,FALSE)="","",VLOOKUP(VLOOKUP(A22,'⚪设计'!$A$228:$G$247,7,FALSE),'⚪设计'!$B$85:$D$101,2,FALSE))</f>
        <v/>
      </c>
      <c r="U22" s="88">
        <f t="shared" si="3"/>
        <v>0</v>
      </c>
      <c r="V22" s="7">
        <f>'⚪设计'!K247</f>
        <v>0</v>
      </c>
      <c r="W22" s="88">
        <f>IF(T22="",0,ROUND(VLOOKUP($A22,'⚪设计'!$A$228:$B$247,2,FALSE)*$B22/SUM(IF($E22="",0,VLOOKUP($E22,'⚪设计'!$C$85:$E$101,3,FALSE))*$F22,IF($J22="",0,VLOOKUP($J22,'⚪设计'!$C$85:$E$101,3,FALSE))*$K22,IF($O22="",0,VLOOKUP($O22,'⚪设计'!$C$85:$E$101,3,FALSE))*$P22,IF($T22="",0,VLOOKUP($T22,'⚪设计'!$C$85:$E$101,3,FALSE))*$U22)*VLOOKUP(T22,'⚪设计'!$C$85:$E$101,3,FALSE),0))</f>
        <v>0</v>
      </c>
      <c r="X22" s="88">
        <f>ROUND(战斗节奏!$B$3/SUM(IF(线下模式!$E22="",0,VLOOKUP(线下模式!$E22,'⚪设计'!$C$85:$G$101,4,FALSE)*线下模式!$F22),IF(线下模式!$J22="",0,VLOOKUP(线下模式!$J22,'⚪设计'!$C$85:$G$101,4,FALSE)*线下模式!$K22),IF(线下模式!$O22="",0,VLOOKUP(线下模式!$O22,'⚪设计'!$C$85:$G$101,4,FALSE)*线下模式!$P22),IF(线下模式!$T22="",0,VLOOKUP(线下模式!$T22,'⚪设计'!$C$85:$G$101,4,FALSE)*线下模式!$U22))*IF(T22="",0,VLOOKUP(T22,'⚪设计'!$C$85:$G$101,4,FALSE)),0)</f>
        <v>0</v>
      </c>
    </row>
  </sheetData>
  <mergeCells count="8">
    <mergeCell ref="O1:S1"/>
    <mergeCell ref="T1:X1"/>
    <mergeCell ref="A1:A2"/>
    <mergeCell ref="B1:B2"/>
    <mergeCell ref="C1:C2"/>
    <mergeCell ref="D1:D2"/>
    <mergeCell ref="E1:I1"/>
    <mergeCell ref="J1:N1"/>
  </mergeCells>
  <phoneticPr fontId="4" type="noConversion"/>
  <conditionalFormatting sqref="A3:X22">
    <cfRule type="cellIs" dxfId="17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0C06-C743-4B5B-AD63-541C1B40FD9C}">
  <dimension ref="A1:Z111"/>
  <sheetViews>
    <sheetView zoomScale="85" zoomScaleNormal="85" workbookViewId="0">
      <selection activeCell="J32" sqref="J32"/>
    </sheetView>
  </sheetViews>
  <sheetFormatPr defaultColWidth="9" defaultRowHeight="14.25" x14ac:dyDescent="0.2"/>
  <cols>
    <col min="1" max="16384" width="9" style="96"/>
  </cols>
  <sheetData>
    <row r="1" spans="1:26" s="161" customFormat="1" x14ac:dyDescent="0.2">
      <c r="A1" s="161" t="s">
        <v>2174</v>
      </c>
    </row>
    <row r="2" spans="1:26" x14ac:dyDescent="0.2">
      <c r="A2" s="158" t="s">
        <v>665</v>
      </c>
      <c r="B2" s="158" t="s">
        <v>62</v>
      </c>
      <c r="C2" s="158" t="s">
        <v>380</v>
      </c>
      <c r="D2" s="158" t="s">
        <v>428</v>
      </c>
      <c r="E2" s="160" t="s">
        <v>430</v>
      </c>
      <c r="F2" s="160" t="s">
        <v>396</v>
      </c>
      <c r="G2" s="158" t="s">
        <v>400</v>
      </c>
      <c r="H2" s="159"/>
      <c r="I2" s="159"/>
      <c r="J2" s="159"/>
      <c r="K2" s="159"/>
      <c r="L2" s="158" t="s">
        <v>401</v>
      </c>
      <c r="M2" s="159"/>
      <c r="N2" s="159"/>
      <c r="O2" s="159"/>
      <c r="P2" s="159"/>
      <c r="Q2" s="158" t="s">
        <v>402</v>
      </c>
      <c r="R2" s="159"/>
      <c r="S2" s="159"/>
      <c r="T2" s="159"/>
      <c r="U2" s="159"/>
      <c r="V2" s="158" t="s">
        <v>403</v>
      </c>
      <c r="W2" s="159"/>
      <c r="X2" s="159"/>
      <c r="Y2" s="159"/>
      <c r="Z2" s="160"/>
    </row>
    <row r="3" spans="1:26" x14ac:dyDescent="0.2">
      <c r="A3" s="85"/>
      <c r="B3" s="85"/>
      <c r="C3" s="85"/>
      <c r="D3" s="85"/>
      <c r="E3" s="86"/>
      <c r="F3" s="86"/>
      <c r="G3" s="85" t="s">
        <v>397</v>
      </c>
      <c r="H3" s="87" t="s">
        <v>283</v>
      </c>
      <c r="I3" s="87" t="s">
        <v>404</v>
      </c>
      <c r="J3" s="87" t="s">
        <v>398</v>
      </c>
      <c r="K3" s="87" t="s">
        <v>399</v>
      </c>
      <c r="L3" s="85" t="s">
        <v>397</v>
      </c>
      <c r="M3" s="87" t="s">
        <v>283</v>
      </c>
      <c r="N3" s="87" t="s">
        <v>404</v>
      </c>
      <c r="O3" s="87" t="s">
        <v>398</v>
      </c>
      <c r="P3" s="87" t="s">
        <v>399</v>
      </c>
      <c r="Q3" s="85" t="s">
        <v>397</v>
      </c>
      <c r="R3" s="87" t="s">
        <v>283</v>
      </c>
      <c r="S3" s="87" t="s">
        <v>404</v>
      </c>
      <c r="T3" s="87" t="s">
        <v>398</v>
      </c>
      <c r="U3" s="87" t="s">
        <v>399</v>
      </c>
      <c r="V3" s="85" t="s">
        <v>397</v>
      </c>
      <c r="W3" s="87" t="s">
        <v>283</v>
      </c>
      <c r="X3" s="87" t="s">
        <v>404</v>
      </c>
      <c r="Y3" s="87" t="s">
        <v>398</v>
      </c>
      <c r="Z3" s="86" t="s">
        <v>399</v>
      </c>
    </row>
    <row r="4" spans="1:26" x14ac:dyDescent="0.2">
      <c r="A4" s="2" t="str">
        <f>B4&amp;"_"&amp;C4</f>
        <v>1_1</v>
      </c>
      <c r="B4" s="2">
        <v>1</v>
      </c>
      <c r="C4" s="2">
        <v>1</v>
      </c>
      <c r="D4" s="97">
        <f>VLOOKUP(C4,无限模式!$A$3:$B$22,2,FALSE)</f>
        <v>900</v>
      </c>
      <c r="E4" s="98">
        <v>1</v>
      </c>
      <c r="F4" s="97">
        <f>VLOOKUP(A4,'⚪设计'!$A$283:$N$306,6,FALSE)</f>
        <v>10</v>
      </c>
      <c r="G4" s="97" t="str">
        <f>IF(VLOOKUP($A4,'⚪设计'!$A$283:$N$306,7,FALSE)="","",VLOOKUP($A4,'⚪设计'!$A$283:$N$306,7,FALSE))</f>
        <v>蜜蜂1</v>
      </c>
      <c r="H4" s="97">
        <f>IF(I4=0,1,IF(I4="","",ROUND($F4/I4,0)))</f>
        <v>5</v>
      </c>
      <c r="I4" s="97">
        <f>IF(VLOOKUP($A4,'⚪设计'!$A$283:$N$306,11,FALSE)="","",VLOOKUP($A4,'⚪设计'!$A$283:$N$306,11,FALSE))</f>
        <v>2</v>
      </c>
      <c r="J4" s="97">
        <f>IF(G4="","",ROUND($D4*VLOOKUP($A4,'⚪设计'!$A$283:$N$306,4,FALSE)/(IF($G4="",0,VLOOKUP($G4,'⚪设计'!$B$85:$H$113,4,FALSE)*$H4)+IF($L4="",0,VLOOKUP($L4,'⚪设计'!$B$85:$H$113,4,FALSE)*$M4)+IF($Q4="",0,VLOOKUP($Q4,'⚪设计'!$B$85:$H$113,4,FALSE)*$R4)+IF($V4="",0,VLOOKUP($V4,'⚪设计'!$B$85:$H$113,4,FALSE)*$W4))*IF(G4="",0,VLOOKUP(G4,'⚪设计'!$B$85:$H$113,4,FALSE)),0))</f>
        <v>53</v>
      </c>
      <c r="K4" s="97">
        <f>IF(G4="","",ROUND(战斗节奏!$B$14/(IF($G4="",0,VLOOKUP($G4,'⚪设计'!$B$85:$H$113,5,FALSE)*$H4)+IF($L4="",0,VLOOKUP($L4,'⚪设计'!$B$85:$H$113,5,FALSE)*$M4)+IF($Q4="",0,VLOOKUP($Q4,'⚪设计'!$B$85:$H$113,5,FALSE)*$R4)+IF($V4="",0,VLOOKUP($V4,'⚪设计'!$B$85:$H$113,5,FALSE)*$W4))*IF(G4="",0,VLOOKUP(G4,'⚪设计'!$B$85:$H$113,5,FALSE)),0))</f>
        <v>35</v>
      </c>
      <c r="L4" s="97" t="str">
        <f>IF(VLOOKUP($A4,'⚪设计'!$A$283:$N$306,8,FALSE)="","",VLOOKUP($A4,'⚪设计'!$A$283:$N$306,8,FALSE))</f>
        <v>鸟1</v>
      </c>
      <c r="M4" s="97">
        <f>IF(N4=0,1,IF(N4="","",ROUND($F4/N4,0)))</f>
        <v>3</v>
      </c>
      <c r="N4" s="97">
        <f>IF(VLOOKUP($A4,'⚪设计'!$A$283:$N$306,12,FALSE)="","",VLOOKUP($A4,'⚪设计'!$A$283:$N$306,12,FALSE))</f>
        <v>3</v>
      </c>
      <c r="O4" s="97">
        <f>IF(L4="","",ROUND($D4*VLOOKUP($A4,'⚪设计'!$A$283:$N$306,4,FALSE)/(IF($G4="",0,VLOOKUP($G4,'⚪设计'!$B$85:$H$113,4,FALSE)*$H4)+IF($L4="",0,VLOOKUP($L4,'⚪设计'!$B$85:$H$113,4,FALSE)*$M4)+IF($Q4="",0,VLOOKUP($Q4,'⚪设计'!$B$85:$H$113,4,FALSE)*$R4)+IF($V4="",0,VLOOKUP($V4,'⚪设计'!$B$85:$H$113,4,FALSE)*$W4))*IF(L4="",0,VLOOKUP(L4,'⚪设计'!$B$85:$H$113,4,FALSE)),0))</f>
        <v>212</v>
      </c>
      <c r="P4" s="97">
        <f>IF(L4="","",ROUND(战斗节奏!$B$14/(IF($G4="",0,VLOOKUP($G4,'⚪设计'!$B$85:$H$113,5,FALSE)*$H4)+IF($L4="",0,VLOOKUP($L4,'⚪设计'!$B$85:$H$113,5,FALSE)*$M4)+IF($Q4="",0,VLOOKUP($Q4,'⚪设计'!$B$85:$H$113,5,FALSE)*$R4)+IF($V4="",0,VLOOKUP($V4,'⚪设计'!$B$85:$H$113,5,FALSE)*$W4))*IF(L4="",0,VLOOKUP(L4,'⚪设计'!$B$85:$H$113,5,FALSE)),0))</f>
        <v>141</v>
      </c>
      <c r="Q4" s="97" t="str">
        <f>IF(VLOOKUP($A4,'⚪设计'!$A$283:$N$306,9,FALSE)="","",VLOOKUP($A4,'⚪设计'!$A$283:$N$306,9,FALSE))</f>
        <v/>
      </c>
      <c r="R4" s="97" t="str">
        <f>IF(S4=0,1,IF(S4="","",ROUND($F4/S4,0)))</f>
        <v/>
      </c>
      <c r="S4" s="97" t="str">
        <f>IF(VLOOKUP($A4,'⚪设计'!$A$283:$N$306,13,FALSE)="","",VLOOKUP($A4,'⚪设计'!$A$283:$N$306,13,FALSE))</f>
        <v/>
      </c>
      <c r="T4" s="97" t="str">
        <f>IF(Q4="","",ROUND($D4*VLOOKUP($A4,'⚪设计'!$A$283:$N$306,4,FALSE)/(IF($G4="",0,VLOOKUP($G4,'⚪设计'!$B$85:$H$113,4,FALSE)*$H4)+IF($L4="",0,VLOOKUP($L4,'⚪设计'!$B$85:$H$113,4,FALSE)*$M4)+IF($Q4="",0,VLOOKUP($Q4,'⚪设计'!$B$85:$H$113,4,FALSE)*$R4)+IF($V4="",0,VLOOKUP($V4,'⚪设计'!$B$85:$H$113,4,FALSE)*$W4))*IF(Q4="",0,VLOOKUP(Q4,'⚪设计'!$B$85:$H$113,4,FALSE)),0))</f>
        <v/>
      </c>
      <c r="U4" s="97" t="str">
        <f>IF(Q4="","",ROUND(战斗节奏!$B$14/(IF($G4="",0,VLOOKUP($G4,'⚪设计'!$B$85:$H$113,5,FALSE)*$H4)+IF($L4="",0,VLOOKUP($L4,'⚪设计'!$B$85:$H$113,5,FALSE)*$M4)+IF($Q4="",0,VLOOKUP($Q4,'⚪设计'!$B$85:$H$113,5,FALSE)*$R4)+IF($V4="",0,VLOOKUP($V4,'⚪设计'!$B$85:$H$113,5,FALSE)*$W4))*IF(Q4="",0,VLOOKUP(Q4,'⚪设计'!$B$85:$H$113,5,FALSE)),0))</f>
        <v/>
      </c>
      <c r="V4" s="97" t="str">
        <f>IF(VLOOKUP($A4,'⚪设计'!$A$283:$N$306,10,FALSE)="","",VLOOKUP($A4,'⚪设计'!$A$283:$N$306,10,FALSE))</f>
        <v/>
      </c>
      <c r="W4" s="97" t="str">
        <f>IF(X4=0,1,IF(X4="","",ROUND($F4/X4,0)))</f>
        <v/>
      </c>
      <c r="X4" s="97" t="str">
        <f>IF(VLOOKUP($A4,'⚪设计'!$A$283:$N$306,14,FALSE)="","",VLOOKUP($A4,'⚪设计'!$A$283:$N$306,14,FALSE))</f>
        <v/>
      </c>
      <c r="Y4" s="97" t="str">
        <f>IF(V4="","",ROUND($D4*VLOOKUP($A4,'⚪设计'!$A$283:$N$306,4,FALSE)/(IF($G4="",0,VLOOKUP($G4,'⚪设计'!$B$85:$H$113,4,FALSE)*$H4)+IF($L4="",0,VLOOKUP($L4,'⚪设计'!$B$85:$H$113,4,FALSE)*$M4)+IF($Q4="",0,VLOOKUP($Q4,'⚪设计'!$B$85:$H$113,4,FALSE)*$R4)+IF($V4="",0,VLOOKUP($V4,'⚪设计'!$B$85:$H$113,4,FALSE)*$W4))*IF(V4="",0,VLOOKUP(V4,'⚪设计'!$B$85:$H$113,4,FALSE)),0))</f>
        <v/>
      </c>
      <c r="Z4" s="97" t="str">
        <f>IF(V4="","",ROUND(战斗节奏!$B$14/(IF($G4="",0,VLOOKUP($G4,'⚪设计'!$B$85:$H$113,5,FALSE)*$H4)+IF($L4="",0,VLOOKUP($L4,'⚪设计'!$B$85:$H$113,5,FALSE)*$M4)+IF($Q4="",0,VLOOKUP($Q4,'⚪设计'!$B$85:$H$113,5,FALSE)*$R4)+IF($V4="",0,VLOOKUP($V4,'⚪设计'!$B$85:$H$113,5,FALSE)*$W4))*IF(V4="",0,VLOOKUP(V4,'⚪设计'!$B$85:$H$113,5,FALSE)),0))</f>
        <v/>
      </c>
    </row>
    <row r="5" spans="1:26" x14ac:dyDescent="0.2">
      <c r="A5" s="2" t="str">
        <f t="shared" ref="A5:A27" si="0">B5&amp;"_"&amp;C5</f>
        <v>1_2</v>
      </c>
      <c r="B5" s="2">
        <v>1</v>
      </c>
      <c r="C5" s="2">
        <v>2</v>
      </c>
      <c r="D5" s="97">
        <f>VLOOKUP(C5,无限模式!$A$3:$B$22,2,FALSE)</f>
        <v>1800</v>
      </c>
      <c r="E5" s="98">
        <v>1</v>
      </c>
      <c r="F5" s="97">
        <f>VLOOKUP(A5,'⚪设计'!$A$283:$N$306,6,FALSE)</f>
        <v>12.5</v>
      </c>
      <c r="G5" s="97" t="str">
        <f>IF(VLOOKUP($A5,'⚪设计'!$A$283:$N$306,7,FALSE)="","",VLOOKUP($A5,'⚪设计'!$A$283:$N$306,7,FALSE))</f>
        <v>蜜蜂1</v>
      </c>
      <c r="H5" s="97">
        <f t="shared" ref="H5:H27" si="1">IF(I5=0,1,IF(I5="","",ROUND($F5/I5,0)))</f>
        <v>25</v>
      </c>
      <c r="I5" s="97">
        <f>IF(VLOOKUP($A5,'⚪设计'!$A$283:$N$306,11,FALSE)="","",VLOOKUP($A5,'⚪设计'!$A$283:$N$306,11,FALSE))</f>
        <v>0.5</v>
      </c>
      <c r="J5" s="97">
        <f>IF(G5="","",ROUND($D5*VLOOKUP($A5,'⚪设计'!$A$283:$N$306,4,FALSE)/(IF($G5="",0,VLOOKUP($G5,'⚪设计'!$B$85:$H$113,4,FALSE)*$H5)+IF($L5="",0,VLOOKUP($L5,'⚪设计'!$B$85:$H$113,4,FALSE)*$M5)+IF($Q5="",0,VLOOKUP($Q5,'⚪设计'!$B$85:$H$113,4,FALSE)*$R5)+IF($V5="",0,VLOOKUP($V5,'⚪设计'!$B$85:$H$113,4,FALSE)*$W5))*IF(G5="",0,VLOOKUP(G5,'⚪设计'!$B$85:$H$113,4,FALSE)),0))</f>
        <v>105</v>
      </c>
      <c r="K5" s="97">
        <f>IF(G5="","",ROUND(战斗节奏!$B$14/(IF($G5="",0,VLOOKUP($G5,'⚪设计'!$B$85:$H$113,5,FALSE)*$H5)+IF($L5="",0,VLOOKUP($L5,'⚪设计'!$B$85:$H$113,5,FALSE)*$M5)+IF($Q5="",0,VLOOKUP($Q5,'⚪设计'!$B$85:$H$113,5,FALSE)*$R5)+IF($V5="",0,VLOOKUP($V5,'⚪设计'!$B$85:$H$113,5,FALSE)*$W5))*IF(G5="",0,VLOOKUP(G5,'⚪设计'!$B$85:$H$113,5,FALSE)),0))</f>
        <v>15</v>
      </c>
      <c r="L5" s="97" t="str">
        <f>IF(VLOOKUP($A5,'⚪设计'!$A$283:$N$306,8,FALSE)="","",VLOOKUP($A5,'⚪设计'!$A$283:$N$306,8,FALSE))</f>
        <v>鸟1</v>
      </c>
      <c r="M5" s="97">
        <f t="shared" ref="M5:M27" si="2">IF(N5=0,1,IF(N5="","",ROUND($F5/N5,0)))</f>
        <v>4</v>
      </c>
      <c r="N5" s="97">
        <f>IF(VLOOKUP($A5,'⚪设计'!$A$283:$N$306,12,FALSE)="","",VLOOKUP($A5,'⚪设计'!$A$283:$N$306,12,FALSE))</f>
        <v>3</v>
      </c>
      <c r="O5" s="97">
        <f>IF(L5="","",ROUND($D5*VLOOKUP($A5,'⚪设计'!$A$283:$N$306,4,FALSE)/(IF($G5="",0,VLOOKUP($G5,'⚪设计'!$B$85:$H$113,4,FALSE)*$H5)+IF($L5="",0,VLOOKUP($L5,'⚪设计'!$B$85:$H$113,4,FALSE)*$M5)+IF($Q5="",0,VLOOKUP($Q5,'⚪设计'!$B$85:$H$113,4,FALSE)*$R5)+IF($V5="",0,VLOOKUP($V5,'⚪设计'!$B$85:$H$113,4,FALSE)*$W5))*IF(L5="",0,VLOOKUP(L5,'⚪设计'!$B$85:$H$113,4,FALSE)),0))</f>
        <v>421</v>
      </c>
      <c r="P5" s="97">
        <f>IF(L5="","",ROUND(战斗节奏!$B$14/(IF($G5="",0,VLOOKUP($G5,'⚪设计'!$B$85:$H$113,5,FALSE)*$H5)+IF($L5="",0,VLOOKUP($L5,'⚪设计'!$B$85:$H$113,5,FALSE)*$M5)+IF($Q5="",0,VLOOKUP($Q5,'⚪设计'!$B$85:$H$113,5,FALSE)*$R5)+IF($V5="",0,VLOOKUP($V5,'⚪设计'!$B$85:$H$113,5,FALSE)*$W5))*IF(L5="",0,VLOOKUP(L5,'⚪设计'!$B$85:$H$113,5,FALSE)),0))</f>
        <v>59</v>
      </c>
      <c r="Q5" s="97" t="str">
        <f>IF(VLOOKUP($A5,'⚪设计'!$A$283:$N$306,9,FALSE)="","",VLOOKUP($A5,'⚪设计'!$A$283:$N$306,9,FALSE))</f>
        <v/>
      </c>
      <c r="R5" s="97" t="str">
        <f t="shared" ref="R5:R27" si="3">IF(S5=0,1,IF(S5="","",ROUND($F5/S5,0)))</f>
        <v/>
      </c>
      <c r="S5" s="97" t="str">
        <f>IF(VLOOKUP($A5,'⚪设计'!$A$283:$N$306,13,FALSE)="","",VLOOKUP($A5,'⚪设计'!$A$283:$N$306,13,FALSE))</f>
        <v/>
      </c>
      <c r="T5" s="97" t="str">
        <f>IF(Q5="","",ROUND($D5*VLOOKUP($A5,'⚪设计'!$A$283:$N$306,4,FALSE)/(IF($G5="",0,VLOOKUP($G5,'⚪设计'!$B$85:$H$113,4,FALSE)*$H5)+IF($L5="",0,VLOOKUP($L5,'⚪设计'!$B$85:$H$113,4,FALSE)*$M5)+IF($Q5="",0,VLOOKUP($Q5,'⚪设计'!$B$85:$H$113,4,FALSE)*$R5)+IF($V5="",0,VLOOKUP($V5,'⚪设计'!$B$85:$H$113,4,FALSE)*$W5))*IF(Q5="",0,VLOOKUP(Q5,'⚪设计'!$B$85:$H$113,4,FALSE)),0))</f>
        <v/>
      </c>
      <c r="U5" s="97" t="str">
        <f>IF(Q5="","",ROUND(战斗节奏!$B$14/(IF($G5="",0,VLOOKUP($G5,'⚪设计'!$B$85:$H$113,5,FALSE)*$H5)+IF($L5="",0,VLOOKUP($L5,'⚪设计'!$B$85:$H$113,5,FALSE)*$M5)+IF($Q5="",0,VLOOKUP($Q5,'⚪设计'!$B$85:$H$113,5,FALSE)*$R5)+IF($V5="",0,VLOOKUP($V5,'⚪设计'!$B$85:$H$113,5,FALSE)*$W5))*IF(Q5="",0,VLOOKUP(Q5,'⚪设计'!$B$85:$H$113,5,FALSE)),0))</f>
        <v/>
      </c>
      <c r="V5" s="97" t="str">
        <f>IF(VLOOKUP($A5,'⚪设计'!$A$283:$N$306,10,FALSE)="","",VLOOKUP($A5,'⚪设计'!$A$283:$N$306,10,FALSE))</f>
        <v/>
      </c>
      <c r="W5" s="97" t="str">
        <f t="shared" ref="W5:W27" si="4">IF(X5=0,1,IF(X5="","",ROUND($F5/X5,0)))</f>
        <v/>
      </c>
      <c r="X5" s="97" t="str">
        <f>IF(VLOOKUP($A5,'⚪设计'!$A$283:$N$306,14,FALSE)="","",VLOOKUP($A5,'⚪设计'!$A$283:$N$306,14,FALSE))</f>
        <v/>
      </c>
      <c r="Y5" s="97" t="str">
        <f>IF(V5="","",ROUND($D5*VLOOKUP($A5,'⚪设计'!$A$283:$N$306,4,FALSE)/(IF($G5="",0,VLOOKUP($G5,'⚪设计'!$B$85:$H$113,4,FALSE)*$H5)+IF($L5="",0,VLOOKUP($L5,'⚪设计'!$B$85:$H$113,4,FALSE)*$M5)+IF($Q5="",0,VLOOKUP($Q5,'⚪设计'!$B$85:$H$113,4,FALSE)*$R5)+IF($V5="",0,VLOOKUP($V5,'⚪设计'!$B$85:$H$113,4,FALSE)*$W5))*IF(V5="",0,VLOOKUP(V5,'⚪设计'!$B$85:$H$113,4,FALSE)),0))</f>
        <v/>
      </c>
      <c r="Z5" s="97" t="str">
        <f>IF(V5="","",ROUND(战斗节奏!$B$14/(IF($G5="",0,VLOOKUP($G5,'⚪设计'!$B$85:$H$113,5,FALSE)*$H5)+IF($L5="",0,VLOOKUP($L5,'⚪设计'!$B$85:$H$113,5,FALSE)*$M5)+IF($Q5="",0,VLOOKUP($Q5,'⚪设计'!$B$85:$H$113,5,FALSE)*$R5)+IF($V5="",0,VLOOKUP($V5,'⚪设计'!$B$85:$H$113,5,FALSE)*$W5))*IF(V5="",0,VLOOKUP(V5,'⚪设计'!$B$85:$H$113,5,FALSE)),0))</f>
        <v/>
      </c>
    </row>
    <row r="6" spans="1:26" x14ac:dyDescent="0.2">
      <c r="A6" s="2" t="str">
        <f t="shared" si="0"/>
        <v>1_3</v>
      </c>
      <c r="B6" s="2">
        <v>1</v>
      </c>
      <c r="C6" s="2">
        <v>3</v>
      </c>
      <c r="D6" s="97">
        <f>VLOOKUP(C6,无限模式!$A$3:$B$22,2,FALSE)</f>
        <v>3600</v>
      </c>
      <c r="E6" s="98">
        <v>1</v>
      </c>
      <c r="F6" s="97">
        <f>VLOOKUP(A6,'⚪设计'!$A$283:$N$306,6,FALSE)</f>
        <v>15</v>
      </c>
      <c r="G6" s="97" t="str">
        <f>IF(VLOOKUP($A6,'⚪设计'!$A$283:$N$306,7,FALSE)="","",VLOOKUP($A6,'⚪设计'!$A$283:$N$306,7,FALSE))</f>
        <v>蜜蜂1</v>
      </c>
      <c r="H6" s="97">
        <f t="shared" si="1"/>
        <v>30</v>
      </c>
      <c r="I6" s="97">
        <f>IF(VLOOKUP($A6,'⚪设计'!$A$283:$N$306,11,FALSE)="","",VLOOKUP($A6,'⚪设计'!$A$283:$N$306,11,FALSE))</f>
        <v>0.5</v>
      </c>
      <c r="J6" s="97">
        <f>IF(G6="","",ROUND($D6*VLOOKUP($A6,'⚪设计'!$A$283:$N$306,4,FALSE)/(IF($G6="",0,VLOOKUP($G6,'⚪设计'!$B$85:$H$113,4,FALSE)*$H6)+IF($L6="",0,VLOOKUP($L6,'⚪设计'!$B$85:$H$113,4,FALSE)*$M6)+IF($Q6="",0,VLOOKUP($Q6,'⚪设计'!$B$85:$H$113,4,FALSE)*$R6)+IF($V6="",0,VLOOKUP($V6,'⚪设计'!$B$85:$H$113,4,FALSE)*$W6))*IF(G6="",0,VLOOKUP(G6,'⚪设计'!$B$85:$H$113,4,FALSE)),0))</f>
        <v>120</v>
      </c>
      <c r="K6" s="97">
        <f>IF(G6="","",ROUND(战斗节奏!$B$14/(IF($G6="",0,VLOOKUP($G6,'⚪设计'!$B$85:$H$113,5,FALSE)*$H6)+IF($L6="",0,VLOOKUP($L6,'⚪设计'!$B$85:$H$113,5,FALSE)*$M6)+IF($Q6="",0,VLOOKUP($Q6,'⚪设计'!$B$85:$H$113,5,FALSE)*$R6)+IF($V6="",0,VLOOKUP($V6,'⚪设计'!$B$85:$H$113,5,FALSE)*$W6))*IF(G6="",0,VLOOKUP(G6,'⚪设计'!$B$85:$H$113,5,FALSE)),0))</f>
        <v>7</v>
      </c>
      <c r="L6" s="97" t="str">
        <f>IF(VLOOKUP($A6,'⚪设计'!$A$283:$N$306,8,FALSE)="","",VLOOKUP($A6,'⚪设计'!$A$283:$N$306,8,FALSE))</f>
        <v>蜜蜂2</v>
      </c>
      <c r="M6" s="97">
        <f t="shared" si="2"/>
        <v>5</v>
      </c>
      <c r="N6" s="97">
        <f>IF(VLOOKUP($A6,'⚪设计'!$A$283:$N$306,12,FALSE)="","",VLOOKUP($A6,'⚪设计'!$A$283:$N$306,12,FALSE))</f>
        <v>3</v>
      </c>
      <c r="O6" s="97">
        <f>IF(L6="","",ROUND($D6*VLOOKUP($A6,'⚪设计'!$A$283:$N$306,4,FALSE)/(IF($G6="",0,VLOOKUP($G6,'⚪设计'!$B$85:$H$113,4,FALSE)*$H6)+IF($L6="",0,VLOOKUP($L6,'⚪设计'!$B$85:$H$113,4,FALSE)*$M6)+IF($Q6="",0,VLOOKUP($Q6,'⚪设计'!$B$85:$H$113,4,FALSE)*$R6)+IF($V6="",0,VLOOKUP($V6,'⚪设计'!$B$85:$H$113,4,FALSE)*$W6))*IF(L6="",0,VLOOKUP(L6,'⚪设计'!$B$85:$H$113,4,FALSE)),0))</f>
        <v>480</v>
      </c>
      <c r="P6" s="97">
        <f>IF(L6="","",ROUND(战斗节奏!$B$14/(IF($G6="",0,VLOOKUP($G6,'⚪设计'!$B$85:$H$113,5,FALSE)*$H6)+IF($L6="",0,VLOOKUP($L6,'⚪设计'!$B$85:$H$113,5,FALSE)*$M6)+IF($Q6="",0,VLOOKUP($Q6,'⚪设计'!$B$85:$H$113,5,FALSE)*$R6)+IF($V6="",0,VLOOKUP($V6,'⚪设计'!$B$85:$H$113,5,FALSE)*$W6))*IF(L6="",0,VLOOKUP(L6,'⚪设计'!$B$85:$H$113,5,FALSE)),0))</f>
        <v>27</v>
      </c>
      <c r="Q6" s="97" t="str">
        <f>IF(VLOOKUP($A6,'⚪设计'!$A$283:$N$306,9,FALSE)="","",VLOOKUP($A6,'⚪设计'!$A$283:$N$306,9,FALSE))</f>
        <v>鸟1</v>
      </c>
      <c r="R6" s="97">
        <f t="shared" si="3"/>
        <v>10</v>
      </c>
      <c r="S6" s="97">
        <f>IF(VLOOKUP($A6,'⚪设计'!$A$283:$N$306,13,FALSE)="","",VLOOKUP($A6,'⚪设计'!$A$283:$N$306,13,FALSE))</f>
        <v>1.5</v>
      </c>
      <c r="T6" s="97">
        <f>IF(Q6="","",ROUND($D6*VLOOKUP($A6,'⚪设计'!$A$283:$N$306,4,FALSE)/(IF($G6="",0,VLOOKUP($G6,'⚪设计'!$B$85:$H$113,4,FALSE)*$H6)+IF($L6="",0,VLOOKUP($L6,'⚪设计'!$B$85:$H$113,4,FALSE)*$M6)+IF($Q6="",0,VLOOKUP($Q6,'⚪设计'!$B$85:$H$113,4,FALSE)*$R6)+IF($V6="",0,VLOOKUP($V6,'⚪设计'!$B$85:$H$113,4,FALSE)*$W6))*IF(Q6="",0,VLOOKUP(Q6,'⚪设计'!$B$85:$H$113,4,FALSE)),0))</f>
        <v>480</v>
      </c>
      <c r="U6" s="97">
        <f>IF(Q6="","",ROUND(战斗节奏!$B$14/(IF($G6="",0,VLOOKUP($G6,'⚪设计'!$B$85:$H$113,5,FALSE)*$H6)+IF($L6="",0,VLOOKUP($L6,'⚪设计'!$B$85:$H$113,5,FALSE)*$M6)+IF($Q6="",0,VLOOKUP($Q6,'⚪设计'!$B$85:$H$113,5,FALSE)*$R6)+IF($V6="",0,VLOOKUP($V6,'⚪设计'!$B$85:$H$113,5,FALSE)*$W6))*IF(Q6="",0,VLOOKUP(Q6,'⚪设计'!$B$85:$H$113,5,FALSE)),0))</f>
        <v>27</v>
      </c>
      <c r="V6" s="97" t="str">
        <f>IF(VLOOKUP($A6,'⚪设计'!$A$283:$N$306,10,FALSE)="","",VLOOKUP($A6,'⚪设计'!$A$283:$N$306,10,FALSE))</f>
        <v/>
      </c>
      <c r="W6" s="97" t="str">
        <f t="shared" si="4"/>
        <v/>
      </c>
      <c r="X6" s="97" t="str">
        <f>IF(VLOOKUP($A6,'⚪设计'!$A$283:$N$306,14,FALSE)="","",VLOOKUP($A6,'⚪设计'!$A$283:$N$306,14,FALSE))</f>
        <v/>
      </c>
      <c r="Y6" s="97" t="str">
        <f>IF(V6="","",ROUND($D6*VLOOKUP($A6,'⚪设计'!$A$283:$N$306,4,FALSE)/(IF($G6="",0,VLOOKUP($G6,'⚪设计'!$B$85:$H$113,4,FALSE)*$H6)+IF($L6="",0,VLOOKUP($L6,'⚪设计'!$B$85:$H$113,4,FALSE)*$M6)+IF($Q6="",0,VLOOKUP($Q6,'⚪设计'!$B$85:$H$113,4,FALSE)*$R6)+IF($V6="",0,VLOOKUP($V6,'⚪设计'!$B$85:$H$113,4,FALSE)*$W6))*IF(V6="",0,VLOOKUP(V6,'⚪设计'!$B$85:$H$113,4,FALSE)),0))</f>
        <v/>
      </c>
      <c r="Z6" s="97" t="str">
        <f>IF(V6="","",ROUND(战斗节奏!$B$14/(IF($G6="",0,VLOOKUP($G6,'⚪设计'!$B$85:$H$113,5,FALSE)*$H6)+IF($L6="",0,VLOOKUP($L6,'⚪设计'!$B$85:$H$113,5,FALSE)*$M6)+IF($Q6="",0,VLOOKUP($Q6,'⚪设计'!$B$85:$H$113,5,FALSE)*$R6)+IF($V6="",0,VLOOKUP($V6,'⚪设计'!$B$85:$H$113,5,FALSE)*$W6))*IF(V6="",0,VLOOKUP(V6,'⚪设计'!$B$85:$H$113,5,FALSE)),0))</f>
        <v/>
      </c>
    </row>
    <row r="7" spans="1:26" x14ac:dyDescent="0.2">
      <c r="A7" s="2" t="str">
        <f t="shared" si="0"/>
        <v>2_1</v>
      </c>
      <c r="B7" s="2">
        <v>2</v>
      </c>
      <c r="C7" s="2">
        <v>1</v>
      </c>
      <c r="D7" s="97">
        <f>VLOOKUP(C7,无限模式!$A$3:$B$22,2,FALSE)</f>
        <v>900</v>
      </c>
      <c r="E7" s="98">
        <v>1</v>
      </c>
      <c r="F7" s="97">
        <f>VLOOKUP(A7,'⚪设计'!$A$283:$N$306,6,FALSE)</f>
        <v>10</v>
      </c>
      <c r="G7" s="97" t="str">
        <f>IF(VLOOKUP($A7,'⚪设计'!$A$283:$N$306,7,FALSE)="","",VLOOKUP($A7,'⚪设计'!$A$283:$N$306,7,FALSE))</f>
        <v>蜘蛛1</v>
      </c>
      <c r="H7" s="97">
        <f t="shared" si="1"/>
        <v>5</v>
      </c>
      <c r="I7" s="97">
        <f>IF(VLOOKUP($A7,'⚪设计'!$A$283:$N$306,11,FALSE)="","",VLOOKUP($A7,'⚪设计'!$A$283:$N$306,11,FALSE))</f>
        <v>2</v>
      </c>
      <c r="J7" s="97">
        <f>IF(G7="","",ROUND($D7*VLOOKUP($A7,'⚪设计'!$A$283:$N$306,4,FALSE)/(IF($G7="",0,VLOOKUP($G7,'⚪设计'!$B$85:$H$113,4,FALSE)*$H7)+IF($L7="",0,VLOOKUP($L7,'⚪设计'!$B$85:$H$113,4,FALSE)*$M7)+IF($Q7="",0,VLOOKUP($Q7,'⚪设计'!$B$85:$H$113,4,FALSE)*$R7)+IF($V7="",0,VLOOKUP($V7,'⚪设计'!$B$85:$H$113,4,FALSE)*$W7))*IF(G7="",0,VLOOKUP(G7,'⚪设计'!$B$85:$H$113,4,FALSE)),0))</f>
        <v>60</v>
      </c>
      <c r="K7" s="97">
        <f>IF(G7="","",ROUND(战斗节奏!$B$14/(IF($G7="",0,VLOOKUP($G7,'⚪设计'!$B$85:$H$113,5,FALSE)*$H7)+IF($L7="",0,VLOOKUP($L7,'⚪设计'!$B$85:$H$113,5,FALSE)*$M7)+IF($Q7="",0,VLOOKUP($Q7,'⚪设计'!$B$85:$H$113,5,FALSE)*$R7)+IF($V7="",0,VLOOKUP($V7,'⚪设计'!$B$85:$H$113,5,FALSE)*$W7))*IF(G7="",0,VLOOKUP(G7,'⚪设计'!$B$85:$H$113,5,FALSE)),0))</f>
        <v>40</v>
      </c>
      <c r="L7" s="97" t="str">
        <f>IF(VLOOKUP($A7,'⚪设计'!$A$283:$N$306,8,FALSE)="","",VLOOKUP($A7,'⚪设计'!$A$283:$N$306,8,FALSE))</f>
        <v>鸟1</v>
      </c>
      <c r="M7" s="97">
        <f t="shared" si="2"/>
        <v>5</v>
      </c>
      <c r="N7" s="97">
        <f>IF(VLOOKUP($A7,'⚪设计'!$A$283:$N$306,12,FALSE)="","",VLOOKUP($A7,'⚪设计'!$A$283:$N$306,12,FALSE))</f>
        <v>2</v>
      </c>
      <c r="O7" s="97">
        <f>IF(L7="","",ROUND($D7*VLOOKUP($A7,'⚪设计'!$A$283:$N$306,4,FALSE)/(IF($G7="",0,VLOOKUP($G7,'⚪设计'!$B$85:$H$113,4,FALSE)*$H7)+IF($L7="",0,VLOOKUP($L7,'⚪设计'!$B$85:$H$113,4,FALSE)*$M7)+IF($Q7="",0,VLOOKUP($Q7,'⚪设计'!$B$85:$H$113,4,FALSE)*$R7)+IF($V7="",0,VLOOKUP($V7,'⚪设计'!$B$85:$H$113,4,FALSE)*$W7))*IF(L7="",0,VLOOKUP(L7,'⚪设计'!$B$85:$H$113,4,FALSE)),0))</f>
        <v>120</v>
      </c>
      <c r="P7" s="97">
        <f>IF(L7="","",ROUND(战斗节奏!$B$14/(IF($G7="",0,VLOOKUP($G7,'⚪设计'!$B$85:$H$113,5,FALSE)*$H7)+IF($L7="",0,VLOOKUP($L7,'⚪设计'!$B$85:$H$113,5,FALSE)*$M7)+IF($Q7="",0,VLOOKUP($Q7,'⚪设计'!$B$85:$H$113,5,FALSE)*$R7)+IF($V7="",0,VLOOKUP($V7,'⚪设计'!$B$85:$H$113,5,FALSE)*$W7))*IF(L7="",0,VLOOKUP(L7,'⚪设计'!$B$85:$H$113,5,FALSE)),0))</f>
        <v>80</v>
      </c>
      <c r="Q7" s="97" t="str">
        <f>IF(VLOOKUP($A7,'⚪设计'!$A$283:$N$306,9,FALSE)="","",VLOOKUP($A7,'⚪设计'!$A$283:$N$306,9,FALSE))</f>
        <v/>
      </c>
      <c r="R7" s="97" t="str">
        <f t="shared" si="3"/>
        <v/>
      </c>
      <c r="S7" s="97" t="str">
        <f>IF(VLOOKUP($A7,'⚪设计'!$A$283:$N$306,13,FALSE)="","",VLOOKUP($A7,'⚪设计'!$A$283:$N$306,13,FALSE))</f>
        <v/>
      </c>
      <c r="T7" s="97" t="str">
        <f>IF(Q7="","",ROUND($D7*VLOOKUP($A7,'⚪设计'!$A$283:$N$306,4,FALSE)/(IF($G7="",0,VLOOKUP($G7,'⚪设计'!$B$85:$H$113,4,FALSE)*$H7)+IF($L7="",0,VLOOKUP($L7,'⚪设计'!$B$85:$H$113,4,FALSE)*$M7)+IF($Q7="",0,VLOOKUP($Q7,'⚪设计'!$B$85:$H$113,4,FALSE)*$R7)+IF($V7="",0,VLOOKUP($V7,'⚪设计'!$B$85:$H$113,4,FALSE)*$W7))*IF(Q7="",0,VLOOKUP(Q7,'⚪设计'!$B$85:$H$113,4,FALSE)),0))</f>
        <v/>
      </c>
      <c r="U7" s="97" t="str">
        <f>IF(Q7="","",ROUND(战斗节奏!$B$14/(IF($G7="",0,VLOOKUP($G7,'⚪设计'!$B$85:$H$113,5,FALSE)*$H7)+IF($L7="",0,VLOOKUP($L7,'⚪设计'!$B$85:$H$113,5,FALSE)*$M7)+IF($Q7="",0,VLOOKUP($Q7,'⚪设计'!$B$85:$H$113,5,FALSE)*$R7)+IF($V7="",0,VLOOKUP($V7,'⚪设计'!$B$85:$H$113,5,FALSE)*$W7))*IF(Q7="",0,VLOOKUP(Q7,'⚪设计'!$B$85:$H$113,5,FALSE)),0))</f>
        <v/>
      </c>
      <c r="V7" s="97" t="str">
        <f>IF(VLOOKUP($A7,'⚪设计'!$A$283:$N$306,10,FALSE)="","",VLOOKUP($A7,'⚪设计'!$A$283:$N$306,10,FALSE))</f>
        <v/>
      </c>
      <c r="W7" s="97" t="str">
        <f t="shared" si="4"/>
        <v/>
      </c>
      <c r="X7" s="97" t="str">
        <f>IF(VLOOKUP($A7,'⚪设计'!$A$283:$N$306,14,FALSE)="","",VLOOKUP($A7,'⚪设计'!$A$283:$N$306,14,FALSE))</f>
        <v/>
      </c>
      <c r="Y7" s="97" t="str">
        <f>IF(V7="","",ROUND($D7*VLOOKUP($A7,'⚪设计'!$A$283:$N$306,4,FALSE)/(IF($G7="",0,VLOOKUP($G7,'⚪设计'!$B$85:$H$113,4,FALSE)*$H7)+IF($L7="",0,VLOOKUP($L7,'⚪设计'!$B$85:$H$113,4,FALSE)*$M7)+IF($Q7="",0,VLOOKUP($Q7,'⚪设计'!$B$85:$H$113,4,FALSE)*$R7)+IF($V7="",0,VLOOKUP($V7,'⚪设计'!$B$85:$H$113,4,FALSE)*$W7))*IF(V7="",0,VLOOKUP(V7,'⚪设计'!$B$85:$H$113,4,FALSE)),0))</f>
        <v/>
      </c>
      <c r="Z7" s="97" t="str">
        <f>IF(V7="","",ROUND(战斗节奏!$B$14/(IF($G7="",0,VLOOKUP($G7,'⚪设计'!$B$85:$H$113,5,FALSE)*$H7)+IF($L7="",0,VLOOKUP($L7,'⚪设计'!$B$85:$H$113,5,FALSE)*$M7)+IF($Q7="",0,VLOOKUP($Q7,'⚪设计'!$B$85:$H$113,5,FALSE)*$R7)+IF($V7="",0,VLOOKUP($V7,'⚪设计'!$B$85:$H$113,5,FALSE)*$W7))*IF(V7="",0,VLOOKUP(V7,'⚪设计'!$B$85:$H$113,5,FALSE)),0))</f>
        <v/>
      </c>
    </row>
    <row r="8" spans="1:26" x14ac:dyDescent="0.2">
      <c r="A8" s="2" t="str">
        <f t="shared" si="0"/>
        <v>2_2</v>
      </c>
      <c r="B8" s="2">
        <v>2</v>
      </c>
      <c r="C8" s="2">
        <v>2</v>
      </c>
      <c r="D8" s="97">
        <f>VLOOKUP(C8,无限模式!$A$3:$B$22,2,FALSE)</f>
        <v>1800</v>
      </c>
      <c r="E8" s="98">
        <v>1</v>
      </c>
      <c r="F8" s="97">
        <f>VLOOKUP(A8,'⚪设计'!$A$283:$N$306,6,FALSE)</f>
        <v>12.5</v>
      </c>
      <c r="G8" s="97" t="str">
        <f>IF(VLOOKUP($A8,'⚪设计'!$A$283:$N$306,7,FALSE)="","",VLOOKUP($A8,'⚪设计'!$A$283:$N$306,7,FALSE))</f>
        <v>蜘蛛1</v>
      </c>
      <c r="H8" s="97">
        <f t="shared" si="1"/>
        <v>6</v>
      </c>
      <c r="I8" s="97">
        <f>IF(VLOOKUP($A8,'⚪设计'!$A$283:$N$306,11,FALSE)="","",VLOOKUP($A8,'⚪设计'!$A$283:$N$306,11,FALSE))</f>
        <v>2</v>
      </c>
      <c r="J8" s="97">
        <f>IF(G8="","",ROUND($D8*VLOOKUP($A8,'⚪设计'!$A$283:$N$306,4,FALSE)/(IF($G8="",0,VLOOKUP($G8,'⚪设计'!$B$85:$H$113,4,FALSE)*$H8)+IF($L8="",0,VLOOKUP($L8,'⚪设计'!$B$85:$H$113,4,FALSE)*$M8)+IF($Q8="",0,VLOOKUP($Q8,'⚪设计'!$B$85:$H$113,4,FALSE)*$R8)+IF($V8="",0,VLOOKUP($V8,'⚪设计'!$B$85:$H$113,4,FALSE)*$W8))*IF(G8="",0,VLOOKUP(G8,'⚪设计'!$B$85:$H$113,4,FALSE)),0))</f>
        <v>216</v>
      </c>
      <c r="K8" s="97">
        <f>IF(G8="","",ROUND(战斗节奏!$B$14/(IF($G8="",0,VLOOKUP($G8,'⚪设计'!$B$85:$H$113,5,FALSE)*$H8)+IF($L8="",0,VLOOKUP($L8,'⚪设计'!$B$85:$H$113,5,FALSE)*$M8)+IF($Q8="",0,VLOOKUP($Q8,'⚪设计'!$B$85:$H$113,5,FALSE)*$R8)+IF($V8="",0,VLOOKUP($V8,'⚪设计'!$B$85:$H$113,5,FALSE)*$W8))*IF(G8="",0,VLOOKUP(G8,'⚪设计'!$B$85:$H$113,5,FALSE)),0))</f>
        <v>20</v>
      </c>
      <c r="L8" s="97" t="str">
        <f>IF(VLOOKUP($A8,'⚪设计'!$A$283:$N$306,8,FALSE)="","",VLOOKUP($A8,'⚪设计'!$A$283:$N$306,8,FALSE))</f>
        <v>蜜蜂2</v>
      </c>
      <c r="M8" s="97">
        <f t="shared" si="2"/>
        <v>6</v>
      </c>
      <c r="N8" s="97">
        <f>IF(VLOOKUP($A8,'⚪设计'!$A$283:$N$306,12,FALSE)="","",VLOOKUP($A8,'⚪设计'!$A$283:$N$306,12,FALSE))</f>
        <v>2</v>
      </c>
      <c r="O8" s="97">
        <f>IF(L8="","",ROUND($D8*VLOOKUP($A8,'⚪设计'!$A$283:$N$306,4,FALSE)/(IF($G8="",0,VLOOKUP($G8,'⚪设计'!$B$85:$H$113,4,FALSE)*$H8)+IF($L8="",0,VLOOKUP($L8,'⚪设计'!$B$85:$H$113,4,FALSE)*$M8)+IF($Q8="",0,VLOOKUP($Q8,'⚪设计'!$B$85:$H$113,4,FALSE)*$R8)+IF($V8="",0,VLOOKUP($V8,'⚪设计'!$B$85:$H$113,4,FALSE)*$W8))*IF(L8="",0,VLOOKUP(L8,'⚪设计'!$B$85:$H$113,4,FALSE)),0))</f>
        <v>432</v>
      </c>
      <c r="P8" s="97">
        <f>IF(L8="","",ROUND(战斗节奏!$B$14/(IF($G8="",0,VLOOKUP($G8,'⚪设计'!$B$85:$H$113,5,FALSE)*$H8)+IF($L8="",0,VLOOKUP($L8,'⚪设计'!$B$85:$H$113,5,FALSE)*$M8)+IF($Q8="",0,VLOOKUP($Q8,'⚪设计'!$B$85:$H$113,5,FALSE)*$R8)+IF($V8="",0,VLOOKUP($V8,'⚪设计'!$B$85:$H$113,5,FALSE)*$W8))*IF(L8="",0,VLOOKUP(L8,'⚪设计'!$B$85:$H$113,5,FALSE)),0))</f>
        <v>40</v>
      </c>
      <c r="Q8" s="97" t="str">
        <f>IF(VLOOKUP($A8,'⚪设计'!$A$283:$N$306,9,FALSE)="","",VLOOKUP($A8,'⚪设计'!$A$283:$N$306,9,FALSE))</f>
        <v>鸟1</v>
      </c>
      <c r="R8" s="97">
        <f t="shared" si="3"/>
        <v>6</v>
      </c>
      <c r="S8" s="97">
        <f>IF(VLOOKUP($A8,'⚪设计'!$A$283:$N$306,13,FALSE)="","",VLOOKUP($A8,'⚪设计'!$A$283:$N$306,13,FALSE))</f>
        <v>2</v>
      </c>
      <c r="T8" s="97">
        <f>IF(Q8="","",ROUND($D8*VLOOKUP($A8,'⚪设计'!$A$283:$N$306,4,FALSE)/(IF($G8="",0,VLOOKUP($G8,'⚪设计'!$B$85:$H$113,4,FALSE)*$H8)+IF($L8="",0,VLOOKUP($L8,'⚪设计'!$B$85:$H$113,4,FALSE)*$M8)+IF($Q8="",0,VLOOKUP($Q8,'⚪设计'!$B$85:$H$113,4,FALSE)*$R8)+IF($V8="",0,VLOOKUP($V8,'⚪设计'!$B$85:$H$113,4,FALSE)*$W8))*IF(Q8="",0,VLOOKUP(Q8,'⚪设计'!$B$85:$H$113,4,FALSE)),0))</f>
        <v>432</v>
      </c>
      <c r="U8" s="97">
        <f>IF(Q8="","",ROUND(战斗节奏!$B$14/(IF($G8="",0,VLOOKUP($G8,'⚪设计'!$B$85:$H$113,5,FALSE)*$H8)+IF($L8="",0,VLOOKUP($L8,'⚪设计'!$B$85:$H$113,5,FALSE)*$M8)+IF($Q8="",0,VLOOKUP($Q8,'⚪设计'!$B$85:$H$113,5,FALSE)*$R8)+IF($V8="",0,VLOOKUP($V8,'⚪设计'!$B$85:$H$113,5,FALSE)*$W8))*IF(Q8="",0,VLOOKUP(Q8,'⚪设计'!$B$85:$H$113,5,FALSE)),0))</f>
        <v>40</v>
      </c>
      <c r="V8" s="97" t="str">
        <f>IF(VLOOKUP($A8,'⚪设计'!$A$283:$N$306,10,FALSE)="","",VLOOKUP($A8,'⚪设计'!$A$283:$N$306,10,FALSE))</f>
        <v/>
      </c>
      <c r="W8" s="97" t="str">
        <f t="shared" si="4"/>
        <v/>
      </c>
      <c r="X8" s="97" t="str">
        <f>IF(VLOOKUP($A8,'⚪设计'!$A$283:$N$306,14,FALSE)="","",VLOOKUP($A8,'⚪设计'!$A$283:$N$306,14,FALSE))</f>
        <v/>
      </c>
      <c r="Y8" s="97" t="str">
        <f>IF(V8="","",ROUND($D8*VLOOKUP($A8,'⚪设计'!$A$283:$N$306,4,FALSE)/(IF($G8="",0,VLOOKUP($G8,'⚪设计'!$B$85:$H$113,4,FALSE)*$H8)+IF($L8="",0,VLOOKUP($L8,'⚪设计'!$B$85:$H$113,4,FALSE)*$M8)+IF($Q8="",0,VLOOKUP($Q8,'⚪设计'!$B$85:$H$113,4,FALSE)*$R8)+IF($V8="",0,VLOOKUP($V8,'⚪设计'!$B$85:$H$113,4,FALSE)*$W8))*IF(V8="",0,VLOOKUP(V8,'⚪设计'!$B$85:$H$113,4,FALSE)),0))</f>
        <v/>
      </c>
      <c r="Z8" s="97" t="str">
        <f>IF(V8="","",ROUND(战斗节奏!$B$14/(IF($G8="",0,VLOOKUP($G8,'⚪设计'!$B$85:$H$113,5,FALSE)*$H8)+IF($L8="",0,VLOOKUP($L8,'⚪设计'!$B$85:$H$113,5,FALSE)*$M8)+IF($Q8="",0,VLOOKUP($Q8,'⚪设计'!$B$85:$H$113,5,FALSE)*$R8)+IF($V8="",0,VLOOKUP($V8,'⚪设计'!$B$85:$H$113,5,FALSE)*$W8))*IF(V8="",0,VLOOKUP(V8,'⚪设计'!$B$85:$H$113,5,FALSE)),0))</f>
        <v/>
      </c>
    </row>
    <row r="9" spans="1:26" x14ac:dyDescent="0.2">
      <c r="A9" s="2" t="str">
        <f t="shared" si="0"/>
        <v>2_3</v>
      </c>
      <c r="B9" s="2">
        <v>2</v>
      </c>
      <c r="C9" s="2">
        <v>3</v>
      </c>
      <c r="D9" s="97">
        <f>VLOOKUP(C9,无限模式!$A$3:$B$22,2,FALSE)</f>
        <v>3600</v>
      </c>
      <c r="E9" s="98">
        <v>1</v>
      </c>
      <c r="F9" s="97">
        <f>VLOOKUP(A9,'⚪设计'!$A$283:$N$306,6,FALSE)</f>
        <v>15</v>
      </c>
      <c r="G9" s="97" t="str">
        <f>IF(VLOOKUP($A9,'⚪设计'!$A$283:$N$306,7,FALSE)="","",VLOOKUP($A9,'⚪设计'!$A$283:$N$306,7,FALSE))</f>
        <v>蜘蛛1</v>
      </c>
      <c r="H9" s="97">
        <f t="shared" si="1"/>
        <v>15</v>
      </c>
      <c r="I9" s="97">
        <f>IF(VLOOKUP($A9,'⚪设计'!$A$283:$N$306,11,FALSE)="","",VLOOKUP($A9,'⚪设计'!$A$283:$N$306,11,FALSE))</f>
        <v>1</v>
      </c>
      <c r="J9" s="97">
        <f>IF(G9="","",ROUND($D9*VLOOKUP($A9,'⚪设计'!$A$283:$N$306,4,FALSE)/(IF($G9="",0,VLOOKUP($G9,'⚪设计'!$B$85:$H$113,4,FALSE)*$H9)+IF($L9="",0,VLOOKUP($L9,'⚪设计'!$B$85:$H$113,4,FALSE)*$M9)+IF($Q9="",0,VLOOKUP($Q9,'⚪设计'!$B$85:$H$113,4,FALSE)*$R9)+IF($V9="",0,VLOOKUP($V9,'⚪设计'!$B$85:$H$113,4,FALSE)*$W9))*IF(G9="",0,VLOOKUP(G9,'⚪设计'!$B$85:$H$113,4,FALSE)),0))</f>
        <v>247</v>
      </c>
      <c r="K9" s="97">
        <f>IF(G9="","",ROUND(战斗节奏!$B$14/(IF($G9="",0,VLOOKUP($G9,'⚪设计'!$B$85:$H$113,5,FALSE)*$H9)+IF($L9="",0,VLOOKUP($L9,'⚪设计'!$B$85:$H$113,5,FALSE)*$M9)+IF($Q9="",0,VLOOKUP($Q9,'⚪设计'!$B$85:$H$113,5,FALSE)*$R9)+IF($V9="",0,VLOOKUP($V9,'⚪设计'!$B$85:$H$113,5,FALSE)*$W9))*IF(G9="",0,VLOOKUP(G9,'⚪设计'!$B$85:$H$113,5,FALSE)),0))</f>
        <v>11</v>
      </c>
      <c r="L9" s="97" t="str">
        <f>IF(VLOOKUP($A9,'⚪设计'!$A$283:$N$306,8,FALSE)="","",VLOOKUP($A9,'⚪设计'!$A$283:$N$306,8,FALSE))</f>
        <v>蝙蝠1</v>
      </c>
      <c r="M9" s="97">
        <f t="shared" si="2"/>
        <v>15</v>
      </c>
      <c r="N9" s="97">
        <f>IF(VLOOKUP($A9,'⚪设计'!$A$283:$N$306,12,FALSE)="","",VLOOKUP($A9,'⚪设计'!$A$283:$N$306,12,FALSE))</f>
        <v>1</v>
      </c>
      <c r="O9" s="97">
        <f>IF(L9="","",ROUND($D9*VLOOKUP($A9,'⚪设计'!$A$283:$N$306,4,FALSE)/(IF($G9="",0,VLOOKUP($G9,'⚪设计'!$B$85:$H$113,4,FALSE)*$H9)+IF($L9="",0,VLOOKUP($L9,'⚪设计'!$B$85:$H$113,4,FALSE)*$M9)+IF($Q9="",0,VLOOKUP($Q9,'⚪设计'!$B$85:$H$113,4,FALSE)*$R9)+IF($V9="",0,VLOOKUP($V9,'⚪设计'!$B$85:$H$113,4,FALSE)*$W9))*IF(L9="",0,VLOOKUP(L9,'⚪设计'!$B$85:$H$113,4,FALSE)),0))</f>
        <v>123</v>
      </c>
      <c r="P9" s="97">
        <f>IF(L9="","",ROUND(战斗节奏!$B$14/(IF($G9="",0,VLOOKUP($G9,'⚪设计'!$B$85:$H$113,5,FALSE)*$H9)+IF($L9="",0,VLOOKUP($L9,'⚪设计'!$B$85:$H$113,5,FALSE)*$M9)+IF($Q9="",0,VLOOKUP($Q9,'⚪设计'!$B$85:$H$113,5,FALSE)*$R9)+IF($V9="",0,VLOOKUP($V9,'⚪设计'!$B$85:$H$113,5,FALSE)*$W9))*IF(L9="",0,VLOOKUP(L9,'⚪设计'!$B$85:$H$113,5,FALSE)),0))</f>
        <v>6</v>
      </c>
      <c r="Q9" s="97" t="str">
        <f>IF(VLOOKUP($A9,'⚪设计'!$A$283:$N$306,9,FALSE)="","",VLOOKUP($A9,'⚪设计'!$A$283:$N$306,9,FALSE))</f>
        <v>鸟1</v>
      </c>
      <c r="R9" s="97">
        <f t="shared" si="3"/>
        <v>15</v>
      </c>
      <c r="S9" s="97">
        <f>IF(VLOOKUP($A9,'⚪设计'!$A$283:$N$306,13,FALSE)="","",VLOOKUP($A9,'⚪设计'!$A$283:$N$306,13,FALSE))</f>
        <v>1</v>
      </c>
      <c r="T9" s="97">
        <f>IF(Q9="","",ROUND($D9*VLOOKUP($A9,'⚪设计'!$A$283:$N$306,4,FALSE)/(IF($G9="",0,VLOOKUP($G9,'⚪设计'!$B$85:$H$113,4,FALSE)*$H9)+IF($L9="",0,VLOOKUP($L9,'⚪设计'!$B$85:$H$113,4,FALSE)*$M9)+IF($Q9="",0,VLOOKUP($Q9,'⚪设计'!$B$85:$H$113,4,FALSE)*$R9)+IF($V9="",0,VLOOKUP($V9,'⚪设计'!$B$85:$H$113,4,FALSE)*$W9))*IF(Q9="",0,VLOOKUP(Q9,'⚪设计'!$B$85:$H$113,4,FALSE)),0))</f>
        <v>494</v>
      </c>
      <c r="U9" s="97">
        <f>IF(Q9="","",ROUND(战斗节奏!$B$14/(IF($G9="",0,VLOOKUP($G9,'⚪设计'!$B$85:$H$113,5,FALSE)*$H9)+IF($L9="",0,VLOOKUP($L9,'⚪设计'!$B$85:$H$113,5,FALSE)*$M9)+IF($Q9="",0,VLOOKUP($Q9,'⚪设计'!$B$85:$H$113,5,FALSE)*$R9)+IF($V9="",0,VLOOKUP($V9,'⚪设计'!$B$85:$H$113,5,FALSE)*$W9))*IF(Q9="",0,VLOOKUP(Q9,'⚪设计'!$B$85:$H$113,5,FALSE)),0))</f>
        <v>23</v>
      </c>
      <c r="V9" s="97" t="str">
        <f>IF(VLOOKUP($A9,'⚪设计'!$A$283:$N$306,10,FALSE)="","",VLOOKUP($A9,'⚪设计'!$A$283:$N$306,10,FALSE))</f>
        <v/>
      </c>
      <c r="W9" s="97" t="str">
        <f t="shared" si="4"/>
        <v/>
      </c>
      <c r="X9" s="97" t="str">
        <f>IF(VLOOKUP($A9,'⚪设计'!$A$283:$N$306,14,FALSE)="","",VLOOKUP($A9,'⚪设计'!$A$283:$N$306,14,FALSE))</f>
        <v/>
      </c>
      <c r="Y9" s="97" t="str">
        <f>IF(V9="","",ROUND($D9*VLOOKUP($A9,'⚪设计'!$A$283:$N$306,4,FALSE)/(IF($G9="",0,VLOOKUP($G9,'⚪设计'!$B$85:$H$113,4,FALSE)*$H9)+IF($L9="",0,VLOOKUP($L9,'⚪设计'!$B$85:$H$113,4,FALSE)*$M9)+IF($Q9="",0,VLOOKUP($Q9,'⚪设计'!$B$85:$H$113,4,FALSE)*$R9)+IF($V9="",0,VLOOKUP($V9,'⚪设计'!$B$85:$H$113,4,FALSE)*$W9))*IF(V9="",0,VLOOKUP(V9,'⚪设计'!$B$85:$H$113,4,FALSE)),0))</f>
        <v/>
      </c>
      <c r="Z9" s="97" t="str">
        <f>IF(V9="","",ROUND(战斗节奏!$B$14/(IF($G9="",0,VLOOKUP($G9,'⚪设计'!$B$85:$H$113,5,FALSE)*$H9)+IF($L9="",0,VLOOKUP($L9,'⚪设计'!$B$85:$H$113,5,FALSE)*$M9)+IF($Q9="",0,VLOOKUP($Q9,'⚪设计'!$B$85:$H$113,5,FALSE)*$R9)+IF($V9="",0,VLOOKUP($V9,'⚪设计'!$B$85:$H$113,5,FALSE)*$W9))*IF(V9="",0,VLOOKUP(V9,'⚪设计'!$B$85:$H$113,5,FALSE)),0))</f>
        <v/>
      </c>
    </row>
    <row r="10" spans="1:26" x14ac:dyDescent="0.2">
      <c r="A10" s="2" t="str">
        <f t="shared" si="0"/>
        <v>2_4</v>
      </c>
      <c r="B10" s="2">
        <v>2</v>
      </c>
      <c r="C10" s="2">
        <v>4</v>
      </c>
      <c r="D10" s="97">
        <f>VLOOKUP(C10,无限模式!$A$3:$B$22,2,FALSE)</f>
        <v>4500</v>
      </c>
      <c r="E10" s="98">
        <v>1</v>
      </c>
      <c r="F10" s="97">
        <f>VLOOKUP(A10,'⚪设计'!$A$283:$N$306,6,FALSE)</f>
        <v>17.5</v>
      </c>
      <c r="G10" s="97" t="str">
        <f>IF(VLOOKUP($A10,'⚪设计'!$A$283:$N$306,7,FALSE)="","",VLOOKUP($A10,'⚪设计'!$A$283:$N$306,7,FALSE))</f>
        <v>蜘蛛1</v>
      </c>
      <c r="H10" s="97">
        <f t="shared" si="1"/>
        <v>18</v>
      </c>
      <c r="I10" s="97">
        <f>IF(VLOOKUP($A10,'⚪设计'!$A$283:$N$306,11,FALSE)="","",VLOOKUP($A10,'⚪设计'!$A$283:$N$306,11,FALSE))</f>
        <v>1</v>
      </c>
      <c r="J10" s="97">
        <f>IF(G10="","",ROUND($D10*VLOOKUP($A10,'⚪设计'!$A$283:$N$306,4,FALSE)/(IF($G10="",0,VLOOKUP($G10,'⚪设计'!$B$85:$H$113,4,FALSE)*$H10)+IF($L10="",0,VLOOKUP($L10,'⚪设计'!$B$85:$H$113,4,FALSE)*$M10)+IF($Q10="",0,VLOOKUP($Q10,'⚪设计'!$B$85:$H$113,4,FALSE)*$R10)+IF($V10="",0,VLOOKUP($V10,'⚪设计'!$B$85:$H$113,4,FALSE)*$W10))*IF(G10="",0,VLOOKUP(G10,'⚪设计'!$B$85:$H$113,4,FALSE)),0))</f>
        <v>155</v>
      </c>
      <c r="K10" s="97">
        <f>IF(G10="","",ROUND(战斗节奏!$B$14/(IF($G10="",0,VLOOKUP($G10,'⚪设计'!$B$85:$H$113,5,FALSE)*$H10)+IF($L10="",0,VLOOKUP($L10,'⚪设计'!$B$85:$H$113,5,FALSE)*$M10)+IF($Q10="",0,VLOOKUP($Q10,'⚪设计'!$B$85:$H$113,5,FALSE)*$R10)+IF($V10="",0,VLOOKUP($V10,'⚪设计'!$B$85:$H$113,5,FALSE)*$W10))*IF(G10="",0,VLOOKUP(G10,'⚪设计'!$B$85:$H$113,5,FALSE)),0))</f>
        <v>4</v>
      </c>
      <c r="L10" s="97" t="str">
        <f>IF(VLOOKUP($A10,'⚪设计'!$A$283:$N$306,8,FALSE)="","",VLOOKUP($A10,'⚪设计'!$A$283:$N$306,8,FALSE))</f>
        <v>蝙蝠1</v>
      </c>
      <c r="M10" s="97">
        <f t="shared" si="2"/>
        <v>44</v>
      </c>
      <c r="N10" s="97">
        <f>IF(VLOOKUP($A10,'⚪设计'!$A$283:$N$306,12,FALSE)="","",VLOOKUP($A10,'⚪设计'!$A$283:$N$306,12,FALSE))</f>
        <v>0.4</v>
      </c>
      <c r="O10" s="97">
        <f>IF(L10="","",ROUND($D10*VLOOKUP($A10,'⚪设计'!$A$283:$N$306,4,FALSE)/(IF($G10="",0,VLOOKUP($G10,'⚪设计'!$B$85:$H$113,4,FALSE)*$H10)+IF($L10="",0,VLOOKUP($L10,'⚪设计'!$B$85:$H$113,4,FALSE)*$M10)+IF($Q10="",0,VLOOKUP($Q10,'⚪设计'!$B$85:$H$113,4,FALSE)*$R10)+IF($V10="",0,VLOOKUP($V10,'⚪设计'!$B$85:$H$113,4,FALSE)*$W10))*IF(L10="",0,VLOOKUP(L10,'⚪设计'!$B$85:$H$113,4,FALSE)),0))</f>
        <v>77</v>
      </c>
      <c r="P10" s="97">
        <f>IF(L10="","",ROUND(战斗节奏!$B$14/(IF($G10="",0,VLOOKUP($G10,'⚪设计'!$B$85:$H$113,5,FALSE)*$H10)+IF($L10="",0,VLOOKUP($L10,'⚪设计'!$B$85:$H$113,5,FALSE)*$M10)+IF($Q10="",0,VLOOKUP($Q10,'⚪设计'!$B$85:$H$113,5,FALSE)*$R10)+IF($V10="",0,VLOOKUP($V10,'⚪设计'!$B$85:$H$113,5,FALSE)*$W10))*IF(L10="",0,VLOOKUP(L10,'⚪设计'!$B$85:$H$113,5,FALSE)),0))</f>
        <v>2</v>
      </c>
      <c r="Q10" s="97" t="str">
        <f>IF(VLOOKUP($A10,'⚪设计'!$A$283:$N$306,9,FALSE)="","",VLOOKUP($A10,'⚪设计'!$A$283:$N$306,9,FALSE))</f>
        <v>蜜蜂2</v>
      </c>
      <c r="R10" s="97">
        <f t="shared" si="3"/>
        <v>35</v>
      </c>
      <c r="S10" s="97">
        <f>IF(VLOOKUP($A10,'⚪设计'!$A$283:$N$306,13,FALSE)="","",VLOOKUP($A10,'⚪设计'!$A$283:$N$306,13,FALSE))</f>
        <v>0.5</v>
      </c>
      <c r="T10" s="97">
        <f>IF(Q10="","",ROUND($D10*VLOOKUP($A10,'⚪设计'!$A$283:$N$306,4,FALSE)/(IF($G10="",0,VLOOKUP($G10,'⚪设计'!$B$85:$H$113,4,FALSE)*$H10)+IF($L10="",0,VLOOKUP($L10,'⚪设计'!$B$85:$H$113,4,FALSE)*$M10)+IF($Q10="",0,VLOOKUP($Q10,'⚪设计'!$B$85:$H$113,4,FALSE)*$R10)+IF($V10="",0,VLOOKUP($V10,'⚪设计'!$B$85:$H$113,4,FALSE)*$W10))*IF(Q10="",0,VLOOKUP(Q10,'⚪设计'!$B$85:$H$113,4,FALSE)),0))</f>
        <v>310</v>
      </c>
      <c r="U10" s="97">
        <f>IF(Q10="","",ROUND(战斗节奏!$B$14/(IF($G10="",0,VLOOKUP($G10,'⚪设计'!$B$85:$H$113,5,FALSE)*$H10)+IF($L10="",0,VLOOKUP($L10,'⚪设计'!$B$85:$H$113,5,FALSE)*$M10)+IF($Q10="",0,VLOOKUP($Q10,'⚪设计'!$B$85:$H$113,5,FALSE)*$R10)+IF($V10="",0,VLOOKUP($V10,'⚪设计'!$B$85:$H$113,5,FALSE)*$W10))*IF(Q10="",0,VLOOKUP(Q10,'⚪设计'!$B$85:$H$113,5,FALSE)),0))</f>
        <v>8</v>
      </c>
      <c r="V10" s="97" t="str">
        <f>IF(VLOOKUP($A10,'⚪设计'!$A$283:$N$306,10,FALSE)="","",VLOOKUP($A10,'⚪设计'!$A$283:$N$306,10,FALSE))</f>
        <v>鸟1</v>
      </c>
      <c r="W10" s="97">
        <f t="shared" si="4"/>
        <v>18</v>
      </c>
      <c r="X10" s="97">
        <f>IF(VLOOKUP($A10,'⚪设计'!$A$283:$N$306,14,FALSE)="","",VLOOKUP($A10,'⚪设计'!$A$283:$N$306,14,FALSE))</f>
        <v>1</v>
      </c>
      <c r="Y10" s="97">
        <f>IF(V10="","",ROUND($D10*VLOOKUP($A10,'⚪设计'!$A$283:$N$306,4,FALSE)/(IF($G10="",0,VLOOKUP($G10,'⚪设计'!$B$85:$H$113,4,FALSE)*$H10)+IF($L10="",0,VLOOKUP($L10,'⚪设计'!$B$85:$H$113,4,FALSE)*$M10)+IF($Q10="",0,VLOOKUP($Q10,'⚪设计'!$B$85:$H$113,4,FALSE)*$R10)+IF($V10="",0,VLOOKUP($V10,'⚪设计'!$B$85:$H$113,4,FALSE)*$W10))*IF(V10="",0,VLOOKUP(V10,'⚪设计'!$B$85:$H$113,4,FALSE)),0))</f>
        <v>310</v>
      </c>
      <c r="Z10" s="97">
        <f>IF(V10="","",ROUND(战斗节奏!$B$14/(IF($G10="",0,VLOOKUP($G10,'⚪设计'!$B$85:$H$113,5,FALSE)*$H10)+IF($L10="",0,VLOOKUP($L10,'⚪设计'!$B$85:$H$113,5,FALSE)*$M10)+IF($Q10="",0,VLOOKUP($Q10,'⚪设计'!$B$85:$H$113,5,FALSE)*$R10)+IF($V10="",0,VLOOKUP($V10,'⚪设计'!$B$85:$H$113,5,FALSE)*$W10))*IF(V10="",0,VLOOKUP(V10,'⚪设计'!$B$85:$H$113,5,FALSE)),0))</f>
        <v>8</v>
      </c>
    </row>
    <row r="11" spans="1:26" x14ac:dyDescent="0.2">
      <c r="A11" s="2" t="str">
        <f t="shared" si="0"/>
        <v>2_5</v>
      </c>
      <c r="B11" s="2">
        <v>2</v>
      </c>
      <c r="C11" s="2">
        <v>5</v>
      </c>
      <c r="D11" s="97">
        <f>VLOOKUP(C11,无限模式!$A$3:$B$22,2,FALSE)</f>
        <v>5400</v>
      </c>
      <c r="E11" s="98">
        <v>1</v>
      </c>
      <c r="F11" s="97">
        <f>VLOOKUP(A11,'⚪设计'!$A$283:$N$306,6,FALSE)</f>
        <v>20</v>
      </c>
      <c r="G11" s="97" t="str">
        <f>IF(VLOOKUP($A11,'⚪设计'!$A$283:$N$306,7,FALSE)="","",VLOOKUP($A11,'⚪设计'!$A$283:$N$306,7,FALSE))</f>
        <v>蜘蛛1</v>
      </c>
      <c r="H11" s="97">
        <f t="shared" si="1"/>
        <v>67</v>
      </c>
      <c r="I11" s="97">
        <f>IF(VLOOKUP($A11,'⚪设计'!$A$283:$N$306,11,FALSE)="","",VLOOKUP($A11,'⚪设计'!$A$283:$N$306,11,FALSE))</f>
        <v>0.3</v>
      </c>
      <c r="J11" s="97">
        <f>IF(G11="","",ROUND($D11*VLOOKUP($A11,'⚪设计'!$A$283:$N$306,4,FALSE)/(IF($G11="",0,VLOOKUP($G11,'⚪设计'!$B$85:$H$113,4,FALSE)*$H11)+IF($L11="",0,VLOOKUP($L11,'⚪设计'!$B$85:$H$113,4,FALSE)*$M11)+IF($Q11="",0,VLOOKUP($Q11,'⚪设计'!$B$85:$H$113,4,FALSE)*$R11)+IF($V11="",0,VLOOKUP($V11,'⚪设计'!$B$85:$H$113,4,FALSE)*$W11))*IF(G11="",0,VLOOKUP(G11,'⚪设计'!$B$85:$H$113,4,FALSE)),0))</f>
        <v>222</v>
      </c>
      <c r="K11" s="97">
        <f>IF(G11="","",ROUND(战斗节奏!$B$14/(IF($G11="",0,VLOOKUP($G11,'⚪设计'!$B$85:$H$113,5,FALSE)*$H11)+IF($L11="",0,VLOOKUP($L11,'⚪设计'!$B$85:$H$113,5,FALSE)*$M11)+IF($Q11="",0,VLOOKUP($Q11,'⚪设计'!$B$85:$H$113,5,FALSE)*$R11)+IF($V11="",0,VLOOKUP($V11,'⚪设计'!$B$85:$H$113,5,FALSE)*$W11))*IF(G11="",0,VLOOKUP(G11,'⚪设计'!$B$85:$H$113,5,FALSE)),0))</f>
        <v>3</v>
      </c>
      <c r="L11" s="97" t="str">
        <f>IF(VLOOKUP($A11,'⚪设计'!$A$283:$N$306,8,FALSE)="","",VLOOKUP($A11,'⚪设计'!$A$283:$N$306,8,FALSE))</f>
        <v>蝙蝠1</v>
      </c>
      <c r="M11" s="97">
        <f t="shared" si="2"/>
        <v>100</v>
      </c>
      <c r="N11" s="97">
        <f>IF(VLOOKUP($A11,'⚪设计'!$A$283:$N$306,12,FALSE)="","",VLOOKUP($A11,'⚪设计'!$A$283:$N$306,12,FALSE))</f>
        <v>0.2</v>
      </c>
      <c r="O11" s="97">
        <f>IF(L11="","",ROUND($D11*VLOOKUP($A11,'⚪设计'!$A$283:$N$306,4,FALSE)/(IF($G11="",0,VLOOKUP($G11,'⚪设计'!$B$85:$H$113,4,FALSE)*$H11)+IF($L11="",0,VLOOKUP($L11,'⚪设计'!$B$85:$H$113,4,FALSE)*$M11)+IF($Q11="",0,VLOOKUP($Q11,'⚪设计'!$B$85:$H$113,4,FALSE)*$R11)+IF($V11="",0,VLOOKUP($V11,'⚪设计'!$B$85:$H$113,4,FALSE)*$W11))*IF(L11="",0,VLOOKUP(L11,'⚪设计'!$B$85:$H$113,4,FALSE)),0))</f>
        <v>111</v>
      </c>
      <c r="P11" s="97">
        <f>IF(L11="","",ROUND(战斗节奏!$B$14/(IF($G11="",0,VLOOKUP($G11,'⚪设计'!$B$85:$H$113,5,FALSE)*$H11)+IF($L11="",0,VLOOKUP($L11,'⚪设计'!$B$85:$H$113,5,FALSE)*$M11)+IF($Q11="",0,VLOOKUP($Q11,'⚪设计'!$B$85:$H$113,5,FALSE)*$R11)+IF($V11="",0,VLOOKUP($V11,'⚪设计'!$B$85:$H$113,5,FALSE)*$W11))*IF(L11="",0,VLOOKUP(L11,'⚪设计'!$B$85:$H$113,5,FALSE)),0))</f>
        <v>1</v>
      </c>
      <c r="Q11" s="97" t="str">
        <f>IF(VLOOKUP($A11,'⚪设计'!$A$283:$N$306,9,FALSE)="","",VLOOKUP($A11,'⚪设计'!$A$283:$N$306,9,FALSE))</f>
        <v>蜜蜂2</v>
      </c>
      <c r="R11" s="97">
        <f t="shared" si="3"/>
        <v>40</v>
      </c>
      <c r="S11" s="97">
        <f>IF(VLOOKUP($A11,'⚪设计'!$A$283:$N$306,13,FALSE)="","",VLOOKUP($A11,'⚪设计'!$A$283:$N$306,13,FALSE))</f>
        <v>0.5</v>
      </c>
      <c r="T11" s="97">
        <f>IF(Q11="","",ROUND($D11*VLOOKUP($A11,'⚪设计'!$A$283:$N$306,4,FALSE)/(IF($G11="",0,VLOOKUP($G11,'⚪设计'!$B$85:$H$113,4,FALSE)*$H11)+IF($L11="",0,VLOOKUP($L11,'⚪设计'!$B$85:$H$113,4,FALSE)*$M11)+IF($Q11="",0,VLOOKUP($Q11,'⚪设计'!$B$85:$H$113,4,FALSE)*$R11)+IF($V11="",0,VLOOKUP($V11,'⚪设计'!$B$85:$H$113,4,FALSE)*$W11))*IF(Q11="",0,VLOOKUP(Q11,'⚪设计'!$B$85:$H$113,4,FALSE)),0))</f>
        <v>444</v>
      </c>
      <c r="U11" s="97">
        <f>IF(Q11="","",ROUND(战斗节奏!$B$14/(IF($G11="",0,VLOOKUP($G11,'⚪设计'!$B$85:$H$113,5,FALSE)*$H11)+IF($L11="",0,VLOOKUP($L11,'⚪设计'!$B$85:$H$113,5,FALSE)*$M11)+IF($Q11="",0,VLOOKUP($Q11,'⚪设计'!$B$85:$H$113,5,FALSE)*$R11)+IF($V11="",0,VLOOKUP($V11,'⚪设计'!$B$85:$H$113,5,FALSE)*$W11))*IF(Q11="",0,VLOOKUP(Q11,'⚪设计'!$B$85:$H$113,5,FALSE)),0))</f>
        <v>5</v>
      </c>
      <c r="V11" s="97" t="str">
        <f>IF(VLOOKUP($A11,'⚪设计'!$A$283:$N$306,10,FALSE)="","",VLOOKUP($A11,'⚪设计'!$A$283:$N$306,10,FALSE))</f>
        <v>鸟1</v>
      </c>
      <c r="W11" s="97">
        <f t="shared" si="4"/>
        <v>20</v>
      </c>
      <c r="X11" s="97">
        <f>IF(VLOOKUP($A11,'⚪设计'!$A$283:$N$306,14,FALSE)="","",VLOOKUP($A11,'⚪设计'!$A$283:$N$306,14,FALSE))</f>
        <v>1</v>
      </c>
      <c r="Y11" s="97">
        <f>IF(V11="","",ROUND($D11*VLOOKUP($A11,'⚪设计'!$A$283:$N$306,4,FALSE)/(IF($G11="",0,VLOOKUP($G11,'⚪设计'!$B$85:$H$113,4,FALSE)*$H11)+IF($L11="",0,VLOOKUP($L11,'⚪设计'!$B$85:$H$113,4,FALSE)*$M11)+IF($Q11="",0,VLOOKUP($Q11,'⚪设计'!$B$85:$H$113,4,FALSE)*$R11)+IF($V11="",0,VLOOKUP($V11,'⚪设计'!$B$85:$H$113,4,FALSE)*$W11))*IF(V11="",0,VLOOKUP(V11,'⚪设计'!$B$85:$H$113,4,FALSE)),0))</f>
        <v>444</v>
      </c>
      <c r="Z11" s="97">
        <f>IF(V11="","",ROUND(战斗节奏!$B$14/(IF($G11="",0,VLOOKUP($G11,'⚪设计'!$B$85:$H$113,5,FALSE)*$H11)+IF($L11="",0,VLOOKUP($L11,'⚪设计'!$B$85:$H$113,5,FALSE)*$M11)+IF($Q11="",0,VLOOKUP($Q11,'⚪设计'!$B$85:$H$113,5,FALSE)*$R11)+IF($V11="",0,VLOOKUP($V11,'⚪设计'!$B$85:$H$113,5,FALSE)*$W11))*IF(V11="",0,VLOOKUP(V11,'⚪设计'!$B$85:$H$113,5,FALSE)),0))</f>
        <v>5</v>
      </c>
    </row>
    <row r="12" spans="1:26" x14ac:dyDescent="0.2">
      <c r="A12" s="2" t="str">
        <f t="shared" si="0"/>
        <v>3_1</v>
      </c>
      <c r="B12" s="2">
        <v>3</v>
      </c>
      <c r="C12" s="2">
        <v>1</v>
      </c>
      <c r="D12" s="97">
        <f>VLOOKUP(C12,无限模式!$A$3:$B$22,2,FALSE)</f>
        <v>900</v>
      </c>
      <c r="E12" s="98">
        <v>1</v>
      </c>
      <c r="F12" s="97">
        <f>VLOOKUP(A12,'⚪设计'!$A$283:$N$306,6,FALSE)</f>
        <v>10</v>
      </c>
      <c r="G12" s="97" t="str">
        <f>IF(VLOOKUP($A12,'⚪设计'!$A$283:$N$306,7,FALSE)="","",VLOOKUP($A12,'⚪设计'!$A$283:$N$306,7,FALSE))</f>
        <v>种子1</v>
      </c>
      <c r="H12" s="97">
        <f t="shared" si="1"/>
        <v>5</v>
      </c>
      <c r="I12" s="97">
        <f>IF(VLOOKUP($A12,'⚪设计'!$A$283:$N$306,11,FALSE)="","",VLOOKUP($A12,'⚪设计'!$A$283:$N$306,11,FALSE))</f>
        <v>2</v>
      </c>
      <c r="J12" s="97">
        <f>IF(G12="","",ROUND($D12*VLOOKUP($A12,'⚪设计'!$A$283:$N$306,4,FALSE)/(IF($G12="",0,VLOOKUP($G12,'⚪设计'!$B$85:$H$113,4,FALSE)*$H12)+IF($L12="",0,VLOOKUP($L12,'⚪设计'!$B$85:$H$113,4,FALSE)*$M12)+IF($Q12="",0,VLOOKUP($Q12,'⚪设计'!$B$85:$H$113,4,FALSE)*$R12)+IF($V12="",0,VLOOKUP($V12,'⚪设计'!$B$85:$H$113,4,FALSE)*$W12))*IF(G12="",0,VLOOKUP(G12,'⚪设计'!$B$85:$H$113,4,FALSE)),0))</f>
        <v>94</v>
      </c>
      <c r="K12" s="97">
        <f>IF(G12="","",ROUND(战斗节奏!$B$14/(IF($G12="",0,VLOOKUP($G12,'⚪设计'!$B$85:$H$113,5,FALSE)*$H12)+IF($L12="",0,VLOOKUP($L12,'⚪设计'!$B$85:$H$113,5,FALSE)*$M12)+IF($Q12="",0,VLOOKUP($Q12,'⚪设计'!$B$85:$H$113,5,FALSE)*$R12)+IF($V12="",0,VLOOKUP($V12,'⚪设计'!$B$85:$H$113,5,FALSE)*$W12))*IF(G12="",0,VLOOKUP(G12,'⚪设计'!$B$85:$H$113,5,FALSE)),0))</f>
        <v>60</v>
      </c>
      <c r="L12" s="97" t="str">
        <f>IF(VLOOKUP($A12,'⚪设计'!$A$283:$N$306,8,FALSE)="","",VLOOKUP($A12,'⚪设计'!$A$283:$N$306,8,FALSE))</f>
        <v>鸟2</v>
      </c>
      <c r="M12" s="97">
        <f t="shared" si="2"/>
        <v>5</v>
      </c>
      <c r="N12" s="97">
        <f>IF(VLOOKUP($A12,'⚪设计'!$A$283:$N$306,12,FALSE)="","",VLOOKUP($A12,'⚪设计'!$A$283:$N$306,12,FALSE))</f>
        <v>2</v>
      </c>
      <c r="O12" s="97">
        <f>IF(L12="","",ROUND($D12*VLOOKUP($A12,'⚪设计'!$A$283:$N$306,4,FALSE)/(IF($G12="",0,VLOOKUP($G12,'⚪设计'!$B$85:$H$113,4,FALSE)*$H12)+IF($L12="",0,VLOOKUP($L12,'⚪设计'!$B$85:$H$113,4,FALSE)*$M12)+IF($Q12="",0,VLOOKUP($Q12,'⚪设计'!$B$85:$H$113,4,FALSE)*$R12)+IF($V12="",0,VLOOKUP($V12,'⚪设计'!$B$85:$H$113,4,FALSE)*$W12))*IF(L12="",0,VLOOKUP(L12,'⚪设计'!$B$85:$H$113,4,FALSE)),0))</f>
        <v>125</v>
      </c>
      <c r="P12" s="97">
        <f>IF(L12="","",ROUND(战斗节奏!$B$14/(IF($G12="",0,VLOOKUP($G12,'⚪设计'!$B$85:$H$113,5,FALSE)*$H12)+IF($L12="",0,VLOOKUP($L12,'⚪设计'!$B$85:$H$113,5,FALSE)*$M12)+IF($Q12="",0,VLOOKUP($Q12,'⚪设计'!$B$85:$H$113,5,FALSE)*$R12)+IF($V12="",0,VLOOKUP($V12,'⚪设计'!$B$85:$H$113,5,FALSE)*$W12))*IF(L12="",0,VLOOKUP(L12,'⚪设计'!$B$85:$H$113,5,FALSE)),0))</f>
        <v>60</v>
      </c>
      <c r="Q12" s="97" t="str">
        <f>IF(VLOOKUP($A12,'⚪设计'!$A$283:$N$306,9,FALSE)="","",VLOOKUP($A12,'⚪设计'!$A$283:$N$306,9,FALSE))</f>
        <v/>
      </c>
      <c r="R12" s="97" t="str">
        <f t="shared" si="3"/>
        <v/>
      </c>
      <c r="S12" s="97" t="str">
        <f>IF(VLOOKUP($A12,'⚪设计'!$A$283:$N$306,13,FALSE)="","",VLOOKUP($A12,'⚪设计'!$A$283:$N$306,13,FALSE))</f>
        <v/>
      </c>
      <c r="T12" s="97" t="str">
        <f>IF(Q12="","",ROUND($D12*VLOOKUP($A12,'⚪设计'!$A$283:$N$306,4,FALSE)/(IF($G12="",0,VLOOKUP($G12,'⚪设计'!$B$85:$H$113,4,FALSE)*$H12)+IF($L12="",0,VLOOKUP($L12,'⚪设计'!$B$85:$H$113,4,FALSE)*$M12)+IF($Q12="",0,VLOOKUP($Q12,'⚪设计'!$B$85:$H$113,4,FALSE)*$R12)+IF($V12="",0,VLOOKUP($V12,'⚪设计'!$B$85:$H$113,4,FALSE)*$W12))*IF(Q12="",0,VLOOKUP(Q12,'⚪设计'!$B$85:$H$113,4,FALSE)),0))</f>
        <v/>
      </c>
      <c r="U12" s="97" t="str">
        <f>IF(Q12="","",ROUND(战斗节奏!$B$14/(IF($G12="",0,VLOOKUP($G12,'⚪设计'!$B$85:$H$113,5,FALSE)*$H12)+IF($L12="",0,VLOOKUP($L12,'⚪设计'!$B$85:$H$113,5,FALSE)*$M12)+IF($Q12="",0,VLOOKUP($Q12,'⚪设计'!$B$85:$H$113,5,FALSE)*$R12)+IF($V12="",0,VLOOKUP($V12,'⚪设计'!$B$85:$H$113,5,FALSE)*$W12))*IF(Q12="",0,VLOOKUP(Q12,'⚪设计'!$B$85:$H$113,5,FALSE)),0))</f>
        <v/>
      </c>
      <c r="V12" s="97" t="str">
        <f>IF(VLOOKUP($A12,'⚪设计'!$A$283:$N$306,10,FALSE)="","",VLOOKUP($A12,'⚪设计'!$A$283:$N$306,10,FALSE))</f>
        <v/>
      </c>
      <c r="W12" s="97" t="str">
        <f t="shared" si="4"/>
        <v/>
      </c>
      <c r="X12" s="97" t="str">
        <f>IF(VLOOKUP($A12,'⚪设计'!$A$283:$N$306,14,FALSE)="","",VLOOKUP($A12,'⚪设计'!$A$283:$N$306,14,FALSE))</f>
        <v/>
      </c>
      <c r="Y12" s="97" t="str">
        <f>IF(V12="","",ROUND($D12*VLOOKUP($A12,'⚪设计'!$A$283:$N$306,4,FALSE)/(IF($G12="",0,VLOOKUP($G12,'⚪设计'!$B$85:$H$113,4,FALSE)*$H12)+IF($L12="",0,VLOOKUP($L12,'⚪设计'!$B$85:$H$113,4,FALSE)*$M12)+IF($Q12="",0,VLOOKUP($Q12,'⚪设计'!$B$85:$H$113,4,FALSE)*$R12)+IF($V12="",0,VLOOKUP($V12,'⚪设计'!$B$85:$H$113,4,FALSE)*$W12))*IF(V12="",0,VLOOKUP(V12,'⚪设计'!$B$85:$H$113,4,FALSE)),0))</f>
        <v/>
      </c>
      <c r="Z12" s="97" t="str">
        <f>IF(V12="","",ROUND(战斗节奏!$B$14/(IF($G12="",0,VLOOKUP($G12,'⚪设计'!$B$85:$H$113,5,FALSE)*$H12)+IF($L12="",0,VLOOKUP($L12,'⚪设计'!$B$85:$H$113,5,FALSE)*$M12)+IF($Q12="",0,VLOOKUP($Q12,'⚪设计'!$B$85:$H$113,5,FALSE)*$R12)+IF($V12="",0,VLOOKUP($V12,'⚪设计'!$B$85:$H$113,5,FALSE)*$W12))*IF(V12="",0,VLOOKUP(V12,'⚪设计'!$B$85:$H$113,5,FALSE)),0))</f>
        <v/>
      </c>
    </row>
    <row r="13" spans="1:26" x14ac:dyDescent="0.2">
      <c r="A13" s="2" t="str">
        <f t="shared" si="0"/>
        <v>3_2</v>
      </c>
      <c r="B13" s="2">
        <v>3</v>
      </c>
      <c r="C13" s="2">
        <v>2</v>
      </c>
      <c r="D13" s="97">
        <f>VLOOKUP(C13,无限模式!$A$3:$B$22,2,FALSE)</f>
        <v>1800</v>
      </c>
      <c r="E13" s="98">
        <v>1</v>
      </c>
      <c r="F13" s="97">
        <f>VLOOKUP(A13,'⚪设计'!$A$283:$N$306,6,FALSE)</f>
        <v>12.5</v>
      </c>
      <c r="G13" s="97" t="str">
        <f>IF(VLOOKUP($A13,'⚪设计'!$A$283:$N$306,7,FALSE)="","",VLOOKUP($A13,'⚪设计'!$A$283:$N$306,7,FALSE))</f>
        <v>种子1</v>
      </c>
      <c r="H13" s="97">
        <f t="shared" si="1"/>
        <v>6</v>
      </c>
      <c r="I13" s="97">
        <f>IF(VLOOKUP($A13,'⚪设计'!$A$283:$N$306,11,FALSE)="","",VLOOKUP($A13,'⚪设计'!$A$283:$N$306,11,FALSE))</f>
        <v>2</v>
      </c>
      <c r="J13" s="97">
        <f>IF(G13="","",ROUND($D13*VLOOKUP($A13,'⚪设计'!$A$283:$N$306,4,FALSE)/(IF($G13="",0,VLOOKUP($G13,'⚪设计'!$B$85:$H$113,4,FALSE)*$H13)+IF($L13="",0,VLOOKUP($L13,'⚪设计'!$B$85:$H$113,4,FALSE)*$M13)+IF($Q13="",0,VLOOKUP($Q13,'⚪设计'!$B$85:$H$113,4,FALSE)*$R13)+IF($V13="",0,VLOOKUP($V13,'⚪设计'!$B$85:$H$113,4,FALSE)*$W13))*IF(G13="",0,VLOOKUP(G13,'⚪设计'!$B$85:$H$113,4,FALSE)),0))</f>
        <v>240</v>
      </c>
      <c r="K13" s="97">
        <f>IF(G13="","",ROUND(战斗节奏!$B$14/(IF($G13="",0,VLOOKUP($G13,'⚪设计'!$B$85:$H$113,5,FALSE)*$H13)+IF($L13="",0,VLOOKUP($L13,'⚪设计'!$B$85:$H$113,5,FALSE)*$M13)+IF($Q13="",0,VLOOKUP($Q13,'⚪设计'!$B$85:$H$113,5,FALSE)*$R13)+IF($V13="",0,VLOOKUP($V13,'⚪设计'!$B$85:$H$113,5,FALSE)*$W13))*IF(G13="",0,VLOOKUP(G13,'⚪设计'!$B$85:$H$113,5,FALSE)),0))</f>
        <v>33</v>
      </c>
      <c r="L13" s="97" t="str">
        <f>IF(VLOOKUP($A13,'⚪设计'!$A$283:$N$306,8,FALSE)="","",VLOOKUP($A13,'⚪设计'!$A$283:$N$306,8,FALSE))</f>
        <v>蜜蜂2</v>
      </c>
      <c r="M13" s="97">
        <f t="shared" si="2"/>
        <v>6</v>
      </c>
      <c r="N13" s="97">
        <f>IF(VLOOKUP($A13,'⚪设计'!$A$283:$N$306,12,FALSE)="","",VLOOKUP($A13,'⚪设计'!$A$283:$N$306,12,FALSE))</f>
        <v>2</v>
      </c>
      <c r="O13" s="97">
        <f>IF(L13="","",ROUND($D13*VLOOKUP($A13,'⚪设计'!$A$283:$N$306,4,FALSE)/(IF($G13="",0,VLOOKUP($G13,'⚪设计'!$B$85:$H$113,4,FALSE)*$H13)+IF($L13="",0,VLOOKUP($L13,'⚪设计'!$B$85:$H$113,4,FALSE)*$M13)+IF($Q13="",0,VLOOKUP($Q13,'⚪设计'!$B$85:$H$113,4,FALSE)*$R13)+IF($V13="",0,VLOOKUP($V13,'⚪设计'!$B$85:$H$113,4,FALSE)*$W13))*IF(L13="",0,VLOOKUP(L13,'⚪设计'!$B$85:$H$113,4,FALSE)),0))</f>
        <v>160</v>
      </c>
      <c r="P13" s="97">
        <f>IF(L13="","",ROUND(战斗节奏!$B$14/(IF($G13="",0,VLOOKUP($G13,'⚪设计'!$B$85:$H$113,5,FALSE)*$H13)+IF($L13="",0,VLOOKUP($L13,'⚪设计'!$B$85:$H$113,5,FALSE)*$M13)+IF($Q13="",0,VLOOKUP($Q13,'⚪设计'!$B$85:$H$113,5,FALSE)*$R13)+IF($V13="",0,VLOOKUP($V13,'⚪设计'!$B$85:$H$113,5,FALSE)*$W13))*IF(L13="",0,VLOOKUP(L13,'⚪设计'!$B$85:$H$113,5,FALSE)),0))</f>
        <v>33</v>
      </c>
      <c r="Q13" s="97" t="str">
        <f>IF(VLOOKUP($A13,'⚪设计'!$A$283:$N$306,9,FALSE)="","",VLOOKUP($A13,'⚪设计'!$A$283:$N$306,9,FALSE))</f>
        <v>鸟2</v>
      </c>
      <c r="R13" s="97">
        <f t="shared" si="3"/>
        <v>6</v>
      </c>
      <c r="S13" s="97">
        <f>IF(VLOOKUP($A13,'⚪设计'!$A$283:$N$306,13,FALSE)="","",VLOOKUP($A13,'⚪设计'!$A$283:$N$306,13,FALSE))</f>
        <v>2</v>
      </c>
      <c r="T13" s="97">
        <f>IF(Q13="","",ROUND($D13*VLOOKUP($A13,'⚪设计'!$A$283:$N$306,4,FALSE)/(IF($G13="",0,VLOOKUP($G13,'⚪设计'!$B$85:$H$113,4,FALSE)*$H13)+IF($L13="",0,VLOOKUP($L13,'⚪设计'!$B$85:$H$113,4,FALSE)*$M13)+IF($Q13="",0,VLOOKUP($Q13,'⚪设计'!$B$85:$H$113,4,FALSE)*$R13)+IF($V13="",0,VLOOKUP($V13,'⚪设计'!$B$85:$H$113,4,FALSE)*$W13))*IF(Q13="",0,VLOOKUP(Q13,'⚪设计'!$B$85:$H$113,4,FALSE)),0))</f>
        <v>320</v>
      </c>
      <c r="U13" s="97">
        <f>IF(Q13="","",ROUND(战斗节奏!$B$14/(IF($G13="",0,VLOOKUP($G13,'⚪设计'!$B$85:$H$113,5,FALSE)*$H13)+IF($L13="",0,VLOOKUP($L13,'⚪设计'!$B$85:$H$113,5,FALSE)*$M13)+IF($Q13="",0,VLOOKUP($Q13,'⚪设计'!$B$85:$H$113,5,FALSE)*$R13)+IF($V13="",0,VLOOKUP($V13,'⚪设计'!$B$85:$H$113,5,FALSE)*$W13))*IF(Q13="",0,VLOOKUP(Q13,'⚪设计'!$B$85:$H$113,5,FALSE)),0))</f>
        <v>33</v>
      </c>
      <c r="V13" s="97" t="str">
        <f>IF(VLOOKUP($A13,'⚪设计'!$A$283:$N$306,10,FALSE)="","",VLOOKUP($A13,'⚪设计'!$A$283:$N$306,10,FALSE))</f>
        <v/>
      </c>
      <c r="W13" s="97" t="str">
        <f t="shared" si="4"/>
        <v/>
      </c>
      <c r="X13" s="97" t="str">
        <f>IF(VLOOKUP($A13,'⚪设计'!$A$283:$N$306,14,FALSE)="","",VLOOKUP($A13,'⚪设计'!$A$283:$N$306,14,FALSE))</f>
        <v/>
      </c>
      <c r="Y13" s="97" t="str">
        <f>IF(V13="","",ROUND($D13*VLOOKUP($A13,'⚪设计'!$A$283:$N$306,4,FALSE)/(IF($G13="",0,VLOOKUP($G13,'⚪设计'!$B$85:$H$113,4,FALSE)*$H13)+IF($L13="",0,VLOOKUP($L13,'⚪设计'!$B$85:$H$113,4,FALSE)*$M13)+IF($Q13="",0,VLOOKUP($Q13,'⚪设计'!$B$85:$H$113,4,FALSE)*$R13)+IF($V13="",0,VLOOKUP($V13,'⚪设计'!$B$85:$H$113,4,FALSE)*$W13))*IF(V13="",0,VLOOKUP(V13,'⚪设计'!$B$85:$H$113,4,FALSE)),0))</f>
        <v/>
      </c>
      <c r="Z13" s="97" t="str">
        <f>IF(V13="","",ROUND(战斗节奏!$B$14/(IF($G13="",0,VLOOKUP($G13,'⚪设计'!$B$85:$H$113,5,FALSE)*$H13)+IF($L13="",0,VLOOKUP($L13,'⚪设计'!$B$85:$H$113,5,FALSE)*$M13)+IF($Q13="",0,VLOOKUP($Q13,'⚪设计'!$B$85:$H$113,5,FALSE)*$R13)+IF($V13="",0,VLOOKUP($V13,'⚪设计'!$B$85:$H$113,5,FALSE)*$W13))*IF(V13="",0,VLOOKUP(V13,'⚪设计'!$B$85:$H$113,5,FALSE)),0))</f>
        <v/>
      </c>
    </row>
    <row r="14" spans="1:26" x14ac:dyDescent="0.2">
      <c r="A14" s="2" t="str">
        <f t="shared" si="0"/>
        <v>3_3</v>
      </c>
      <c r="B14" s="2">
        <v>3</v>
      </c>
      <c r="C14" s="2">
        <v>3</v>
      </c>
      <c r="D14" s="97">
        <f>VLOOKUP(C14,无限模式!$A$3:$B$22,2,FALSE)</f>
        <v>3600</v>
      </c>
      <c r="E14" s="98">
        <v>1</v>
      </c>
      <c r="F14" s="97">
        <f>VLOOKUP(A14,'⚪设计'!$A$283:$N$306,6,FALSE)</f>
        <v>15</v>
      </c>
      <c r="G14" s="97" t="str">
        <f>IF(VLOOKUP($A14,'⚪设计'!$A$283:$N$306,7,FALSE)="","",VLOOKUP($A14,'⚪设计'!$A$283:$N$306,7,FALSE))</f>
        <v>种子1</v>
      </c>
      <c r="H14" s="97">
        <f t="shared" si="1"/>
        <v>8</v>
      </c>
      <c r="I14" s="97">
        <f>IF(VLOOKUP($A14,'⚪设计'!$A$283:$N$306,11,FALSE)="","",VLOOKUP($A14,'⚪设计'!$A$283:$N$306,11,FALSE))</f>
        <v>2</v>
      </c>
      <c r="J14" s="97">
        <f>IF(G14="","",ROUND($D14*VLOOKUP($A14,'⚪设计'!$A$283:$N$306,4,FALSE)/(IF($G14="",0,VLOOKUP($G14,'⚪设计'!$B$85:$H$113,4,FALSE)*$H14)+IF($L14="",0,VLOOKUP($L14,'⚪设计'!$B$85:$H$113,4,FALSE)*$M14)+IF($Q14="",0,VLOOKUP($Q14,'⚪设计'!$B$85:$H$113,4,FALSE)*$R14)+IF($V14="",0,VLOOKUP($V14,'⚪设计'!$B$85:$H$113,4,FALSE)*$W14))*IF(G14="",0,VLOOKUP(G14,'⚪设计'!$B$85:$H$113,4,FALSE)),0))</f>
        <v>1020</v>
      </c>
      <c r="K14" s="97">
        <f>IF(G14="","",ROUND(战斗节奏!$B$14/(IF($G14="",0,VLOOKUP($G14,'⚪设计'!$B$85:$H$113,5,FALSE)*$H14)+IF($L14="",0,VLOOKUP($L14,'⚪设计'!$B$85:$H$113,5,FALSE)*$M14)+IF($Q14="",0,VLOOKUP($Q14,'⚪设计'!$B$85:$H$113,5,FALSE)*$R14)+IF($V14="",0,VLOOKUP($V14,'⚪设计'!$B$85:$H$113,5,FALSE)*$W14))*IF(G14="",0,VLOOKUP(G14,'⚪设计'!$B$85:$H$113,5,FALSE)),0))</f>
        <v>30</v>
      </c>
      <c r="L14" s="97" t="str">
        <f>IF(VLOOKUP($A14,'⚪设计'!$A$283:$N$306,8,FALSE)="","",VLOOKUP($A14,'⚪设计'!$A$283:$N$306,8,FALSE))</f>
        <v>蝙蝠1</v>
      </c>
      <c r="M14" s="97">
        <f t="shared" si="2"/>
        <v>15</v>
      </c>
      <c r="N14" s="97">
        <f>IF(VLOOKUP($A14,'⚪设计'!$A$283:$N$306,12,FALSE)="","",VLOOKUP($A14,'⚪设计'!$A$283:$N$306,12,FALSE))</f>
        <v>1</v>
      </c>
      <c r="O14" s="97">
        <f>IF(L14="","",ROUND($D14*VLOOKUP($A14,'⚪设计'!$A$283:$N$306,4,FALSE)/(IF($G14="",0,VLOOKUP($G14,'⚪设计'!$B$85:$H$113,4,FALSE)*$H14)+IF($L14="",0,VLOOKUP($L14,'⚪设计'!$B$85:$H$113,4,FALSE)*$M14)+IF($Q14="",0,VLOOKUP($Q14,'⚪设计'!$B$85:$H$113,4,FALSE)*$R14)+IF($V14="",0,VLOOKUP($V14,'⚪设计'!$B$85:$H$113,4,FALSE)*$W14))*IF(L14="",0,VLOOKUP(L14,'⚪设计'!$B$85:$H$113,4,FALSE)),0))</f>
        <v>170</v>
      </c>
      <c r="P14" s="97">
        <f>IF(L14="","",ROUND(战斗节奏!$B$14/(IF($G14="",0,VLOOKUP($G14,'⚪设计'!$B$85:$H$113,5,FALSE)*$H14)+IF($L14="",0,VLOOKUP($L14,'⚪设计'!$B$85:$H$113,5,FALSE)*$M14)+IF($Q14="",0,VLOOKUP($Q14,'⚪设计'!$B$85:$H$113,5,FALSE)*$R14)+IF($V14="",0,VLOOKUP($V14,'⚪设计'!$B$85:$H$113,5,FALSE)*$W14))*IF(L14="",0,VLOOKUP(L14,'⚪设计'!$B$85:$H$113,5,FALSE)),0))</f>
        <v>8</v>
      </c>
      <c r="Q14" s="97" t="str">
        <f>IF(VLOOKUP($A14,'⚪设计'!$A$283:$N$306,9,FALSE)="","",VLOOKUP($A14,'⚪设计'!$A$283:$N$306,9,FALSE))</f>
        <v>鸟2</v>
      </c>
      <c r="R14" s="97">
        <f t="shared" si="3"/>
        <v>8</v>
      </c>
      <c r="S14" s="97">
        <f>IF(VLOOKUP($A14,'⚪设计'!$A$283:$N$306,13,FALSE)="","",VLOOKUP($A14,'⚪设计'!$A$283:$N$306,13,FALSE))</f>
        <v>2</v>
      </c>
      <c r="T14" s="97">
        <f>IF(Q14="","",ROUND($D14*VLOOKUP($A14,'⚪设计'!$A$283:$N$306,4,FALSE)/(IF($G14="",0,VLOOKUP($G14,'⚪设计'!$B$85:$H$113,4,FALSE)*$H14)+IF($L14="",0,VLOOKUP($L14,'⚪设计'!$B$85:$H$113,4,FALSE)*$M14)+IF($Q14="",0,VLOOKUP($Q14,'⚪设计'!$B$85:$H$113,4,FALSE)*$R14)+IF($V14="",0,VLOOKUP($V14,'⚪设计'!$B$85:$H$113,4,FALSE)*$W14))*IF(Q14="",0,VLOOKUP(Q14,'⚪设计'!$B$85:$H$113,4,FALSE)),0))</f>
        <v>1361</v>
      </c>
      <c r="U14" s="97">
        <f>IF(Q14="","",ROUND(战斗节奏!$B$14/(IF($G14="",0,VLOOKUP($G14,'⚪设计'!$B$85:$H$113,5,FALSE)*$H14)+IF($L14="",0,VLOOKUP($L14,'⚪设计'!$B$85:$H$113,5,FALSE)*$M14)+IF($Q14="",0,VLOOKUP($Q14,'⚪设计'!$B$85:$H$113,5,FALSE)*$R14)+IF($V14="",0,VLOOKUP($V14,'⚪设计'!$B$85:$H$113,5,FALSE)*$W14))*IF(Q14="",0,VLOOKUP(Q14,'⚪设计'!$B$85:$H$113,5,FALSE)),0))</f>
        <v>30</v>
      </c>
      <c r="V14" s="97" t="str">
        <f>IF(VLOOKUP($A14,'⚪设计'!$A$283:$N$306,10,FALSE)="","",VLOOKUP($A14,'⚪设计'!$A$283:$N$306,10,FALSE))</f>
        <v/>
      </c>
      <c r="W14" s="97" t="str">
        <f t="shared" si="4"/>
        <v/>
      </c>
      <c r="X14" s="97" t="str">
        <f>IF(VLOOKUP($A14,'⚪设计'!$A$283:$N$306,14,FALSE)="","",VLOOKUP($A14,'⚪设计'!$A$283:$N$306,14,FALSE))</f>
        <v/>
      </c>
      <c r="Y14" s="97" t="str">
        <f>IF(V14="","",ROUND($D14*VLOOKUP($A14,'⚪设计'!$A$283:$N$306,4,FALSE)/(IF($G14="",0,VLOOKUP($G14,'⚪设计'!$B$85:$H$113,4,FALSE)*$H14)+IF($L14="",0,VLOOKUP($L14,'⚪设计'!$B$85:$H$113,4,FALSE)*$M14)+IF($Q14="",0,VLOOKUP($Q14,'⚪设计'!$B$85:$H$113,4,FALSE)*$R14)+IF($V14="",0,VLOOKUP($V14,'⚪设计'!$B$85:$H$113,4,FALSE)*$W14))*IF(V14="",0,VLOOKUP(V14,'⚪设计'!$B$85:$H$113,4,FALSE)),0))</f>
        <v/>
      </c>
      <c r="Z14" s="97" t="str">
        <f>IF(V14="","",ROUND(战斗节奏!$B$14/(IF($G14="",0,VLOOKUP($G14,'⚪设计'!$B$85:$H$113,5,FALSE)*$H14)+IF($L14="",0,VLOOKUP($L14,'⚪设计'!$B$85:$H$113,5,FALSE)*$M14)+IF($Q14="",0,VLOOKUP($Q14,'⚪设计'!$B$85:$H$113,5,FALSE)*$R14)+IF($V14="",0,VLOOKUP($V14,'⚪设计'!$B$85:$H$113,5,FALSE)*$W14))*IF(V14="",0,VLOOKUP(V14,'⚪设计'!$B$85:$H$113,5,FALSE)),0))</f>
        <v/>
      </c>
    </row>
    <row r="15" spans="1:26" x14ac:dyDescent="0.2">
      <c r="A15" s="2" t="str">
        <f t="shared" si="0"/>
        <v>4_1</v>
      </c>
      <c r="B15" s="2">
        <v>4</v>
      </c>
      <c r="C15" s="2">
        <v>1</v>
      </c>
      <c r="D15" s="97">
        <f>VLOOKUP(C15,无限模式!$A$3:$B$22,2,FALSE)</f>
        <v>900</v>
      </c>
      <c r="E15" s="98">
        <v>1</v>
      </c>
      <c r="F15" s="97">
        <f>VLOOKUP(A15,'⚪设计'!$A$283:$N$306,6,FALSE)</f>
        <v>10</v>
      </c>
      <c r="G15" s="97" t="str">
        <f>IF(VLOOKUP($A15,'⚪设计'!$A$283:$N$306,7,FALSE)="","",VLOOKUP($A15,'⚪设计'!$A$283:$N$306,7,FALSE))</f>
        <v>鬼1</v>
      </c>
      <c r="H15" s="97">
        <f t="shared" si="1"/>
        <v>7</v>
      </c>
      <c r="I15" s="97">
        <f>IF(VLOOKUP($A15,'⚪设计'!$A$283:$N$306,11,FALSE)="","",VLOOKUP($A15,'⚪设计'!$A$283:$N$306,11,FALSE))</f>
        <v>1.5</v>
      </c>
      <c r="J15" s="97">
        <f>IF(G15="","",ROUND($D15*VLOOKUP($A15,'⚪设计'!$A$283:$N$306,4,FALSE)/(IF($G15="",0,VLOOKUP($G15,'⚪设计'!$B$85:$H$113,4,FALSE)*$H15)+IF($L15="",0,VLOOKUP($L15,'⚪设计'!$B$85:$H$113,4,FALSE)*$M15)+IF($Q15="",0,VLOOKUP($Q15,'⚪设计'!$B$85:$H$113,4,FALSE)*$R15)+IF($V15="",0,VLOOKUP($V15,'⚪设计'!$B$85:$H$113,4,FALSE)*$W15))*IF(G15="",0,VLOOKUP(G15,'⚪设计'!$B$85:$H$113,4,FALSE)),0))</f>
        <v>83</v>
      </c>
      <c r="K15" s="97">
        <f>IF(G15="","",ROUND(战斗节奏!$B$14/(IF($G15="",0,VLOOKUP($G15,'⚪设计'!$B$85:$H$113,5,FALSE)*$H15)+IF($L15="",0,VLOOKUP($L15,'⚪设计'!$B$85:$H$113,5,FALSE)*$M15)+IF($Q15="",0,VLOOKUP($Q15,'⚪设计'!$B$85:$H$113,5,FALSE)*$R15)+IF($V15="",0,VLOOKUP($V15,'⚪设计'!$B$85:$H$113,5,FALSE)*$W15))*IF(G15="",0,VLOOKUP(G15,'⚪设计'!$B$85:$H$113,5,FALSE)),0))</f>
        <v>35</v>
      </c>
      <c r="L15" s="97" t="str">
        <f>IF(VLOOKUP($A15,'⚪设计'!$A$283:$N$306,8,FALSE)="","",VLOOKUP($A15,'⚪设计'!$A$283:$N$306,8,FALSE))</f>
        <v>鸟2</v>
      </c>
      <c r="M15" s="97">
        <f t="shared" si="2"/>
        <v>5</v>
      </c>
      <c r="N15" s="97">
        <f>IF(VLOOKUP($A15,'⚪设计'!$A$283:$N$306,12,FALSE)="","",VLOOKUP($A15,'⚪设计'!$A$283:$N$306,12,FALSE))</f>
        <v>2</v>
      </c>
      <c r="O15" s="97">
        <f>IF(L15="","",ROUND($D15*VLOOKUP($A15,'⚪设计'!$A$283:$N$306,4,FALSE)/(IF($G15="",0,VLOOKUP($G15,'⚪设计'!$B$85:$H$113,4,FALSE)*$H15)+IF($L15="",0,VLOOKUP($L15,'⚪设计'!$B$85:$H$113,4,FALSE)*$M15)+IF($Q15="",0,VLOOKUP($Q15,'⚪设计'!$B$85:$H$113,4,FALSE)*$R15)+IF($V15="",0,VLOOKUP($V15,'⚪设计'!$B$85:$H$113,4,FALSE)*$W15))*IF(L15="",0,VLOOKUP(L15,'⚪设计'!$B$85:$H$113,4,FALSE)),0))</f>
        <v>333</v>
      </c>
      <c r="P15" s="97">
        <f>IF(L15="","",ROUND(战斗节奏!$B$14/(IF($G15="",0,VLOOKUP($G15,'⚪设计'!$B$85:$H$113,5,FALSE)*$H15)+IF($L15="",0,VLOOKUP($L15,'⚪设计'!$B$85:$H$113,5,FALSE)*$M15)+IF($Q15="",0,VLOOKUP($Q15,'⚪设计'!$B$85:$H$113,5,FALSE)*$R15)+IF($V15="",0,VLOOKUP($V15,'⚪设计'!$B$85:$H$113,5,FALSE)*$W15))*IF(L15="",0,VLOOKUP(L15,'⚪设计'!$B$85:$H$113,5,FALSE)),0))</f>
        <v>71</v>
      </c>
      <c r="Q15" s="97" t="str">
        <f>IF(VLOOKUP($A15,'⚪设计'!$A$283:$N$306,9,FALSE)="","",VLOOKUP($A15,'⚪设计'!$A$283:$N$306,9,FALSE))</f>
        <v/>
      </c>
      <c r="R15" s="97" t="str">
        <f t="shared" si="3"/>
        <v/>
      </c>
      <c r="S15" s="97" t="str">
        <f>IF(VLOOKUP($A15,'⚪设计'!$A$283:$N$306,13,FALSE)="","",VLOOKUP($A15,'⚪设计'!$A$283:$N$306,13,FALSE))</f>
        <v/>
      </c>
      <c r="T15" s="97" t="str">
        <f>IF(Q15="","",ROUND($D15*VLOOKUP($A15,'⚪设计'!$A$283:$N$306,4,FALSE)/(IF($G15="",0,VLOOKUP($G15,'⚪设计'!$B$85:$H$113,4,FALSE)*$H15)+IF($L15="",0,VLOOKUP($L15,'⚪设计'!$B$85:$H$113,4,FALSE)*$M15)+IF($Q15="",0,VLOOKUP($Q15,'⚪设计'!$B$85:$H$113,4,FALSE)*$R15)+IF($V15="",0,VLOOKUP($V15,'⚪设计'!$B$85:$H$113,4,FALSE)*$W15))*IF(Q15="",0,VLOOKUP(Q15,'⚪设计'!$B$85:$H$113,4,FALSE)),0))</f>
        <v/>
      </c>
      <c r="U15" s="97" t="str">
        <f>IF(Q15="","",ROUND(战斗节奏!$B$14/(IF($G15="",0,VLOOKUP($G15,'⚪设计'!$B$85:$H$113,5,FALSE)*$H15)+IF($L15="",0,VLOOKUP($L15,'⚪设计'!$B$85:$H$113,5,FALSE)*$M15)+IF($Q15="",0,VLOOKUP($Q15,'⚪设计'!$B$85:$H$113,5,FALSE)*$R15)+IF($V15="",0,VLOOKUP($V15,'⚪设计'!$B$85:$H$113,5,FALSE)*$W15))*IF(Q15="",0,VLOOKUP(Q15,'⚪设计'!$B$85:$H$113,5,FALSE)),0))</f>
        <v/>
      </c>
      <c r="V15" s="97" t="str">
        <f>IF(VLOOKUP($A15,'⚪设计'!$A$283:$N$306,10,FALSE)="","",VLOOKUP($A15,'⚪设计'!$A$283:$N$306,10,FALSE))</f>
        <v/>
      </c>
      <c r="W15" s="97" t="str">
        <f t="shared" si="4"/>
        <v/>
      </c>
      <c r="X15" s="97" t="str">
        <f>IF(VLOOKUP($A15,'⚪设计'!$A$283:$N$306,14,FALSE)="","",VLOOKUP($A15,'⚪设计'!$A$283:$N$306,14,FALSE))</f>
        <v/>
      </c>
      <c r="Y15" s="97" t="str">
        <f>IF(V15="","",ROUND($D15*VLOOKUP($A15,'⚪设计'!$A$283:$N$306,4,FALSE)/(IF($G15="",0,VLOOKUP($G15,'⚪设计'!$B$85:$H$113,4,FALSE)*$H15)+IF($L15="",0,VLOOKUP($L15,'⚪设计'!$B$85:$H$113,4,FALSE)*$M15)+IF($Q15="",0,VLOOKUP($Q15,'⚪设计'!$B$85:$H$113,4,FALSE)*$R15)+IF($V15="",0,VLOOKUP($V15,'⚪设计'!$B$85:$H$113,4,FALSE)*$W15))*IF(V15="",0,VLOOKUP(V15,'⚪设计'!$B$85:$H$113,4,FALSE)),0))</f>
        <v/>
      </c>
      <c r="Z15" s="97" t="str">
        <f>IF(V15="","",ROUND(战斗节奏!$B$14/(IF($G15="",0,VLOOKUP($G15,'⚪设计'!$B$85:$H$113,5,FALSE)*$H15)+IF($L15="",0,VLOOKUP($L15,'⚪设计'!$B$85:$H$113,5,FALSE)*$M15)+IF($Q15="",0,VLOOKUP($Q15,'⚪设计'!$B$85:$H$113,5,FALSE)*$R15)+IF($V15="",0,VLOOKUP($V15,'⚪设计'!$B$85:$H$113,5,FALSE)*$W15))*IF(V15="",0,VLOOKUP(V15,'⚪设计'!$B$85:$H$113,5,FALSE)),0))</f>
        <v/>
      </c>
    </row>
    <row r="16" spans="1:26" x14ac:dyDescent="0.2">
      <c r="A16" s="2" t="str">
        <f t="shared" si="0"/>
        <v>4_2</v>
      </c>
      <c r="B16" s="2">
        <v>4</v>
      </c>
      <c r="C16" s="2">
        <v>2</v>
      </c>
      <c r="D16" s="97">
        <f>VLOOKUP(C16,无限模式!$A$3:$B$22,2,FALSE)</f>
        <v>1800</v>
      </c>
      <c r="E16" s="98">
        <v>1</v>
      </c>
      <c r="F16" s="97">
        <f>VLOOKUP(A16,'⚪设计'!$A$283:$N$306,6,FALSE)</f>
        <v>12.5</v>
      </c>
      <c r="G16" s="97" t="str">
        <f>IF(VLOOKUP($A16,'⚪设计'!$A$283:$N$306,7,FALSE)="","",VLOOKUP($A16,'⚪设计'!$A$283:$N$306,7,FALSE))</f>
        <v>鬼1</v>
      </c>
      <c r="H16" s="97">
        <f t="shared" si="1"/>
        <v>8</v>
      </c>
      <c r="I16" s="97">
        <f>IF(VLOOKUP($A16,'⚪设计'!$A$283:$N$306,11,FALSE)="","",VLOOKUP($A16,'⚪设计'!$A$283:$N$306,11,FALSE))</f>
        <v>1.5</v>
      </c>
      <c r="J16" s="97">
        <f>IF(G16="","",ROUND($D16*VLOOKUP($A16,'⚪设计'!$A$283:$N$306,4,FALSE)/(IF($G16="",0,VLOOKUP($G16,'⚪设计'!$B$85:$H$113,4,FALSE)*$H16)+IF($L16="",0,VLOOKUP($L16,'⚪设计'!$B$85:$H$113,4,FALSE)*$M16)+IF($Q16="",0,VLOOKUP($Q16,'⚪设计'!$B$85:$H$113,4,FALSE)*$R16)+IF($V16="",0,VLOOKUP($V16,'⚪设计'!$B$85:$H$113,4,FALSE)*$W16))*IF(G16="",0,VLOOKUP(G16,'⚪设计'!$B$85:$H$113,4,FALSE)),0))</f>
        <v>220</v>
      </c>
      <c r="K16" s="97">
        <f>IF(G16="","",ROUND(战斗节奏!$B$14/(IF($G16="",0,VLOOKUP($G16,'⚪设计'!$B$85:$H$113,5,FALSE)*$H16)+IF($L16="",0,VLOOKUP($L16,'⚪设计'!$B$85:$H$113,5,FALSE)*$M16)+IF($Q16="",0,VLOOKUP($Q16,'⚪设计'!$B$85:$H$113,5,FALSE)*$R16)+IF($V16="",0,VLOOKUP($V16,'⚪设计'!$B$85:$H$113,5,FALSE)*$W16))*IF(G16="",0,VLOOKUP(G16,'⚪设计'!$B$85:$H$113,5,FALSE)),0))</f>
        <v>9</v>
      </c>
      <c r="L16" s="97" t="str">
        <f>IF(VLOOKUP($A16,'⚪设计'!$A$283:$N$306,8,FALSE)="","",VLOOKUP($A16,'⚪设计'!$A$283:$N$306,8,FALSE))</f>
        <v>蜜蜂2</v>
      </c>
      <c r="M16" s="97">
        <f t="shared" si="2"/>
        <v>25</v>
      </c>
      <c r="N16" s="97">
        <f>IF(VLOOKUP($A16,'⚪设计'!$A$283:$N$306,12,FALSE)="","",VLOOKUP($A16,'⚪设计'!$A$283:$N$306,12,FALSE))</f>
        <v>0.5</v>
      </c>
      <c r="O16" s="97">
        <f>IF(L16="","",ROUND($D16*VLOOKUP($A16,'⚪设计'!$A$283:$N$306,4,FALSE)/(IF($G16="",0,VLOOKUP($G16,'⚪设计'!$B$85:$H$113,4,FALSE)*$H16)+IF($L16="",0,VLOOKUP($L16,'⚪设计'!$B$85:$H$113,4,FALSE)*$M16)+IF($Q16="",0,VLOOKUP($Q16,'⚪设计'!$B$85:$H$113,4,FALSE)*$R16)+IF($V16="",0,VLOOKUP($V16,'⚪设计'!$B$85:$H$113,4,FALSE)*$W16))*IF(L16="",0,VLOOKUP(L16,'⚪设计'!$B$85:$H$113,4,FALSE)),0))</f>
        <v>439</v>
      </c>
      <c r="P16" s="97">
        <f>IF(L16="","",ROUND(战斗节奏!$B$14/(IF($G16="",0,VLOOKUP($G16,'⚪设计'!$B$85:$H$113,5,FALSE)*$H16)+IF($L16="",0,VLOOKUP($L16,'⚪设计'!$B$85:$H$113,5,FALSE)*$M16)+IF($Q16="",0,VLOOKUP($Q16,'⚪设计'!$B$85:$H$113,5,FALSE)*$R16)+IF($V16="",0,VLOOKUP($V16,'⚪设计'!$B$85:$H$113,5,FALSE)*$W16))*IF(L16="",0,VLOOKUP(L16,'⚪设计'!$B$85:$H$113,5,FALSE)),0))</f>
        <v>17</v>
      </c>
      <c r="Q16" s="97" t="str">
        <f>IF(VLOOKUP($A16,'⚪设计'!$A$283:$N$306,9,FALSE)="","",VLOOKUP($A16,'⚪设计'!$A$283:$N$306,9,FALSE))</f>
        <v>鸟2</v>
      </c>
      <c r="R16" s="97">
        <f t="shared" si="3"/>
        <v>6</v>
      </c>
      <c r="S16" s="97">
        <f>IF(VLOOKUP($A16,'⚪设计'!$A$283:$N$306,13,FALSE)="","",VLOOKUP($A16,'⚪设计'!$A$283:$N$306,13,FALSE))</f>
        <v>2</v>
      </c>
      <c r="T16" s="97">
        <f>IF(Q16="","",ROUND($D16*VLOOKUP($A16,'⚪设计'!$A$283:$N$306,4,FALSE)/(IF($G16="",0,VLOOKUP($G16,'⚪设计'!$B$85:$H$113,4,FALSE)*$H16)+IF($L16="",0,VLOOKUP($L16,'⚪设计'!$B$85:$H$113,4,FALSE)*$M16)+IF($Q16="",0,VLOOKUP($Q16,'⚪设计'!$B$85:$H$113,4,FALSE)*$R16)+IF($V16="",0,VLOOKUP($V16,'⚪设计'!$B$85:$H$113,4,FALSE)*$W16))*IF(Q16="",0,VLOOKUP(Q16,'⚪设计'!$B$85:$H$113,4,FALSE)),0))</f>
        <v>878</v>
      </c>
      <c r="U16" s="97">
        <f>IF(Q16="","",ROUND(战斗节奏!$B$14/(IF($G16="",0,VLOOKUP($G16,'⚪设计'!$B$85:$H$113,5,FALSE)*$H16)+IF($L16="",0,VLOOKUP($L16,'⚪设计'!$B$85:$H$113,5,FALSE)*$M16)+IF($Q16="",0,VLOOKUP($Q16,'⚪设计'!$B$85:$H$113,5,FALSE)*$R16)+IF($V16="",0,VLOOKUP($V16,'⚪设计'!$B$85:$H$113,5,FALSE)*$W16))*IF(Q16="",0,VLOOKUP(Q16,'⚪设计'!$B$85:$H$113,5,FALSE)),0))</f>
        <v>17</v>
      </c>
      <c r="V16" s="97" t="str">
        <f>IF(VLOOKUP($A16,'⚪设计'!$A$283:$N$306,10,FALSE)="","",VLOOKUP($A16,'⚪设计'!$A$283:$N$306,10,FALSE))</f>
        <v/>
      </c>
      <c r="W16" s="97" t="str">
        <f t="shared" si="4"/>
        <v/>
      </c>
      <c r="X16" s="97" t="str">
        <f>IF(VLOOKUP($A16,'⚪设计'!$A$283:$N$306,14,FALSE)="","",VLOOKUP($A16,'⚪设计'!$A$283:$N$306,14,FALSE))</f>
        <v/>
      </c>
      <c r="Y16" s="97" t="str">
        <f>IF(V16="","",ROUND($D16*VLOOKUP($A16,'⚪设计'!$A$283:$N$306,4,FALSE)/(IF($G16="",0,VLOOKUP($G16,'⚪设计'!$B$85:$H$113,4,FALSE)*$H16)+IF($L16="",0,VLOOKUP($L16,'⚪设计'!$B$85:$H$113,4,FALSE)*$M16)+IF($Q16="",0,VLOOKUP($Q16,'⚪设计'!$B$85:$H$113,4,FALSE)*$R16)+IF($V16="",0,VLOOKUP($V16,'⚪设计'!$B$85:$H$113,4,FALSE)*$W16))*IF(V16="",0,VLOOKUP(V16,'⚪设计'!$B$85:$H$113,4,FALSE)),0))</f>
        <v/>
      </c>
      <c r="Z16" s="97" t="str">
        <f>IF(V16="","",ROUND(战斗节奏!$B$14/(IF($G16="",0,VLOOKUP($G16,'⚪设计'!$B$85:$H$113,5,FALSE)*$H16)+IF($L16="",0,VLOOKUP($L16,'⚪设计'!$B$85:$H$113,5,FALSE)*$M16)+IF($Q16="",0,VLOOKUP($Q16,'⚪设计'!$B$85:$H$113,5,FALSE)*$R16)+IF($V16="",0,VLOOKUP($V16,'⚪设计'!$B$85:$H$113,5,FALSE)*$W16))*IF(V16="",0,VLOOKUP(V16,'⚪设计'!$B$85:$H$113,5,FALSE)),0))</f>
        <v/>
      </c>
    </row>
    <row r="17" spans="1:26" x14ac:dyDescent="0.2">
      <c r="A17" s="2" t="str">
        <f t="shared" si="0"/>
        <v>4_3</v>
      </c>
      <c r="B17" s="2">
        <v>4</v>
      </c>
      <c r="C17" s="2">
        <v>3</v>
      </c>
      <c r="D17" s="97">
        <f>VLOOKUP(C17,无限模式!$A$3:$B$22,2,FALSE)</f>
        <v>3600</v>
      </c>
      <c r="E17" s="98">
        <v>1</v>
      </c>
      <c r="F17" s="97">
        <f>VLOOKUP(A17,'⚪设计'!$A$283:$N$306,6,FALSE)</f>
        <v>15</v>
      </c>
      <c r="G17" s="97" t="str">
        <f>IF(VLOOKUP($A17,'⚪设计'!$A$283:$N$306,7,FALSE)="","",VLOOKUP($A17,'⚪设计'!$A$283:$N$306,7,FALSE))</f>
        <v>鬼1</v>
      </c>
      <c r="H17" s="97">
        <f t="shared" si="1"/>
        <v>10</v>
      </c>
      <c r="I17" s="97">
        <f>IF(VLOOKUP($A17,'⚪设计'!$A$283:$N$306,11,FALSE)="","",VLOOKUP($A17,'⚪设计'!$A$283:$N$306,11,FALSE))</f>
        <v>1.5</v>
      </c>
      <c r="J17" s="97">
        <f>IF(G17="","",ROUND($D17*VLOOKUP($A17,'⚪设计'!$A$283:$N$306,4,FALSE)/(IF($G17="",0,VLOOKUP($G17,'⚪设计'!$B$85:$H$113,4,FALSE)*$H17)+IF($L17="",0,VLOOKUP($L17,'⚪设计'!$B$85:$H$113,4,FALSE)*$M17)+IF($Q17="",0,VLOOKUP($Q17,'⚪设计'!$B$85:$H$113,4,FALSE)*$R17)+IF($V17="",0,VLOOKUP($V17,'⚪设计'!$B$85:$H$113,4,FALSE)*$W17))*IF(G17="",0,VLOOKUP(G17,'⚪设计'!$B$85:$H$113,4,FALSE)),0))</f>
        <v>815</v>
      </c>
      <c r="K17" s="97">
        <f>IF(G17="","",ROUND(战斗节奏!$B$14/(IF($G17="",0,VLOOKUP($G17,'⚪设计'!$B$85:$H$113,5,FALSE)*$H17)+IF($L17="",0,VLOOKUP($L17,'⚪设计'!$B$85:$H$113,5,FALSE)*$M17)+IF($Q17="",0,VLOOKUP($Q17,'⚪设计'!$B$85:$H$113,5,FALSE)*$R17)+IF($V17="",0,VLOOKUP($V17,'⚪设计'!$B$85:$H$113,5,FALSE)*$W17))*IF(G17="",0,VLOOKUP(G17,'⚪设计'!$B$85:$H$113,5,FALSE)),0))</f>
        <v>9</v>
      </c>
      <c r="L17" s="97" t="str">
        <f>IF(VLOOKUP($A17,'⚪设计'!$A$283:$N$306,8,FALSE)="","",VLOOKUP($A17,'⚪设计'!$A$283:$N$306,8,FALSE))</f>
        <v>蝙蝠1</v>
      </c>
      <c r="M17" s="97">
        <f t="shared" si="2"/>
        <v>75</v>
      </c>
      <c r="N17" s="97">
        <f>IF(VLOOKUP($A17,'⚪设计'!$A$283:$N$306,12,FALSE)="","",VLOOKUP($A17,'⚪设计'!$A$283:$N$306,12,FALSE))</f>
        <v>0.2</v>
      </c>
      <c r="O17" s="97">
        <f>IF(L17="","",ROUND($D17*VLOOKUP($A17,'⚪设计'!$A$283:$N$306,4,FALSE)/(IF($G17="",0,VLOOKUP($G17,'⚪设计'!$B$85:$H$113,4,FALSE)*$H17)+IF($L17="",0,VLOOKUP($L17,'⚪设计'!$B$85:$H$113,4,FALSE)*$M17)+IF($Q17="",0,VLOOKUP($Q17,'⚪设计'!$B$85:$H$113,4,FALSE)*$R17)+IF($V17="",0,VLOOKUP($V17,'⚪设计'!$B$85:$H$113,4,FALSE)*$W17))*IF(L17="",0,VLOOKUP(L17,'⚪设计'!$B$85:$H$113,4,FALSE)),0))</f>
        <v>408</v>
      </c>
      <c r="P17" s="97">
        <f>IF(L17="","",ROUND(战斗节奏!$B$14/(IF($G17="",0,VLOOKUP($G17,'⚪设计'!$B$85:$H$113,5,FALSE)*$H17)+IF($L17="",0,VLOOKUP($L17,'⚪设计'!$B$85:$H$113,5,FALSE)*$M17)+IF($Q17="",0,VLOOKUP($Q17,'⚪设计'!$B$85:$H$113,5,FALSE)*$R17)+IF($V17="",0,VLOOKUP($V17,'⚪设计'!$B$85:$H$113,5,FALSE)*$W17))*IF(L17="",0,VLOOKUP(L17,'⚪设计'!$B$85:$H$113,5,FALSE)),0))</f>
        <v>5</v>
      </c>
      <c r="Q17" s="97" t="str">
        <f>IF(VLOOKUP($A17,'⚪设计'!$A$283:$N$306,9,FALSE)="","",VLOOKUP($A17,'⚪设计'!$A$283:$N$306,9,FALSE))</f>
        <v>鸟2</v>
      </c>
      <c r="R17" s="97">
        <f t="shared" si="3"/>
        <v>8</v>
      </c>
      <c r="S17" s="97">
        <f>IF(VLOOKUP($A17,'⚪设计'!$A$283:$N$306,13,FALSE)="","",VLOOKUP($A17,'⚪设计'!$A$283:$N$306,13,FALSE))</f>
        <v>2</v>
      </c>
      <c r="T17" s="97">
        <f>IF(Q17="","",ROUND($D17*VLOOKUP($A17,'⚪设计'!$A$283:$N$306,4,FALSE)/(IF($G17="",0,VLOOKUP($G17,'⚪设计'!$B$85:$H$113,4,FALSE)*$H17)+IF($L17="",0,VLOOKUP($L17,'⚪设计'!$B$85:$H$113,4,FALSE)*$M17)+IF($Q17="",0,VLOOKUP($Q17,'⚪设计'!$B$85:$H$113,4,FALSE)*$R17)+IF($V17="",0,VLOOKUP($V17,'⚪设计'!$B$85:$H$113,4,FALSE)*$W17))*IF(Q17="",0,VLOOKUP(Q17,'⚪设计'!$B$85:$H$113,4,FALSE)),0))</f>
        <v>3260</v>
      </c>
      <c r="U17" s="97">
        <f>IF(Q17="","",ROUND(战斗节奏!$B$14/(IF($G17="",0,VLOOKUP($G17,'⚪设计'!$B$85:$H$113,5,FALSE)*$H17)+IF($L17="",0,VLOOKUP($L17,'⚪设计'!$B$85:$H$113,5,FALSE)*$M17)+IF($Q17="",0,VLOOKUP($Q17,'⚪设计'!$B$85:$H$113,5,FALSE)*$R17)+IF($V17="",0,VLOOKUP($V17,'⚪设计'!$B$85:$H$113,5,FALSE)*$W17))*IF(Q17="",0,VLOOKUP(Q17,'⚪设计'!$B$85:$H$113,5,FALSE)),0))</f>
        <v>19</v>
      </c>
      <c r="V17" s="97" t="str">
        <f>IF(VLOOKUP($A17,'⚪设计'!$A$283:$N$306,10,FALSE)="","",VLOOKUP($A17,'⚪设计'!$A$283:$N$306,10,FALSE))</f>
        <v/>
      </c>
      <c r="W17" s="97" t="str">
        <f t="shared" si="4"/>
        <v/>
      </c>
      <c r="X17" s="97" t="str">
        <f>IF(VLOOKUP($A17,'⚪设计'!$A$283:$N$306,14,FALSE)="","",VLOOKUP($A17,'⚪设计'!$A$283:$N$306,14,FALSE))</f>
        <v/>
      </c>
      <c r="Y17" s="97" t="str">
        <f>IF(V17="","",ROUND($D17*VLOOKUP($A17,'⚪设计'!$A$283:$N$306,4,FALSE)/(IF($G17="",0,VLOOKUP($G17,'⚪设计'!$B$85:$H$113,4,FALSE)*$H17)+IF($L17="",0,VLOOKUP($L17,'⚪设计'!$B$85:$H$113,4,FALSE)*$M17)+IF($Q17="",0,VLOOKUP($Q17,'⚪设计'!$B$85:$H$113,4,FALSE)*$R17)+IF($V17="",0,VLOOKUP($V17,'⚪设计'!$B$85:$H$113,4,FALSE)*$W17))*IF(V17="",0,VLOOKUP(V17,'⚪设计'!$B$85:$H$113,4,FALSE)),0))</f>
        <v/>
      </c>
      <c r="Z17" s="97" t="str">
        <f>IF(V17="","",ROUND(战斗节奏!$B$14/(IF($G17="",0,VLOOKUP($G17,'⚪设计'!$B$85:$H$113,5,FALSE)*$H17)+IF($L17="",0,VLOOKUP($L17,'⚪设计'!$B$85:$H$113,5,FALSE)*$M17)+IF($Q17="",0,VLOOKUP($Q17,'⚪设计'!$B$85:$H$113,5,FALSE)*$R17)+IF($V17="",0,VLOOKUP($V17,'⚪设计'!$B$85:$H$113,5,FALSE)*$W17))*IF(V17="",0,VLOOKUP(V17,'⚪设计'!$B$85:$H$113,5,FALSE)),0))</f>
        <v/>
      </c>
    </row>
    <row r="18" spans="1:26" x14ac:dyDescent="0.2">
      <c r="A18" s="2" t="str">
        <f t="shared" si="0"/>
        <v>4_4</v>
      </c>
      <c r="B18" s="2">
        <v>4</v>
      </c>
      <c r="C18" s="2">
        <v>4</v>
      </c>
      <c r="D18" s="97">
        <f>VLOOKUP(C18,无限模式!$A$3:$B$22,2,FALSE)</f>
        <v>4500</v>
      </c>
      <c r="E18" s="98">
        <v>1</v>
      </c>
      <c r="F18" s="97">
        <f>VLOOKUP(A18,'⚪设计'!$A$283:$N$306,6,FALSE)</f>
        <v>17.5</v>
      </c>
      <c r="G18" s="97" t="str">
        <f>IF(VLOOKUP($A18,'⚪设计'!$A$283:$N$306,7,FALSE)="","",VLOOKUP($A18,'⚪设计'!$A$283:$N$306,7,FALSE))</f>
        <v>鬼1</v>
      </c>
      <c r="H18" s="97">
        <f t="shared" si="1"/>
        <v>12</v>
      </c>
      <c r="I18" s="97">
        <f>IF(VLOOKUP($A18,'⚪设计'!$A$283:$N$306,11,FALSE)="","",VLOOKUP($A18,'⚪设计'!$A$283:$N$306,11,FALSE))</f>
        <v>1.5</v>
      </c>
      <c r="J18" s="97">
        <f>IF(G18="","",ROUND($D18*VLOOKUP($A18,'⚪设计'!$A$283:$N$306,4,FALSE)/(IF($G18="",0,VLOOKUP($G18,'⚪设计'!$B$85:$H$113,4,FALSE)*$H18)+IF($L18="",0,VLOOKUP($L18,'⚪设计'!$B$85:$H$113,4,FALSE)*$M18)+IF($Q18="",0,VLOOKUP($Q18,'⚪设计'!$B$85:$H$113,4,FALSE)*$R18)+IF($V18="",0,VLOOKUP($V18,'⚪设计'!$B$85:$H$113,4,FALSE)*$W18))*IF(G18="",0,VLOOKUP(G18,'⚪设计'!$B$85:$H$113,4,FALSE)),0))</f>
        <v>105</v>
      </c>
      <c r="K18" s="97">
        <f>IF(G18="","",ROUND(战斗节奏!$B$14/(IF($G18="",0,VLOOKUP($G18,'⚪设计'!$B$85:$H$113,5,FALSE)*$H18)+IF($L18="",0,VLOOKUP($L18,'⚪设计'!$B$85:$H$113,5,FALSE)*$M18)+IF($Q18="",0,VLOOKUP($Q18,'⚪设计'!$B$85:$H$113,5,FALSE)*$R18)+IF($V18="",0,VLOOKUP($V18,'⚪设计'!$B$85:$H$113,5,FALSE)*$W18))*IF(G18="",0,VLOOKUP(G18,'⚪设计'!$B$85:$H$113,5,FALSE)),0))</f>
        <v>7</v>
      </c>
      <c r="L18" s="97" t="str">
        <f>IF(VLOOKUP($A18,'⚪设计'!$A$283:$N$306,8,FALSE)="","",VLOOKUP($A18,'⚪设计'!$A$283:$N$306,8,FALSE))</f>
        <v>蜘蛛1</v>
      </c>
      <c r="M18" s="97">
        <f t="shared" si="2"/>
        <v>44</v>
      </c>
      <c r="N18" s="97">
        <f>IF(VLOOKUP($A18,'⚪设计'!$A$283:$N$306,12,FALSE)="","",VLOOKUP($A18,'⚪设计'!$A$283:$N$306,12,FALSE))</f>
        <v>0.4</v>
      </c>
      <c r="O18" s="97">
        <f>IF(L18="","",ROUND($D18*VLOOKUP($A18,'⚪设计'!$A$283:$N$306,4,FALSE)/(IF($G18="",0,VLOOKUP($G18,'⚪设计'!$B$85:$H$113,4,FALSE)*$H18)+IF($L18="",0,VLOOKUP($L18,'⚪设计'!$B$85:$H$113,4,FALSE)*$M18)+IF($Q18="",0,VLOOKUP($Q18,'⚪设计'!$B$85:$H$113,4,FALSE)*$R18)+IF($V18="",0,VLOOKUP($V18,'⚪设计'!$B$85:$H$113,4,FALSE)*$W18))*IF(L18="",0,VLOOKUP(L18,'⚪设计'!$B$85:$H$113,4,FALSE)),0))</f>
        <v>105</v>
      </c>
      <c r="P18" s="97">
        <f>IF(L18="","",ROUND(战斗节奏!$B$14/(IF($G18="",0,VLOOKUP($G18,'⚪设计'!$B$85:$H$113,5,FALSE)*$H18)+IF($L18="",0,VLOOKUP($L18,'⚪设计'!$B$85:$H$113,5,FALSE)*$M18)+IF($Q18="",0,VLOOKUP($Q18,'⚪设计'!$B$85:$H$113,5,FALSE)*$R18)+IF($V18="",0,VLOOKUP($V18,'⚪设计'!$B$85:$H$113,5,FALSE)*$W18))*IF(L18="",0,VLOOKUP(L18,'⚪设计'!$B$85:$H$113,5,FALSE)),0))</f>
        <v>7</v>
      </c>
      <c r="Q18" s="97" t="str">
        <f>IF(VLOOKUP($A18,'⚪设计'!$A$283:$N$306,9,FALSE)="","",VLOOKUP($A18,'⚪设计'!$A$283:$N$306,9,FALSE))</f>
        <v>鸟2</v>
      </c>
      <c r="R18" s="97">
        <f t="shared" si="3"/>
        <v>18</v>
      </c>
      <c r="S18" s="97">
        <f>IF(VLOOKUP($A18,'⚪设计'!$A$283:$N$306,13,FALSE)="","",VLOOKUP($A18,'⚪设计'!$A$283:$N$306,13,FALSE))</f>
        <v>1</v>
      </c>
      <c r="T18" s="97">
        <f>IF(Q18="","",ROUND($D18*VLOOKUP($A18,'⚪设计'!$A$283:$N$306,4,FALSE)/(IF($G18="",0,VLOOKUP($G18,'⚪设计'!$B$85:$H$113,4,FALSE)*$H18)+IF($L18="",0,VLOOKUP($L18,'⚪设计'!$B$85:$H$113,4,FALSE)*$M18)+IF($Q18="",0,VLOOKUP($Q18,'⚪设计'!$B$85:$H$113,4,FALSE)*$R18)+IF($V18="",0,VLOOKUP($V18,'⚪设计'!$B$85:$H$113,4,FALSE)*$W18))*IF(Q18="",0,VLOOKUP(Q18,'⚪设计'!$B$85:$H$113,4,FALSE)),0))</f>
        <v>422</v>
      </c>
      <c r="U18" s="97">
        <f>IF(Q18="","",ROUND(战斗节奏!$B$14/(IF($G18="",0,VLOOKUP($G18,'⚪设计'!$B$85:$H$113,5,FALSE)*$H18)+IF($L18="",0,VLOOKUP($L18,'⚪设计'!$B$85:$H$113,5,FALSE)*$M18)+IF($Q18="",0,VLOOKUP($Q18,'⚪设计'!$B$85:$H$113,5,FALSE)*$R18)+IF($V18="",0,VLOOKUP($V18,'⚪设计'!$B$85:$H$113,5,FALSE)*$W18))*IF(Q18="",0,VLOOKUP(Q18,'⚪设计'!$B$85:$H$113,5,FALSE)),0))</f>
        <v>13</v>
      </c>
      <c r="V18" s="97" t="str">
        <f>IF(VLOOKUP($A18,'⚪设计'!$A$283:$N$306,10,FALSE)="","",VLOOKUP($A18,'⚪设计'!$A$283:$N$306,10,FALSE))</f>
        <v/>
      </c>
      <c r="W18" s="97" t="str">
        <f t="shared" si="4"/>
        <v/>
      </c>
      <c r="X18" s="97" t="str">
        <f>IF(VLOOKUP($A18,'⚪设计'!$A$283:$N$306,14,FALSE)="","",VLOOKUP($A18,'⚪设计'!$A$283:$N$306,14,FALSE))</f>
        <v/>
      </c>
      <c r="Y18" s="97" t="str">
        <f>IF(V18="","",ROUND($D18*VLOOKUP($A18,'⚪设计'!$A$283:$N$306,4,FALSE)/(IF($G18="",0,VLOOKUP($G18,'⚪设计'!$B$85:$H$113,4,FALSE)*$H18)+IF($L18="",0,VLOOKUP($L18,'⚪设计'!$B$85:$H$113,4,FALSE)*$M18)+IF($Q18="",0,VLOOKUP($Q18,'⚪设计'!$B$85:$H$113,4,FALSE)*$R18)+IF($V18="",0,VLOOKUP($V18,'⚪设计'!$B$85:$H$113,4,FALSE)*$W18))*IF(V18="",0,VLOOKUP(V18,'⚪设计'!$B$85:$H$113,4,FALSE)),0))</f>
        <v/>
      </c>
      <c r="Z18" s="97" t="str">
        <f>IF(V18="","",ROUND(战斗节奏!$B$14/(IF($G18="",0,VLOOKUP($G18,'⚪设计'!$B$85:$H$113,5,FALSE)*$H18)+IF($L18="",0,VLOOKUP($L18,'⚪设计'!$B$85:$H$113,5,FALSE)*$M18)+IF($Q18="",0,VLOOKUP($Q18,'⚪设计'!$B$85:$H$113,5,FALSE)*$R18)+IF($V18="",0,VLOOKUP($V18,'⚪设计'!$B$85:$H$113,5,FALSE)*$W18))*IF(V18="",0,VLOOKUP(V18,'⚪设计'!$B$85:$H$113,5,FALSE)),0))</f>
        <v/>
      </c>
    </row>
    <row r="19" spans="1:26" x14ac:dyDescent="0.2">
      <c r="A19" s="2" t="str">
        <f t="shared" si="0"/>
        <v>4_5</v>
      </c>
      <c r="B19" s="2">
        <v>4</v>
      </c>
      <c r="C19" s="2">
        <v>5</v>
      </c>
      <c r="D19" s="97">
        <f>VLOOKUP(C19,无限模式!$A$3:$B$22,2,FALSE)</f>
        <v>5400</v>
      </c>
      <c r="E19" s="98">
        <v>1</v>
      </c>
      <c r="F19" s="97">
        <f>VLOOKUP(A19,'⚪设计'!$A$283:$N$306,6,FALSE)</f>
        <v>20</v>
      </c>
      <c r="G19" s="97" t="str">
        <f>IF(VLOOKUP($A19,'⚪设计'!$A$283:$N$306,7,FALSE)="","",VLOOKUP($A19,'⚪设计'!$A$283:$N$306,7,FALSE))</f>
        <v>鬼1</v>
      </c>
      <c r="H19" s="97">
        <f t="shared" si="1"/>
        <v>40</v>
      </c>
      <c r="I19" s="97">
        <f>IF(VLOOKUP($A19,'⚪设计'!$A$283:$N$306,11,FALSE)="","",VLOOKUP($A19,'⚪设计'!$A$283:$N$306,11,FALSE))</f>
        <v>0.5</v>
      </c>
      <c r="J19" s="97">
        <f>IF(G19="","",ROUND($D19*VLOOKUP($A19,'⚪设计'!$A$283:$N$306,4,FALSE)/(IF($G19="",0,VLOOKUP($G19,'⚪设计'!$B$85:$H$113,4,FALSE)*$H19)+IF($L19="",0,VLOOKUP($L19,'⚪设计'!$B$85:$H$113,4,FALSE)*$M19)+IF($Q19="",0,VLOOKUP($Q19,'⚪设计'!$B$85:$H$113,4,FALSE)*$R19)+IF($V19="",0,VLOOKUP($V19,'⚪设计'!$B$85:$H$113,4,FALSE)*$W19))*IF(G19="",0,VLOOKUP(G19,'⚪设计'!$B$85:$H$113,4,FALSE)),0))</f>
        <v>108</v>
      </c>
      <c r="K19" s="97">
        <f>IF(G19="","",ROUND(战斗节奏!$B$14/(IF($G19="",0,VLOOKUP($G19,'⚪设计'!$B$85:$H$113,5,FALSE)*$H19)+IF($L19="",0,VLOOKUP($L19,'⚪设计'!$B$85:$H$113,5,FALSE)*$M19)+IF($Q19="",0,VLOOKUP($Q19,'⚪设计'!$B$85:$H$113,5,FALSE)*$R19)+IF($V19="",0,VLOOKUP($V19,'⚪设计'!$B$85:$H$113,5,FALSE)*$W19))*IF(G19="",0,VLOOKUP(G19,'⚪设计'!$B$85:$H$113,5,FALSE)),0))</f>
        <v>6</v>
      </c>
      <c r="L19" s="97" t="str">
        <f>IF(VLOOKUP($A19,'⚪设计'!$A$283:$N$306,8,FALSE)="","",VLOOKUP($A19,'⚪设计'!$A$283:$N$306,8,FALSE))</f>
        <v>种子1</v>
      </c>
      <c r="M19" s="97">
        <f t="shared" si="2"/>
        <v>10</v>
      </c>
      <c r="N19" s="97">
        <f>IF(VLOOKUP($A19,'⚪设计'!$A$283:$N$306,12,FALSE)="","",VLOOKUP($A19,'⚪设计'!$A$283:$N$306,12,FALSE))</f>
        <v>2</v>
      </c>
      <c r="O19" s="97">
        <f>IF(L19="","",ROUND($D19*VLOOKUP($A19,'⚪设计'!$A$283:$N$306,4,FALSE)/(IF($G19="",0,VLOOKUP($G19,'⚪设计'!$B$85:$H$113,4,FALSE)*$H19)+IF($L19="",0,VLOOKUP($L19,'⚪设计'!$B$85:$H$113,4,FALSE)*$M19)+IF($Q19="",0,VLOOKUP($Q19,'⚪设计'!$B$85:$H$113,4,FALSE)*$R19)+IF($V19="",0,VLOOKUP($V19,'⚪设计'!$B$85:$H$113,4,FALSE)*$W19))*IF(L19="",0,VLOOKUP(L19,'⚪设计'!$B$85:$H$113,4,FALSE)),0))</f>
        <v>324</v>
      </c>
      <c r="P19" s="97">
        <f>IF(L19="","",ROUND(战斗节奏!$B$14/(IF($G19="",0,VLOOKUP($G19,'⚪设计'!$B$85:$H$113,5,FALSE)*$H19)+IF($L19="",0,VLOOKUP($L19,'⚪设计'!$B$85:$H$113,5,FALSE)*$M19)+IF($Q19="",0,VLOOKUP($Q19,'⚪设计'!$B$85:$H$113,5,FALSE)*$R19)+IF($V19="",0,VLOOKUP($V19,'⚪设计'!$B$85:$H$113,5,FALSE)*$W19))*IF(L19="",0,VLOOKUP(L19,'⚪设计'!$B$85:$H$113,5,FALSE)),0))</f>
        <v>12</v>
      </c>
      <c r="Q19" s="97" t="str">
        <f>IF(VLOOKUP($A19,'⚪设计'!$A$283:$N$306,9,FALSE)="","",VLOOKUP($A19,'⚪设计'!$A$283:$N$306,9,FALSE))</f>
        <v>鸟2</v>
      </c>
      <c r="R19" s="97">
        <f t="shared" si="3"/>
        <v>20</v>
      </c>
      <c r="S19" s="97">
        <f>IF(VLOOKUP($A19,'⚪设计'!$A$283:$N$306,13,FALSE)="","",VLOOKUP($A19,'⚪设计'!$A$283:$N$306,13,FALSE))</f>
        <v>1</v>
      </c>
      <c r="T19" s="97">
        <f>IF(Q19="","",ROUND($D19*VLOOKUP($A19,'⚪设计'!$A$283:$N$306,4,FALSE)/(IF($G19="",0,VLOOKUP($G19,'⚪设计'!$B$85:$H$113,4,FALSE)*$H19)+IF($L19="",0,VLOOKUP($L19,'⚪设计'!$B$85:$H$113,4,FALSE)*$M19)+IF($Q19="",0,VLOOKUP($Q19,'⚪设计'!$B$85:$H$113,4,FALSE)*$R19)+IF($V19="",0,VLOOKUP($V19,'⚪设计'!$B$85:$H$113,4,FALSE)*$W19))*IF(Q19="",0,VLOOKUP(Q19,'⚪设计'!$B$85:$H$113,4,FALSE)),0))</f>
        <v>432</v>
      </c>
      <c r="U19" s="97">
        <f>IF(Q19="","",ROUND(战斗节奏!$B$14/(IF($G19="",0,VLOOKUP($G19,'⚪设计'!$B$85:$H$113,5,FALSE)*$H19)+IF($L19="",0,VLOOKUP($L19,'⚪设计'!$B$85:$H$113,5,FALSE)*$M19)+IF($Q19="",0,VLOOKUP($Q19,'⚪设计'!$B$85:$H$113,5,FALSE)*$R19)+IF($V19="",0,VLOOKUP($V19,'⚪设计'!$B$85:$H$113,5,FALSE)*$W19))*IF(Q19="",0,VLOOKUP(Q19,'⚪设计'!$B$85:$H$113,5,FALSE)),0))</f>
        <v>12</v>
      </c>
      <c r="V19" s="97" t="str">
        <f>IF(VLOOKUP($A19,'⚪设计'!$A$283:$N$306,10,FALSE)="","",VLOOKUP($A19,'⚪设计'!$A$283:$N$306,10,FALSE))</f>
        <v/>
      </c>
      <c r="W19" s="97" t="str">
        <f t="shared" si="4"/>
        <v/>
      </c>
      <c r="X19" s="97" t="str">
        <f>IF(VLOOKUP($A19,'⚪设计'!$A$283:$N$306,14,FALSE)="","",VLOOKUP($A19,'⚪设计'!$A$283:$N$306,14,FALSE))</f>
        <v/>
      </c>
      <c r="Y19" s="97" t="str">
        <f>IF(V19="","",ROUND($D19*VLOOKUP($A19,'⚪设计'!$A$283:$N$306,4,FALSE)/(IF($G19="",0,VLOOKUP($G19,'⚪设计'!$B$85:$H$113,4,FALSE)*$H19)+IF($L19="",0,VLOOKUP($L19,'⚪设计'!$B$85:$H$113,4,FALSE)*$M19)+IF($Q19="",0,VLOOKUP($Q19,'⚪设计'!$B$85:$H$113,4,FALSE)*$R19)+IF($V19="",0,VLOOKUP($V19,'⚪设计'!$B$85:$H$113,4,FALSE)*$W19))*IF(V19="",0,VLOOKUP(V19,'⚪设计'!$B$85:$H$113,4,FALSE)),0))</f>
        <v/>
      </c>
      <c r="Z19" s="97" t="str">
        <f>IF(V19="","",ROUND(战斗节奏!$B$14/(IF($G19="",0,VLOOKUP($G19,'⚪设计'!$B$85:$H$113,5,FALSE)*$H19)+IF($L19="",0,VLOOKUP($L19,'⚪设计'!$B$85:$H$113,5,FALSE)*$M19)+IF($Q19="",0,VLOOKUP($Q19,'⚪设计'!$B$85:$H$113,5,FALSE)*$R19)+IF($V19="",0,VLOOKUP($V19,'⚪设计'!$B$85:$H$113,5,FALSE)*$W19))*IF(V19="",0,VLOOKUP(V19,'⚪设计'!$B$85:$H$113,5,FALSE)),0))</f>
        <v/>
      </c>
    </row>
    <row r="20" spans="1:26" x14ac:dyDescent="0.2">
      <c r="A20" s="2" t="str">
        <f t="shared" si="0"/>
        <v>5_1</v>
      </c>
      <c r="B20" s="2">
        <v>5</v>
      </c>
      <c r="C20" s="2">
        <v>1</v>
      </c>
      <c r="D20" s="97">
        <f>VLOOKUP(C20,无限模式!$A$3:$B$22,2,FALSE)</f>
        <v>900</v>
      </c>
      <c r="E20" s="98">
        <v>1</v>
      </c>
      <c r="F20" s="97">
        <f>VLOOKUP(A20,'⚪设计'!$A$283:$N$306,6,FALSE)</f>
        <v>10</v>
      </c>
      <c r="G20" s="97" t="str">
        <f>IF(VLOOKUP($A20,'⚪设计'!$A$283:$N$306,7,FALSE)="","",VLOOKUP($A20,'⚪设计'!$A$283:$N$306,7,FALSE))</f>
        <v>蛋2</v>
      </c>
      <c r="H20" s="97">
        <f t="shared" si="1"/>
        <v>7</v>
      </c>
      <c r="I20" s="97">
        <f>IF(VLOOKUP($A20,'⚪设计'!$A$283:$N$306,11,FALSE)="","",VLOOKUP($A20,'⚪设计'!$A$283:$N$306,11,FALSE))</f>
        <v>1.5</v>
      </c>
      <c r="J20" s="97">
        <f>IF(G20="","",ROUND($D20*VLOOKUP($A20,'⚪设计'!$A$283:$N$306,4,FALSE)/(IF($G20="",0,VLOOKUP($G20,'⚪设计'!$B$85:$H$113,4,FALSE)*$H20)+IF($L20="",0,VLOOKUP($L20,'⚪设计'!$B$85:$H$113,4,FALSE)*$M20)+IF($Q20="",0,VLOOKUP($Q20,'⚪设计'!$B$85:$H$113,4,FALSE)*$R20)+IF($V20="",0,VLOOKUP($V20,'⚪设计'!$B$85:$H$113,4,FALSE)*$W20))*IF(G20="",0,VLOOKUP(G20,'⚪设计'!$B$85:$H$113,4,FALSE)),0))</f>
        <v>360</v>
      </c>
      <c r="K20" s="97">
        <f>IF(G20="","",ROUND(战斗节奏!$B$14/(IF($G20="",0,VLOOKUP($G20,'⚪设计'!$B$85:$H$113,5,FALSE)*$H20)+IF($L20="",0,VLOOKUP($L20,'⚪设计'!$B$85:$H$113,5,FALSE)*$M20)+IF($Q20="",0,VLOOKUP($Q20,'⚪设计'!$B$85:$H$113,5,FALSE)*$R20)+IF($V20="",0,VLOOKUP($V20,'⚪设计'!$B$85:$H$113,5,FALSE)*$W20))*IF(G20="",0,VLOOKUP(G20,'⚪设计'!$B$85:$H$113,5,FALSE)),0))</f>
        <v>50</v>
      </c>
      <c r="L20" s="97" t="str">
        <f>IF(VLOOKUP($A20,'⚪设计'!$A$283:$N$306,8,FALSE)="","",VLOOKUP($A20,'⚪设计'!$A$283:$N$306,8,FALSE))</f>
        <v>鸟2</v>
      </c>
      <c r="M20" s="97">
        <f t="shared" si="2"/>
        <v>5</v>
      </c>
      <c r="N20" s="97">
        <f>IF(VLOOKUP($A20,'⚪设计'!$A$283:$N$306,12,FALSE)="","",VLOOKUP($A20,'⚪设计'!$A$283:$N$306,12,FALSE))</f>
        <v>2</v>
      </c>
      <c r="O20" s="97">
        <f>IF(L20="","",ROUND($D20*VLOOKUP($A20,'⚪设计'!$A$283:$N$306,4,FALSE)/(IF($G20="",0,VLOOKUP($G20,'⚪设计'!$B$85:$H$113,4,FALSE)*$H20)+IF($L20="",0,VLOOKUP($L20,'⚪设计'!$B$85:$H$113,4,FALSE)*$M20)+IF($Q20="",0,VLOOKUP($Q20,'⚪设计'!$B$85:$H$113,4,FALSE)*$R20)+IF($V20="",0,VLOOKUP($V20,'⚪设计'!$B$85:$H$113,4,FALSE)*$W20))*IF(L20="",0,VLOOKUP(L20,'⚪设计'!$B$85:$H$113,4,FALSE)),0))</f>
        <v>360</v>
      </c>
      <c r="P20" s="97">
        <f>IF(L20="","",ROUND(战斗节奏!$B$14/(IF($G20="",0,VLOOKUP($G20,'⚪设计'!$B$85:$H$113,5,FALSE)*$H20)+IF($L20="",0,VLOOKUP($L20,'⚪设计'!$B$85:$H$113,5,FALSE)*$M20)+IF($Q20="",0,VLOOKUP($Q20,'⚪设计'!$B$85:$H$113,5,FALSE)*$R20)+IF($V20="",0,VLOOKUP($V20,'⚪设计'!$B$85:$H$113,5,FALSE)*$W20))*IF(L20="",0,VLOOKUP(L20,'⚪设计'!$B$85:$H$113,5,FALSE)),0))</f>
        <v>50</v>
      </c>
      <c r="Q20" s="97" t="str">
        <f>IF(VLOOKUP($A20,'⚪设计'!$A$283:$N$306,9,FALSE)="","",VLOOKUP($A20,'⚪设计'!$A$283:$N$306,9,FALSE))</f>
        <v/>
      </c>
      <c r="R20" s="97" t="str">
        <f t="shared" si="3"/>
        <v/>
      </c>
      <c r="S20" s="97" t="str">
        <f>IF(VLOOKUP($A20,'⚪设计'!$A$283:$N$306,13,FALSE)="","",VLOOKUP($A20,'⚪设计'!$A$283:$N$306,13,FALSE))</f>
        <v/>
      </c>
      <c r="T20" s="97" t="str">
        <f>IF(Q20="","",ROUND($D20*VLOOKUP($A20,'⚪设计'!$A$283:$N$306,4,FALSE)/(IF($G20="",0,VLOOKUP($G20,'⚪设计'!$B$85:$H$113,4,FALSE)*$H20)+IF($L20="",0,VLOOKUP($L20,'⚪设计'!$B$85:$H$113,4,FALSE)*$M20)+IF($Q20="",0,VLOOKUP($Q20,'⚪设计'!$B$85:$H$113,4,FALSE)*$R20)+IF($V20="",0,VLOOKUP($V20,'⚪设计'!$B$85:$H$113,4,FALSE)*$W20))*IF(Q20="",0,VLOOKUP(Q20,'⚪设计'!$B$85:$H$113,4,FALSE)),0))</f>
        <v/>
      </c>
      <c r="U20" s="97" t="str">
        <f>IF(Q20="","",ROUND(战斗节奏!$B$14/(IF($G20="",0,VLOOKUP($G20,'⚪设计'!$B$85:$H$113,5,FALSE)*$H20)+IF($L20="",0,VLOOKUP($L20,'⚪设计'!$B$85:$H$113,5,FALSE)*$M20)+IF($Q20="",0,VLOOKUP($Q20,'⚪设计'!$B$85:$H$113,5,FALSE)*$R20)+IF($V20="",0,VLOOKUP($V20,'⚪设计'!$B$85:$H$113,5,FALSE)*$W20))*IF(Q20="",0,VLOOKUP(Q20,'⚪设计'!$B$85:$H$113,5,FALSE)),0))</f>
        <v/>
      </c>
      <c r="V20" s="97" t="str">
        <f>IF(VLOOKUP($A20,'⚪设计'!$A$283:$N$306,10,FALSE)="","",VLOOKUP($A20,'⚪设计'!$A$283:$N$306,10,FALSE))</f>
        <v/>
      </c>
      <c r="W20" s="97" t="str">
        <f t="shared" si="4"/>
        <v/>
      </c>
      <c r="X20" s="97" t="str">
        <f>IF(VLOOKUP($A20,'⚪设计'!$A$283:$N$306,14,FALSE)="","",VLOOKUP($A20,'⚪设计'!$A$283:$N$306,14,FALSE))</f>
        <v/>
      </c>
      <c r="Y20" s="97" t="str">
        <f>IF(V20="","",ROUND($D20*VLOOKUP($A20,'⚪设计'!$A$283:$N$306,4,FALSE)/(IF($G20="",0,VLOOKUP($G20,'⚪设计'!$B$85:$H$113,4,FALSE)*$H20)+IF($L20="",0,VLOOKUP($L20,'⚪设计'!$B$85:$H$113,4,FALSE)*$M20)+IF($Q20="",0,VLOOKUP($Q20,'⚪设计'!$B$85:$H$113,4,FALSE)*$R20)+IF($V20="",0,VLOOKUP($V20,'⚪设计'!$B$85:$H$113,4,FALSE)*$W20))*IF(V20="",0,VLOOKUP(V20,'⚪设计'!$B$85:$H$113,4,FALSE)),0))</f>
        <v/>
      </c>
      <c r="Z20" s="97" t="str">
        <f>IF(V20="","",ROUND(战斗节奏!$B$14/(IF($G20="",0,VLOOKUP($G20,'⚪设计'!$B$85:$H$113,5,FALSE)*$H20)+IF($L20="",0,VLOOKUP($L20,'⚪设计'!$B$85:$H$113,5,FALSE)*$M20)+IF($Q20="",0,VLOOKUP($Q20,'⚪设计'!$B$85:$H$113,5,FALSE)*$R20)+IF($V20="",0,VLOOKUP($V20,'⚪设计'!$B$85:$H$113,5,FALSE)*$W20))*IF(V20="",0,VLOOKUP(V20,'⚪设计'!$B$85:$H$113,5,FALSE)),0))</f>
        <v/>
      </c>
    </row>
    <row r="21" spans="1:26" x14ac:dyDescent="0.2">
      <c r="A21" s="2" t="str">
        <f t="shared" si="0"/>
        <v>5_2</v>
      </c>
      <c r="B21" s="2">
        <v>5</v>
      </c>
      <c r="C21" s="2">
        <v>2</v>
      </c>
      <c r="D21" s="97">
        <f>VLOOKUP(C21,无限模式!$A$3:$B$22,2,FALSE)</f>
        <v>1800</v>
      </c>
      <c r="E21" s="98">
        <v>1</v>
      </c>
      <c r="F21" s="97">
        <f>VLOOKUP(A21,'⚪设计'!$A$283:$N$306,6,FALSE)</f>
        <v>12.5</v>
      </c>
      <c r="G21" s="97" t="str">
        <f>IF(VLOOKUP($A21,'⚪设计'!$A$283:$N$306,7,FALSE)="","",VLOOKUP($A21,'⚪设计'!$A$283:$N$306,7,FALSE))</f>
        <v>蛋2</v>
      </c>
      <c r="H21" s="97">
        <f t="shared" si="1"/>
        <v>8</v>
      </c>
      <c r="I21" s="97">
        <f>IF(VLOOKUP($A21,'⚪设计'!$A$283:$N$306,11,FALSE)="","",VLOOKUP($A21,'⚪设计'!$A$283:$N$306,11,FALSE))</f>
        <v>1.5</v>
      </c>
      <c r="J21" s="97">
        <f>IF(G21="","",ROUND($D21*VLOOKUP($A21,'⚪设计'!$A$283:$N$306,4,FALSE)/(IF($G21="",0,VLOOKUP($G21,'⚪设计'!$B$85:$H$113,4,FALSE)*$H21)+IF($L21="",0,VLOOKUP($L21,'⚪设计'!$B$85:$H$113,4,FALSE)*$M21)+IF($Q21="",0,VLOOKUP($Q21,'⚪设计'!$B$85:$H$113,4,FALSE)*$R21)+IF($V21="",0,VLOOKUP($V21,'⚪设计'!$B$85:$H$113,4,FALSE)*$W21))*IF(G21="",0,VLOOKUP(G21,'⚪设计'!$B$85:$H$113,4,FALSE)),0))</f>
        <v>823</v>
      </c>
      <c r="K21" s="97">
        <f>IF(G21="","",ROUND(战斗节奏!$B$14/(IF($G21="",0,VLOOKUP($G21,'⚪设计'!$B$85:$H$113,5,FALSE)*$H21)+IF($L21="",0,VLOOKUP($L21,'⚪设计'!$B$85:$H$113,5,FALSE)*$M21)+IF($Q21="",0,VLOOKUP($Q21,'⚪设计'!$B$85:$H$113,5,FALSE)*$R21)+IF($V21="",0,VLOOKUP($V21,'⚪设计'!$B$85:$H$113,5,FALSE)*$W21))*IF(G21="",0,VLOOKUP(G21,'⚪设计'!$B$85:$H$113,5,FALSE)),0))</f>
        <v>20</v>
      </c>
      <c r="L21" s="97" t="str">
        <f>IF(VLOOKUP($A21,'⚪设计'!$A$283:$N$306,8,FALSE)="","",VLOOKUP($A21,'⚪设计'!$A$283:$N$306,8,FALSE))</f>
        <v>蝙蝠1</v>
      </c>
      <c r="M21" s="97">
        <f t="shared" si="2"/>
        <v>63</v>
      </c>
      <c r="N21" s="97">
        <f>IF(VLOOKUP($A21,'⚪设计'!$A$283:$N$306,12,FALSE)="","",VLOOKUP($A21,'⚪设计'!$A$283:$N$306,12,FALSE))</f>
        <v>0.2</v>
      </c>
      <c r="O21" s="97">
        <f>IF(L21="","",ROUND($D21*VLOOKUP($A21,'⚪设计'!$A$283:$N$306,4,FALSE)/(IF($G21="",0,VLOOKUP($G21,'⚪设计'!$B$85:$H$113,4,FALSE)*$H21)+IF($L21="",0,VLOOKUP($L21,'⚪设计'!$B$85:$H$113,4,FALSE)*$M21)+IF($Q21="",0,VLOOKUP($Q21,'⚪设计'!$B$85:$H$113,4,FALSE)*$R21)+IF($V21="",0,VLOOKUP($V21,'⚪设计'!$B$85:$H$113,4,FALSE)*$W21))*IF(L21="",0,VLOOKUP(L21,'⚪设计'!$B$85:$H$113,4,FALSE)),0))</f>
        <v>103</v>
      </c>
      <c r="P21" s="97">
        <f>IF(L21="","",ROUND(战斗节奏!$B$14/(IF($G21="",0,VLOOKUP($G21,'⚪设计'!$B$85:$H$113,5,FALSE)*$H21)+IF($L21="",0,VLOOKUP($L21,'⚪设计'!$B$85:$H$113,5,FALSE)*$M21)+IF($Q21="",0,VLOOKUP($Q21,'⚪设计'!$B$85:$H$113,5,FALSE)*$R21)+IF($V21="",0,VLOOKUP($V21,'⚪设计'!$B$85:$H$113,5,FALSE)*$W21))*IF(L21="",0,VLOOKUP(L21,'⚪设计'!$B$85:$H$113,5,FALSE)),0))</f>
        <v>5</v>
      </c>
      <c r="Q21" s="97" t="str">
        <f>IF(VLOOKUP($A21,'⚪设计'!$A$283:$N$306,9,FALSE)="","",VLOOKUP($A21,'⚪设计'!$A$283:$N$306,9,FALSE))</f>
        <v>鸟2</v>
      </c>
      <c r="R21" s="97">
        <f t="shared" si="3"/>
        <v>6</v>
      </c>
      <c r="S21" s="97">
        <f>IF(VLOOKUP($A21,'⚪设计'!$A$283:$N$306,13,FALSE)="","",VLOOKUP($A21,'⚪设计'!$A$283:$N$306,13,FALSE))</f>
        <v>2</v>
      </c>
      <c r="T21" s="97">
        <f>IF(Q21="","",ROUND($D21*VLOOKUP($A21,'⚪设计'!$A$283:$N$306,4,FALSE)/(IF($G21="",0,VLOOKUP($G21,'⚪设计'!$B$85:$H$113,4,FALSE)*$H21)+IF($L21="",0,VLOOKUP($L21,'⚪设计'!$B$85:$H$113,4,FALSE)*$M21)+IF($Q21="",0,VLOOKUP($Q21,'⚪设计'!$B$85:$H$113,4,FALSE)*$R21)+IF($V21="",0,VLOOKUP($V21,'⚪设计'!$B$85:$H$113,4,FALSE)*$W21))*IF(Q21="",0,VLOOKUP(Q21,'⚪设计'!$B$85:$H$113,4,FALSE)),0))</f>
        <v>823</v>
      </c>
      <c r="U21" s="97">
        <f>IF(Q21="","",ROUND(战斗节奏!$B$14/(IF($G21="",0,VLOOKUP($G21,'⚪设计'!$B$85:$H$113,5,FALSE)*$H21)+IF($L21="",0,VLOOKUP($L21,'⚪设计'!$B$85:$H$113,5,FALSE)*$M21)+IF($Q21="",0,VLOOKUP($Q21,'⚪设计'!$B$85:$H$113,5,FALSE)*$R21)+IF($V21="",0,VLOOKUP($V21,'⚪设计'!$B$85:$H$113,5,FALSE)*$W21))*IF(Q21="",0,VLOOKUP(Q21,'⚪设计'!$B$85:$H$113,5,FALSE)),0))</f>
        <v>20</v>
      </c>
      <c r="V21" s="97" t="str">
        <f>IF(VLOOKUP($A21,'⚪设计'!$A$283:$N$306,10,FALSE)="","",VLOOKUP($A21,'⚪设计'!$A$283:$N$306,10,FALSE))</f>
        <v/>
      </c>
      <c r="W21" s="97" t="str">
        <f t="shared" si="4"/>
        <v/>
      </c>
      <c r="X21" s="97" t="str">
        <f>IF(VLOOKUP($A21,'⚪设计'!$A$283:$N$306,14,FALSE)="","",VLOOKUP($A21,'⚪设计'!$A$283:$N$306,14,FALSE))</f>
        <v/>
      </c>
      <c r="Y21" s="97" t="str">
        <f>IF(V21="","",ROUND($D21*VLOOKUP($A21,'⚪设计'!$A$283:$N$306,4,FALSE)/(IF($G21="",0,VLOOKUP($G21,'⚪设计'!$B$85:$H$113,4,FALSE)*$H21)+IF($L21="",0,VLOOKUP($L21,'⚪设计'!$B$85:$H$113,4,FALSE)*$M21)+IF($Q21="",0,VLOOKUP($Q21,'⚪设计'!$B$85:$H$113,4,FALSE)*$R21)+IF($V21="",0,VLOOKUP($V21,'⚪设计'!$B$85:$H$113,4,FALSE)*$W21))*IF(V21="",0,VLOOKUP(V21,'⚪设计'!$B$85:$H$113,4,FALSE)),0))</f>
        <v/>
      </c>
      <c r="Z21" s="97" t="str">
        <f>IF(V21="","",ROUND(战斗节奏!$B$14/(IF($G21="",0,VLOOKUP($G21,'⚪设计'!$B$85:$H$113,5,FALSE)*$H21)+IF($L21="",0,VLOOKUP($L21,'⚪设计'!$B$85:$H$113,5,FALSE)*$M21)+IF($Q21="",0,VLOOKUP($Q21,'⚪设计'!$B$85:$H$113,5,FALSE)*$R21)+IF($V21="",0,VLOOKUP($V21,'⚪设计'!$B$85:$H$113,5,FALSE)*$W21))*IF(V21="",0,VLOOKUP(V21,'⚪设计'!$B$85:$H$113,5,FALSE)),0))</f>
        <v/>
      </c>
    </row>
    <row r="22" spans="1:26" x14ac:dyDescent="0.2">
      <c r="A22" s="2" t="str">
        <f t="shared" si="0"/>
        <v>5_3</v>
      </c>
      <c r="B22" s="2">
        <v>5</v>
      </c>
      <c r="C22" s="2">
        <v>3</v>
      </c>
      <c r="D22" s="97">
        <f>VLOOKUP(C22,无限模式!$A$3:$B$22,2,FALSE)</f>
        <v>3600</v>
      </c>
      <c r="E22" s="98">
        <v>1</v>
      </c>
      <c r="F22" s="97">
        <f>VLOOKUP(A22,'⚪设计'!$A$283:$N$306,6,FALSE)</f>
        <v>15</v>
      </c>
      <c r="G22" s="97" t="str">
        <f>IF(VLOOKUP($A22,'⚪设计'!$A$283:$N$306,7,FALSE)="","",VLOOKUP($A22,'⚪设计'!$A$283:$N$306,7,FALSE))</f>
        <v>蛋2</v>
      </c>
      <c r="H22" s="97">
        <f t="shared" si="1"/>
        <v>10</v>
      </c>
      <c r="I22" s="97">
        <f>IF(VLOOKUP($A22,'⚪设计'!$A$283:$N$306,11,FALSE)="","",VLOOKUP($A22,'⚪设计'!$A$283:$N$306,11,FALSE))</f>
        <v>1.5</v>
      </c>
      <c r="J22" s="97">
        <f>IF(G22="","",ROUND($D22*VLOOKUP($A22,'⚪设计'!$A$283:$N$306,4,FALSE)/(IF($G22="",0,VLOOKUP($G22,'⚪设计'!$B$85:$H$113,4,FALSE)*$H22)+IF($L22="",0,VLOOKUP($L22,'⚪设计'!$B$85:$H$113,4,FALSE)*$M22)+IF($Q22="",0,VLOOKUP($Q22,'⚪设计'!$B$85:$H$113,4,FALSE)*$R22)+IF($V22="",0,VLOOKUP($V22,'⚪设计'!$B$85:$H$113,4,FALSE)*$W22))*IF(G22="",0,VLOOKUP(G22,'⚪设计'!$B$85:$H$113,4,FALSE)),0))</f>
        <v>2160</v>
      </c>
      <c r="K22" s="97">
        <f>IF(G22="","",ROUND(战斗节奏!$B$14/(IF($G22="",0,VLOOKUP($G22,'⚪设计'!$B$85:$H$113,5,FALSE)*$H22)+IF($L22="",0,VLOOKUP($L22,'⚪设计'!$B$85:$H$113,5,FALSE)*$M22)+IF($Q22="",0,VLOOKUP($Q22,'⚪设计'!$B$85:$H$113,5,FALSE)*$R22)+IF($V22="",0,VLOOKUP($V22,'⚪设计'!$B$85:$H$113,5,FALSE)*$W22))*IF(G22="",0,VLOOKUP(G22,'⚪设计'!$B$85:$H$113,5,FALSE)),0))</f>
        <v>14</v>
      </c>
      <c r="L22" s="97" t="str">
        <f>IF(VLOOKUP($A22,'⚪设计'!$A$283:$N$306,8,FALSE)="","",VLOOKUP($A22,'⚪设计'!$A$283:$N$306,8,FALSE))</f>
        <v>蜘蛛1</v>
      </c>
      <c r="M22" s="97">
        <f t="shared" si="2"/>
        <v>38</v>
      </c>
      <c r="N22" s="97">
        <f>IF(VLOOKUP($A22,'⚪设计'!$A$283:$N$306,12,FALSE)="","",VLOOKUP($A22,'⚪设计'!$A$283:$N$306,12,FALSE))</f>
        <v>0.4</v>
      </c>
      <c r="O22" s="97">
        <f>IF(L22="","",ROUND($D22*VLOOKUP($A22,'⚪设计'!$A$283:$N$306,4,FALSE)/(IF($G22="",0,VLOOKUP($G22,'⚪设计'!$B$85:$H$113,4,FALSE)*$H22)+IF($L22="",0,VLOOKUP($L22,'⚪设计'!$B$85:$H$113,4,FALSE)*$M22)+IF($Q22="",0,VLOOKUP($Q22,'⚪设计'!$B$85:$H$113,4,FALSE)*$R22)+IF($V22="",0,VLOOKUP($V22,'⚪设计'!$B$85:$H$113,4,FALSE)*$W22))*IF(L22="",0,VLOOKUP(L22,'⚪设计'!$B$85:$H$113,4,FALSE)),0))</f>
        <v>540</v>
      </c>
      <c r="P22" s="97">
        <f>IF(L22="","",ROUND(战斗节奏!$B$14/(IF($G22="",0,VLOOKUP($G22,'⚪设计'!$B$85:$H$113,5,FALSE)*$H22)+IF($L22="",0,VLOOKUP($L22,'⚪设计'!$B$85:$H$113,5,FALSE)*$M22)+IF($Q22="",0,VLOOKUP($Q22,'⚪设计'!$B$85:$H$113,5,FALSE)*$R22)+IF($V22="",0,VLOOKUP($V22,'⚪设计'!$B$85:$H$113,5,FALSE)*$W22))*IF(L22="",0,VLOOKUP(L22,'⚪设计'!$B$85:$H$113,5,FALSE)),0))</f>
        <v>7</v>
      </c>
      <c r="Q22" s="97" t="str">
        <f>IF(VLOOKUP($A22,'⚪设计'!$A$283:$N$306,9,FALSE)="","",VLOOKUP($A22,'⚪设计'!$A$283:$N$306,9,FALSE))</f>
        <v>鬼1</v>
      </c>
      <c r="R22" s="97">
        <f t="shared" si="3"/>
        <v>10</v>
      </c>
      <c r="S22" s="97">
        <f>IF(VLOOKUP($A22,'⚪设计'!$A$283:$N$306,13,FALSE)="","",VLOOKUP($A22,'⚪设计'!$A$283:$N$306,13,FALSE))</f>
        <v>1.5</v>
      </c>
      <c r="T22" s="97">
        <f>IF(Q22="","",ROUND($D22*VLOOKUP($A22,'⚪设计'!$A$283:$N$306,4,FALSE)/(IF($G22="",0,VLOOKUP($G22,'⚪设计'!$B$85:$H$113,4,FALSE)*$H22)+IF($L22="",0,VLOOKUP($L22,'⚪设计'!$B$85:$H$113,4,FALSE)*$M22)+IF($Q22="",0,VLOOKUP($Q22,'⚪设计'!$B$85:$H$113,4,FALSE)*$R22)+IF($V22="",0,VLOOKUP($V22,'⚪设计'!$B$85:$H$113,4,FALSE)*$W22))*IF(Q22="",0,VLOOKUP(Q22,'⚪设计'!$B$85:$H$113,4,FALSE)),0))</f>
        <v>540</v>
      </c>
      <c r="U22" s="97">
        <f>IF(Q22="","",ROUND(战斗节奏!$B$14/(IF($G22="",0,VLOOKUP($G22,'⚪设计'!$B$85:$H$113,5,FALSE)*$H22)+IF($L22="",0,VLOOKUP($L22,'⚪设计'!$B$85:$H$113,5,FALSE)*$M22)+IF($Q22="",0,VLOOKUP($Q22,'⚪设计'!$B$85:$H$113,5,FALSE)*$R22)+IF($V22="",0,VLOOKUP($V22,'⚪设计'!$B$85:$H$113,5,FALSE)*$W22))*IF(Q22="",0,VLOOKUP(Q22,'⚪设计'!$B$85:$H$113,5,FALSE)),0))</f>
        <v>7</v>
      </c>
      <c r="V22" s="97" t="str">
        <f>IF(VLOOKUP($A22,'⚪设计'!$A$283:$N$306,10,FALSE)="","",VLOOKUP($A22,'⚪设计'!$A$283:$N$306,10,FALSE))</f>
        <v>鸟2</v>
      </c>
      <c r="W22" s="97">
        <f t="shared" si="4"/>
        <v>8</v>
      </c>
      <c r="X22" s="97">
        <f>IF(VLOOKUP($A22,'⚪设计'!$A$283:$N$306,14,FALSE)="","",VLOOKUP($A22,'⚪设计'!$A$283:$N$306,14,FALSE))</f>
        <v>2</v>
      </c>
      <c r="Y22" s="97">
        <f>IF(V22="","",ROUND($D22*VLOOKUP($A22,'⚪设计'!$A$283:$N$306,4,FALSE)/(IF($G22="",0,VLOOKUP($G22,'⚪设计'!$B$85:$H$113,4,FALSE)*$H22)+IF($L22="",0,VLOOKUP($L22,'⚪设计'!$B$85:$H$113,4,FALSE)*$M22)+IF($Q22="",0,VLOOKUP($Q22,'⚪设计'!$B$85:$H$113,4,FALSE)*$R22)+IF($V22="",0,VLOOKUP($V22,'⚪设计'!$B$85:$H$113,4,FALSE)*$W22))*IF(V22="",0,VLOOKUP(V22,'⚪设计'!$B$85:$H$113,4,FALSE)),0))</f>
        <v>2160</v>
      </c>
      <c r="Z22" s="97">
        <f>IF(V22="","",ROUND(战斗节奏!$B$14/(IF($G22="",0,VLOOKUP($G22,'⚪设计'!$B$85:$H$113,5,FALSE)*$H22)+IF($L22="",0,VLOOKUP($L22,'⚪设计'!$B$85:$H$113,5,FALSE)*$M22)+IF($Q22="",0,VLOOKUP($Q22,'⚪设计'!$B$85:$H$113,5,FALSE)*$R22)+IF($V22="",0,VLOOKUP($V22,'⚪设计'!$B$85:$H$113,5,FALSE)*$W22))*IF(V22="",0,VLOOKUP(V22,'⚪设计'!$B$85:$H$113,5,FALSE)),0))</f>
        <v>14</v>
      </c>
    </row>
    <row r="23" spans="1:26" x14ac:dyDescent="0.2">
      <c r="A23" s="2" t="str">
        <f t="shared" si="0"/>
        <v>5_4</v>
      </c>
      <c r="B23" s="2">
        <v>5</v>
      </c>
      <c r="C23" s="2">
        <v>4</v>
      </c>
      <c r="D23" s="97">
        <f>VLOOKUP(C23,无限模式!$A$3:$B$22,2,FALSE)</f>
        <v>4500</v>
      </c>
      <c r="E23" s="98">
        <v>1</v>
      </c>
      <c r="F23" s="97">
        <f>VLOOKUP(A23,'⚪设计'!$A$283:$N$306,6,FALSE)</f>
        <v>17.5</v>
      </c>
      <c r="G23" s="97" t="str">
        <f>IF(VLOOKUP($A23,'⚪设计'!$A$283:$N$306,7,FALSE)="","",VLOOKUP($A23,'⚪设计'!$A$283:$N$306,7,FALSE))</f>
        <v>蛋2</v>
      </c>
      <c r="H23" s="97">
        <f t="shared" si="1"/>
        <v>12</v>
      </c>
      <c r="I23" s="97">
        <f>IF(VLOOKUP($A23,'⚪设计'!$A$283:$N$306,11,FALSE)="","",VLOOKUP($A23,'⚪设计'!$A$283:$N$306,11,FALSE))</f>
        <v>1.5</v>
      </c>
      <c r="J23" s="97">
        <f>IF(G23="","",ROUND($D23*VLOOKUP($A23,'⚪设计'!$A$283:$N$306,4,FALSE)/(IF($G23="",0,VLOOKUP($G23,'⚪设计'!$B$85:$H$113,4,FALSE)*$H23)+IF($L23="",0,VLOOKUP($L23,'⚪设计'!$B$85:$H$113,4,FALSE)*$M23)+IF($Q23="",0,VLOOKUP($Q23,'⚪设计'!$B$85:$H$113,4,FALSE)*$R23)+IF($V23="",0,VLOOKUP($V23,'⚪设计'!$B$85:$H$113,4,FALSE)*$W23))*IF(G23="",0,VLOOKUP(G23,'⚪设计'!$B$85:$H$113,4,FALSE)),0))</f>
        <v>908</v>
      </c>
      <c r="K23" s="97">
        <f>IF(G23="","",ROUND(战斗节奏!$B$14/(IF($G23="",0,VLOOKUP($G23,'⚪设计'!$B$85:$H$113,5,FALSE)*$H23)+IF($L23="",0,VLOOKUP($L23,'⚪设计'!$B$85:$H$113,5,FALSE)*$M23)+IF($Q23="",0,VLOOKUP($Q23,'⚪设计'!$B$85:$H$113,5,FALSE)*$R23)+IF($V23="",0,VLOOKUP($V23,'⚪设计'!$B$85:$H$113,5,FALSE)*$W23))*IF(G23="",0,VLOOKUP(G23,'⚪设计'!$B$85:$H$113,5,FALSE)),0))</f>
        <v>16</v>
      </c>
      <c r="L23" s="97" t="str">
        <f>IF(VLOOKUP($A23,'⚪设计'!$A$283:$N$306,8,FALSE)="","",VLOOKUP($A23,'⚪设计'!$A$283:$N$306,8,FALSE))</f>
        <v>鬼1</v>
      </c>
      <c r="M23" s="97">
        <f t="shared" si="2"/>
        <v>35</v>
      </c>
      <c r="N23" s="97">
        <f>IF(VLOOKUP($A23,'⚪设计'!$A$283:$N$306,12,FALSE)="","",VLOOKUP($A23,'⚪设计'!$A$283:$N$306,12,FALSE))</f>
        <v>0.5</v>
      </c>
      <c r="O23" s="97">
        <f>IF(L23="","",ROUND($D23*VLOOKUP($A23,'⚪设计'!$A$283:$N$306,4,FALSE)/(IF($G23="",0,VLOOKUP($G23,'⚪设计'!$B$85:$H$113,4,FALSE)*$H23)+IF($L23="",0,VLOOKUP($L23,'⚪设计'!$B$85:$H$113,4,FALSE)*$M23)+IF($Q23="",0,VLOOKUP($Q23,'⚪设计'!$B$85:$H$113,4,FALSE)*$R23)+IF($V23="",0,VLOOKUP($V23,'⚪设计'!$B$85:$H$113,4,FALSE)*$W23))*IF(L23="",0,VLOOKUP(L23,'⚪设计'!$B$85:$H$113,4,FALSE)),0))</f>
        <v>227</v>
      </c>
      <c r="P23" s="97">
        <f>IF(L23="","",ROUND(战斗节奏!$B$14/(IF($G23="",0,VLOOKUP($G23,'⚪设计'!$B$85:$H$113,5,FALSE)*$H23)+IF($L23="",0,VLOOKUP($L23,'⚪设计'!$B$85:$H$113,5,FALSE)*$M23)+IF($Q23="",0,VLOOKUP($Q23,'⚪设计'!$B$85:$H$113,5,FALSE)*$R23)+IF($V23="",0,VLOOKUP($V23,'⚪设计'!$B$85:$H$113,5,FALSE)*$W23))*IF(L23="",0,VLOOKUP(L23,'⚪设计'!$B$85:$H$113,5,FALSE)),0))</f>
        <v>8</v>
      </c>
      <c r="Q23" s="97" t="str">
        <f>IF(VLOOKUP($A23,'⚪设计'!$A$283:$N$306,9,FALSE)="","",VLOOKUP($A23,'⚪设计'!$A$283:$N$306,9,FALSE))</f>
        <v>鸟2</v>
      </c>
      <c r="R23" s="97">
        <f t="shared" si="3"/>
        <v>9</v>
      </c>
      <c r="S23" s="97">
        <f>IF(VLOOKUP($A23,'⚪设计'!$A$283:$N$306,13,FALSE)="","",VLOOKUP($A23,'⚪设计'!$A$283:$N$306,13,FALSE))</f>
        <v>2</v>
      </c>
      <c r="T23" s="97">
        <f>IF(Q23="","",ROUND($D23*VLOOKUP($A23,'⚪设计'!$A$283:$N$306,4,FALSE)/(IF($G23="",0,VLOOKUP($G23,'⚪设计'!$B$85:$H$113,4,FALSE)*$H23)+IF($L23="",0,VLOOKUP($L23,'⚪设计'!$B$85:$H$113,4,FALSE)*$M23)+IF($Q23="",0,VLOOKUP($Q23,'⚪设计'!$B$85:$H$113,4,FALSE)*$R23)+IF($V23="",0,VLOOKUP($V23,'⚪设计'!$B$85:$H$113,4,FALSE)*$W23))*IF(Q23="",0,VLOOKUP(Q23,'⚪设计'!$B$85:$H$113,4,FALSE)),0))</f>
        <v>908</v>
      </c>
      <c r="U23" s="97">
        <f>IF(Q23="","",ROUND(战斗节奏!$B$14/(IF($G23="",0,VLOOKUP($G23,'⚪设计'!$B$85:$H$113,5,FALSE)*$H23)+IF($L23="",0,VLOOKUP($L23,'⚪设计'!$B$85:$H$113,5,FALSE)*$M23)+IF($Q23="",0,VLOOKUP($Q23,'⚪设计'!$B$85:$H$113,5,FALSE)*$R23)+IF($V23="",0,VLOOKUP($V23,'⚪设计'!$B$85:$H$113,5,FALSE)*$W23))*IF(Q23="",0,VLOOKUP(Q23,'⚪设计'!$B$85:$H$113,5,FALSE)),0))</f>
        <v>16</v>
      </c>
      <c r="V23" s="97" t="str">
        <f>IF(VLOOKUP($A23,'⚪设计'!$A$283:$N$306,10,FALSE)="","",VLOOKUP($A23,'⚪设计'!$A$283:$N$306,10,FALSE))</f>
        <v/>
      </c>
      <c r="W23" s="97" t="str">
        <f t="shared" si="4"/>
        <v/>
      </c>
      <c r="X23" s="97" t="str">
        <f>IF(VLOOKUP($A23,'⚪设计'!$A$283:$N$306,14,FALSE)="","",VLOOKUP($A23,'⚪设计'!$A$283:$N$306,14,FALSE))</f>
        <v/>
      </c>
      <c r="Y23" s="97" t="str">
        <f>IF(V23="","",ROUND($D23*VLOOKUP($A23,'⚪设计'!$A$283:$N$306,4,FALSE)/(IF($G23="",0,VLOOKUP($G23,'⚪设计'!$B$85:$H$113,4,FALSE)*$H23)+IF($L23="",0,VLOOKUP($L23,'⚪设计'!$B$85:$H$113,4,FALSE)*$M23)+IF($Q23="",0,VLOOKUP($Q23,'⚪设计'!$B$85:$H$113,4,FALSE)*$R23)+IF($V23="",0,VLOOKUP($V23,'⚪设计'!$B$85:$H$113,4,FALSE)*$W23))*IF(V23="",0,VLOOKUP(V23,'⚪设计'!$B$85:$H$113,4,FALSE)),0))</f>
        <v/>
      </c>
      <c r="Z23" s="97" t="str">
        <f>IF(V23="","",ROUND(战斗节奏!$B$14/(IF($G23="",0,VLOOKUP($G23,'⚪设计'!$B$85:$H$113,5,FALSE)*$H23)+IF($L23="",0,VLOOKUP($L23,'⚪设计'!$B$85:$H$113,5,FALSE)*$M23)+IF($Q23="",0,VLOOKUP($Q23,'⚪设计'!$B$85:$H$113,5,FALSE)*$R23)+IF($V23="",0,VLOOKUP($V23,'⚪设计'!$B$85:$H$113,5,FALSE)*$W23))*IF(V23="",0,VLOOKUP(V23,'⚪设计'!$B$85:$H$113,5,FALSE)),0))</f>
        <v/>
      </c>
    </row>
    <row r="24" spans="1:26" x14ac:dyDescent="0.2">
      <c r="A24" s="2" t="str">
        <f t="shared" si="0"/>
        <v>5_5</v>
      </c>
      <c r="B24" s="2">
        <v>5</v>
      </c>
      <c r="C24" s="2">
        <v>5</v>
      </c>
      <c r="D24" s="97">
        <f>VLOOKUP(C24,无限模式!$A$3:$B$22,2,FALSE)</f>
        <v>5400</v>
      </c>
      <c r="E24" s="98">
        <v>1</v>
      </c>
      <c r="F24" s="97">
        <f>VLOOKUP(A24,'⚪设计'!$A$283:$N$306,6,FALSE)</f>
        <v>20</v>
      </c>
      <c r="G24" s="97" t="str">
        <f>IF(VLOOKUP($A24,'⚪设计'!$A$283:$N$306,7,FALSE)="","",VLOOKUP($A24,'⚪设计'!$A$283:$N$306,7,FALSE))</f>
        <v>蛋2</v>
      </c>
      <c r="H24" s="97">
        <f t="shared" si="1"/>
        <v>13</v>
      </c>
      <c r="I24" s="97">
        <f>IF(VLOOKUP($A24,'⚪设计'!$A$283:$N$306,11,FALSE)="","",VLOOKUP($A24,'⚪设计'!$A$283:$N$306,11,FALSE))</f>
        <v>1.5</v>
      </c>
      <c r="J24" s="97">
        <f>IF(G24="","",ROUND($D24*VLOOKUP($A24,'⚪设计'!$A$283:$N$306,4,FALSE)/(IF($G24="",0,VLOOKUP($G24,'⚪设计'!$B$85:$H$113,4,FALSE)*$H24)+IF($L24="",0,VLOOKUP($L24,'⚪设计'!$B$85:$H$113,4,FALSE)*$M24)+IF($Q24="",0,VLOOKUP($Q24,'⚪设计'!$B$85:$H$113,4,FALSE)*$R24)+IF($V24="",0,VLOOKUP($V24,'⚪设计'!$B$85:$H$113,4,FALSE)*$W24))*IF(G24="",0,VLOOKUP(G24,'⚪设计'!$B$85:$H$113,4,FALSE)),0))</f>
        <v>642</v>
      </c>
      <c r="K24" s="97">
        <f>IF(G24="","",ROUND(战斗节奏!$B$14/(IF($G24="",0,VLOOKUP($G24,'⚪设计'!$B$85:$H$113,5,FALSE)*$H24)+IF($L24="",0,VLOOKUP($L24,'⚪设计'!$B$85:$H$113,5,FALSE)*$M24)+IF($Q24="",0,VLOOKUP($Q24,'⚪设计'!$B$85:$H$113,5,FALSE)*$R24)+IF($V24="",0,VLOOKUP($V24,'⚪设计'!$B$85:$H$113,5,FALSE)*$W24))*IF(G24="",0,VLOOKUP(G24,'⚪设计'!$B$85:$H$113,5,FALSE)),0))</f>
        <v>10</v>
      </c>
      <c r="L24" s="97" t="str">
        <f>IF(VLOOKUP($A24,'⚪设计'!$A$283:$N$306,8,FALSE)="","",VLOOKUP($A24,'⚪设计'!$A$283:$N$306,8,FALSE))</f>
        <v>鬼1</v>
      </c>
      <c r="M24" s="97">
        <f t="shared" si="2"/>
        <v>40</v>
      </c>
      <c r="N24" s="97">
        <f>IF(VLOOKUP($A24,'⚪设计'!$A$283:$N$306,12,FALSE)="","",VLOOKUP($A24,'⚪设计'!$A$283:$N$306,12,FALSE))</f>
        <v>0.5</v>
      </c>
      <c r="O24" s="97">
        <f>IF(L24="","",ROUND($D24*VLOOKUP($A24,'⚪设计'!$A$283:$N$306,4,FALSE)/(IF($G24="",0,VLOOKUP($G24,'⚪设计'!$B$85:$H$113,4,FALSE)*$H24)+IF($L24="",0,VLOOKUP($L24,'⚪设计'!$B$85:$H$113,4,FALSE)*$M24)+IF($Q24="",0,VLOOKUP($Q24,'⚪设计'!$B$85:$H$113,4,FALSE)*$R24)+IF($V24="",0,VLOOKUP($V24,'⚪设计'!$B$85:$H$113,4,FALSE)*$W24))*IF(L24="",0,VLOOKUP(L24,'⚪设计'!$B$85:$H$113,4,FALSE)),0))</f>
        <v>160</v>
      </c>
      <c r="P24" s="97">
        <f>IF(L24="","",ROUND(战斗节奏!$B$14/(IF($G24="",0,VLOOKUP($G24,'⚪设计'!$B$85:$H$113,5,FALSE)*$H24)+IF($L24="",0,VLOOKUP($L24,'⚪设计'!$B$85:$H$113,5,FALSE)*$M24)+IF($Q24="",0,VLOOKUP($Q24,'⚪设计'!$B$85:$H$113,5,FALSE)*$R24)+IF($V24="",0,VLOOKUP($V24,'⚪设计'!$B$85:$H$113,5,FALSE)*$W24))*IF(L24="",0,VLOOKUP(L24,'⚪设计'!$B$85:$H$113,5,FALSE)),0))</f>
        <v>5</v>
      </c>
      <c r="Q24" s="97" t="str">
        <f>IF(VLOOKUP($A24,'⚪设计'!$A$283:$N$306,9,FALSE)="","",VLOOKUP($A24,'⚪设计'!$A$283:$N$306,9,FALSE))</f>
        <v>种子1</v>
      </c>
      <c r="R24" s="97">
        <f t="shared" si="3"/>
        <v>10</v>
      </c>
      <c r="S24" s="97">
        <f>IF(VLOOKUP($A24,'⚪设计'!$A$283:$N$306,13,FALSE)="","",VLOOKUP($A24,'⚪设计'!$A$283:$N$306,13,FALSE))</f>
        <v>2</v>
      </c>
      <c r="T24" s="97">
        <f>IF(Q24="","",ROUND($D24*VLOOKUP($A24,'⚪设计'!$A$283:$N$306,4,FALSE)/(IF($G24="",0,VLOOKUP($G24,'⚪设计'!$B$85:$H$113,4,FALSE)*$H24)+IF($L24="",0,VLOOKUP($L24,'⚪设计'!$B$85:$H$113,4,FALSE)*$M24)+IF($Q24="",0,VLOOKUP($Q24,'⚪设计'!$B$85:$H$113,4,FALSE)*$R24)+IF($V24="",0,VLOOKUP($V24,'⚪设计'!$B$85:$H$113,4,FALSE)*$W24))*IF(Q24="",0,VLOOKUP(Q24,'⚪设计'!$B$85:$H$113,4,FALSE)),0))</f>
        <v>481</v>
      </c>
      <c r="U24" s="97">
        <f>IF(Q24="","",ROUND(战斗节奏!$B$14/(IF($G24="",0,VLOOKUP($G24,'⚪设计'!$B$85:$H$113,5,FALSE)*$H24)+IF($L24="",0,VLOOKUP($L24,'⚪设计'!$B$85:$H$113,5,FALSE)*$M24)+IF($Q24="",0,VLOOKUP($Q24,'⚪设计'!$B$85:$H$113,5,FALSE)*$R24)+IF($V24="",0,VLOOKUP($V24,'⚪设计'!$B$85:$H$113,5,FALSE)*$W24))*IF(Q24="",0,VLOOKUP(Q24,'⚪设计'!$B$85:$H$113,5,FALSE)),0))</f>
        <v>10</v>
      </c>
      <c r="V24" s="97" t="str">
        <f>IF(VLOOKUP($A24,'⚪设计'!$A$283:$N$306,10,FALSE)="","",VLOOKUP($A24,'⚪设计'!$A$283:$N$306,10,FALSE))</f>
        <v>鸟2</v>
      </c>
      <c r="W24" s="97">
        <f t="shared" si="4"/>
        <v>20</v>
      </c>
      <c r="X24" s="97">
        <f>IF(VLOOKUP($A24,'⚪设计'!$A$283:$N$306,14,FALSE)="","",VLOOKUP($A24,'⚪设计'!$A$283:$N$306,14,FALSE))</f>
        <v>1</v>
      </c>
      <c r="Y24" s="97">
        <f>IF(V24="","",ROUND($D24*VLOOKUP($A24,'⚪设计'!$A$283:$N$306,4,FALSE)/(IF($G24="",0,VLOOKUP($G24,'⚪设计'!$B$85:$H$113,4,FALSE)*$H24)+IF($L24="",0,VLOOKUP($L24,'⚪设计'!$B$85:$H$113,4,FALSE)*$M24)+IF($Q24="",0,VLOOKUP($Q24,'⚪设计'!$B$85:$H$113,4,FALSE)*$R24)+IF($V24="",0,VLOOKUP($V24,'⚪设计'!$B$85:$H$113,4,FALSE)*$W24))*IF(V24="",0,VLOOKUP(V24,'⚪设计'!$B$85:$H$113,4,FALSE)),0))</f>
        <v>642</v>
      </c>
      <c r="Z24" s="97">
        <f>IF(V24="","",ROUND(战斗节奏!$B$14/(IF($G24="",0,VLOOKUP($G24,'⚪设计'!$B$85:$H$113,5,FALSE)*$H24)+IF($L24="",0,VLOOKUP($L24,'⚪设计'!$B$85:$H$113,5,FALSE)*$M24)+IF($Q24="",0,VLOOKUP($Q24,'⚪设计'!$B$85:$H$113,5,FALSE)*$R24)+IF($V24="",0,VLOOKUP($V24,'⚪设计'!$B$85:$H$113,5,FALSE)*$W24))*IF(V24="",0,VLOOKUP(V24,'⚪设计'!$B$85:$H$113,5,FALSE)),0))</f>
        <v>10</v>
      </c>
    </row>
    <row r="25" spans="1:26" x14ac:dyDescent="0.2">
      <c r="A25" s="2" t="str">
        <f t="shared" si="0"/>
        <v>5_6</v>
      </c>
      <c r="B25" s="2">
        <v>5</v>
      </c>
      <c r="C25" s="2">
        <v>6</v>
      </c>
      <c r="D25" s="97">
        <f>VLOOKUP(C25,无限模式!$A$3:$B$22,2,FALSE)</f>
        <v>7200</v>
      </c>
      <c r="E25" s="98">
        <v>1</v>
      </c>
      <c r="F25" s="97">
        <f>VLOOKUP(A25,'⚪设计'!$A$283:$N$306,6,FALSE)</f>
        <v>22.5</v>
      </c>
      <c r="G25" s="97" t="str">
        <f>IF(VLOOKUP($A25,'⚪设计'!$A$283:$N$306,7,FALSE)="","",VLOOKUP($A25,'⚪设计'!$A$283:$N$306,7,FALSE))</f>
        <v>蛋2</v>
      </c>
      <c r="H25" s="97">
        <f t="shared" si="1"/>
        <v>15</v>
      </c>
      <c r="I25" s="97">
        <f>IF(VLOOKUP($A25,'⚪设计'!$A$283:$N$306,11,FALSE)="","",VLOOKUP($A25,'⚪设计'!$A$283:$N$306,11,FALSE))</f>
        <v>1.5</v>
      </c>
      <c r="J25" s="97">
        <f>IF(G25="","",ROUND($D25*VLOOKUP($A25,'⚪设计'!$A$283:$N$306,4,FALSE)/(IF($G25="",0,VLOOKUP($G25,'⚪设计'!$B$85:$H$113,4,FALSE)*$H25)+IF($L25="",0,VLOOKUP($L25,'⚪设计'!$B$85:$H$113,4,FALSE)*$M25)+IF($Q25="",0,VLOOKUP($Q25,'⚪设计'!$B$85:$H$113,4,FALSE)*$R25)+IF($V25="",0,VLOOKUP($V25,'⚪设计'!$B$85:$H$113,4,FALSE)*$W25))*IF(G25="",0,VLOOKUP(G25,'⚪设计'!$B$85:$H$113,4,FALSE)),0))</f>
        <v>929</v>
      </c>
      <c r="K25" s="97">
        <f>IF(G25="","",ROUND(战斗节奏!$B$14/(IF($G25="",0,VLOOKUP($G25,'⚪设计'!$B$85:$H$113,5,FALSE)*$H25)+IF($L25="",0,VLOOKUP($L25,'⚪设计'!$B$85:$H$113,5,FALSE)*$M25)+IF($Q25="",0,VLOOKUP($Q25,'⚪设计'!$B$85:$H$113,5,FALSE)*$R25)+IF($V25="",0,VLOOKUP($V25,'⚪设计'!$B$85:$H$113,5,FALSE)*$W25))*IF(G25="",0,VLOOKUP(G25,'⚪设计'!$B$85:$H$113,5,FALSE)),0))</f>
        <v>11</v>
      </c>
      <c r="L25" s="97" t="str">
        <f>IF(VLOOKUP($A25,'⚪设计'!$A$283:$N$306,8,FALSE)="","",VLOOKUP($A25,'⚪设计'!$A$283:$N$306,8,FALSE))</f>
        <v>种子2</v>
      </c>
      <c r="M25" s="97">
        <f t="shared" si="2"/>
        <v>11</v>
      </c>
      <c r="N25" s="97">
        <f>IF(VLOOKUP($A25,'⚪设计'!$A$283:$N$306,12,FALSE)="","",VLOOKUP($A25,'⚪设计'!$A$283:$N$306,12,FALSE))</f>
        <v>2</v>
      </c>
      <c r="O25" s="97">
        <f>IF(L25="","",ROUND($D25*VLOOKUP($A25,'⚪设计'!$A$283:$N$306,4,FALSE)/(IF($G25="",0,VLOOKUP($G25,'⚪设计'!$B$85:$H$113,4,FALSE)*$H25)+IF($L25="",0,VLOOKUP($L25,'⚪设计'!$B$85:$H$113,4,FALSE)*$M25)+IF($Q25="",0,VLOOKUP($Q25,'⚪设计'!$B$85:$H$113,4,FALSE)*$R25)+IF($V25="",0,VLOOKUP($V25,'⚪设计'!$B$85:$H$113,4,FALSE)*$W25))*IF(L25="",0,VLOOKUP(L25,'⚪设计'!$B$85:$H$113,4,FALSE)),0))</f>
        <v>1394</v>
      </c>
      <c r="P25" s="97">
        <f>IF(L25="","",ROUND(战斗节奏!$B$14/(IF($G25="",0,VLOOKUP($G25,'⚪设计'!$B$85:$H$113,5,FALSE)*$H25)+IF($L25="",0,VLOOKUP($L25,'⚪设计'!$B$85:$H$113,5,FALSE)*$M25)+IF($Q25="",0,VLOOKUP($Q25,'⚪设计'!$B$85:$H$113,5,FALSE)*$R25)+IF($V25="",0,VLOOKUP($V25,'⚪设计'!$B$85:$H$113,5,FALSE)*$W25))*IF(L25="",0,VLOOKUP(L25,'⚪设计'!$B$85:$H$113,5,FALSE)),0))</f>
        <v>11</v>
      </c>
      <c r="Q25" s="97" t="str">
        <f>IF(VLOOKUP($A25,'⚪设计'!$A$283:$N$306,9,FALSE)="","",VLOOKUP($A25,'⚪设计'!$A$283:$N$306,9,FALSE))</f>
        <v>蜘蛛2</v>
      </c>
      <c r="R25" s="97">
        <f t="shared" si="3"/>
        <v>15</v>
      </c>
      <c r="S25" s="97">
        <f>IF(VLOOKUP($A25,'⚪设计'!$A$283:$N$306,13,FALSE)="","",VLOOKUP($A25,'⚪设计'!$A$283:$N$306,13,FALSE))</f>
        <v>1.5</v>
      </c>
      <c r="T25" s="97">
        <f>IF(Q25="","",ROUND($D25*VLOOKUP($A25,'⚪设计'!$A$283:$N$306,4,FALSE)/(IF($G25="",0,VLOOKUP($G25,'⚪设计'!$B$85:$H$113,4,FALSE)*$H25)+IF($L25="",0,VLOOKUP($L25,'⚪设计'!$B$85:$H$113,4,FALSE)*$M25)+IF($Q25="",0,VLOOKUP($Q25,'⚪设计'!$B$85:$H$113,4,FALSE)*$R25)+IF($V25="",0,VLOOKUP($V25,'⚪设计'!$B$85:$H$113,4,FALSE)*$W25))*IF(Q25="",0,VLOOKUP(Q25,'⚪设计'!$B$85:$H$113,4,FALSE)),0))</f>
        <v>465</v>
      </c>
      <c r="U25" s="97">
        <f>IF(Q25="","",ROUND(战斗节奏!$B$14/(IF($G25="",0,VLOOKUP($G25,'⚪设计'!$B$85:$H$113,5,FALSE)*$H25)+IF($L25="",0,VLOOKUP($L25,'⚪设计'!$B$85:$H$113,5,FALSE)*$M25)+IF($Q25="",0,VLOOKUP($Q25,'⚪设计'!$B$85:$H$113,5,FALSE)*$R25)+IF($V25="",0,VLOOKUP($V25,'⚪设计'!$B$85:$H$113,5,FALSE)*$W25))*IF(Q25="",0,VLOOKUP(Q25,'⚪设计'!$B$85:$H$113,5,FALSE)),0))</f>
        <v>5</v>
      </c>
      <c r="V25" s="97" t="str">
        <f>IF(VLOOKUP($A25,'⚪设计'!$A$283:$N$306,10,FALSE)="","",VLOOKUP($A25,'⚪设计'!$A$283:$N$306,10,FALSE))</f>
        <v>鸟2</v>
      </c>
      <c r="W25" s="97">
        <f t="shared" si="4"/>
        <v>23</v>
      </c>
      <c r="X25" s="97">
        <f>IF(VLOOKUP($A25,'⚪设计'!$A$283:$N$306,14,FALSE)="","",VLOOKUP($A25,'⚪设计'!$A$283:$N$306,14,FALSE))</f>
        <v>1</v>
      </c>
      <c r="Y25" s="97">
        <f>IF(V25="","",ROUND($D25*VLOOKUP($A25,'⚪设计'!$A$283:$N$306,4,FALSE)/(IF($G25="",0,VLOOKUP($G25,'⚪设计'!$B$85:$H$113,4,FALSE)*$H25)+IF($L25="",0,VLOOKUP($L25,'⚪设计'!$B$85:$H$113,4,FALSE)*$M25)+IF($Q25="",0,VLOOKUP($Q25,'⚪设计'!$B$85:$H$113,4,FALSE)*$R25)+IF($V25="",0,VLOOKUP($V25,'⚪设计'!$B$85:$H$113,4,FALSE)*$W25))*IF(V25="",0,VLOOKUP(V25,'⚪设计'!$B$85:$H$113,4,FALSE)),0))</f>
        <v>929</v>
      </c>
      <c r="Z25" s="97">
        <f>IF(V25="","",ROUND(战斗节奏!$B$14/(IF($G25="",0,VLOOKUP($G25,'⚪设计'!$B$85:$H$113,5,FALSE)*$H25)+IF($L25="",0,VLOOKUP($L25,'⚪设计'!$B$85:$H$113,5,FALSE)*$M25)+IF($Q25="",0,VLOOKUP($Q25,'⚪设计'!$B$85:$H$113,5,FALSE)*$R25)+IF($V25="",0,VLOOKUP($V25,'⚪设计'!$B$85:$H$113,5,FALSE)*$W25))*IF(V25="",0,VLOOKUP(V25,'⚪设计'!$B$85:$H$113,5,FALSE)),0))</f>
        <v>11</v>
      </c>
    </row>
    <row r="26" spans="1:26" x14ac:dyDescent="0.2">
      <c r="A26" s="2" t="str">
        <f t="shared" si="0"/>
        <v>5_7</v>
      </c>
      <c r="B26" s="2">
        <v>5</v>
      </c>
      <c r="C26" s="2">
        <v>7</v>
      </c>
      <c r="D26" s="97">
        <f>VLOOKUP(C26,无限模式!$A$3:$B$22,2,FALSE)</f>
        <v>8100</v>
      </c>
      <c r="E26" s="98">
        <v>1</v>
      </c>
      <c r="F26" s="97">
        <f>VLOOKUP(A26,'⚪设计'!$A$283:$N$306,6,FALSE)</f>
        <v>25</v>
      </c>
      <c r="G26" s="97" t="str">
        <f>IF(VLOOKUP($A26,'⚪设计'!$A$283:$N$306,7,FALSE)="","",VLOOKUP($A26,'⚪设计'!$A$283:$N$306,7,FALSE))</f>
        <v>蛋2</v>
      </c>
      <c r="H26" s="97">
        <f t="shared" si="1"/>
        <v>25</v>
      </c>
      <c r="I26" s="97">
        <f>IF(VLOOKUP($A26,'⚪设计'!$A$283:$N$306,11,FALSE)="","",VLOOKUP($A26,'⚪设计'!$A$283:$N$306,11,FALSE))</f>
        <v>1</v>
      </c>
      <c r="J26" s="97">
        <f>IF(G26="","",ROUND($D26*VLOOKUP($A26,'⚪设计'!$A$283:$N$306,4,FALSE)/(IF($G26="",0,VLOOKUP($G26,'⚪设计'!$B$85:$H$113,4,FALSE)*$H26)+IF($L26="",0,VLOOKUP($L26,'⚪设计'!$B$85:$H$113,4,FALSE)*$M26)+IF($Q26="",0,VLOOKUP($Q26,'⚪设计'!$B$85:$H$113,4,FALSE)*$R26)+IF($V26="",0,VLOOKUP($V26,'⚪设计'!$B$85:$H$113,4,FALSE)*$W26))*IF(G26="",0,VLOOKUP(G26,'⚪设计'!$B$85:$H$113,4,FALSE)),0))</f>
        <v>864</v>
      </c>
      <c r="K26" s="97">
        <f>IF(G26="","",ROUND(战斗节奏!$B$14/(IF($G26="",0,VLOOKUP($G26,'⚪设计'!$B$85:$H$113,5,FALSE)*$H26)+IF($L26="",0,VLOOKUP($L26,'⚪设计'!$B$85:$H$113,5,FALSE)*$M26)+IF($Q26="",0,VLOOKUP($Q26,'⚪设计'!$B$85:$H$113,5,FALSE)*$R26)+IF($V26="",0,VLOOKUP($V26,'⚪设计'!$B$85:$H$113,5,FALSE)*$W26))*IF(G26="",0,VLOOKUP(G26,'⚪设计'!$B$85:$H$113,5,FALSE)),0))</f>
        <v>6</v>
      </c>
      <c r="L26" s="97" t="str">
        <f>IF(VLOOKUP($A26,'⚪设计'!$A$283:$N$306,8,FALSE)="","",VLOOKUP($A26,'⚪设计'!$A$283:$N$306,8,FALSE))</f>
        <v>鬼2</v>
      </c>
      <c r="M26" s="97">
        <f t="shared" si="2"/>
        <v>25</v>
      </c>
      <c r="N26" s="97">
        <f>IF(VLOOKUP($A26,'⚪设计'!$A$283:$N$306,12,FALSE)="","",VLOOKUP($A26,'⚪设计'!$A$283:$N$306,12,FALSE))</f>
        <v>1</v>
      </c>
      <c r="O26" s="97">
        <f>IF(L26="","",ROUND($D26*VLOOKUP($A26,'⚪设计'!$A$283:$N$306,4,FALSE)/(IF($G26="",0,VLOOKUP($G26,'⚪设计'!$B$85:$H$113,4,FALSE)*$H26)+IF($L26="",0,VLOOKUP($L26,'⚪设计'!$B$85:$H$113,4,FALSE)*$M26)+IF($Q26="",0,VLOOKUP($Q26,'⚪设计'!$B$85:$H$113,4,FALSE)*$R26)+IF($V26="",0,VLOOKUP($V26,'⚪设计'!$B$85:$H$113,4,FALSE)*$W26))*IF(L26="",0,VLOOKUP(L26,'⚪设计'!$B$85:$H$113,4,FALSE)),0))</f>
        <v>432</v>
      </c>
      <c r="P26" s="97">
        <f>IF(L26="","",ROUND(战斗节奏!$B$14/(IF($G26="",0,VLOOKUP($G26,'⚪设计'!$B$85:$H$113,5,FALSE)*$H26)+IF($L26="",0,VLOOKUP($L26,'⚪设计'!$B$85:$H$113,5,FALSE)*$M26)+IF($Q26="",0,VLOOKUP($Q26,'⚪设计'!$B$85:$H$113,5,FALSE)*$R26)+IF($V26="",0,VLOOKUP($V26,'⚪设计'!$B$85:$H$113,5,FALSE)*$W26))*IF(L26="",0,VLOOKUP(L26,'⚪设计'!$B$85:$H$113,5,FALSE)),0))</f>
        <v>3</v>
      </c>
      <c r="Q26" s="97" t="str">
        <f>IF(VLOOKUP($A26,'⚪设计'!$A$283:$N$306,9,FALSE)="","",VLOOKUP($A26,'⚪设计'!$A$283:$N$306,9,FALSE))</f>
        <v>蝙蝠2</v>
      </c>
      <c r="R26" s="97">
        <f t="shared" si="3"/>
        <v>125</v>
      </c>
      <c r="S26" s="97">
        <f>IF(VLOOKUP($A26,'⚪设计'!$A$283:$N$306,13,FALSE)="","",VLOOKUP($A26,'⚪设计'!$A$283:$N$306,13,FALSE))</f>
        <v>0.2</v>
      </c>
      <c r="T26" s="97">
        <f>IF(Q26="","",ROUND($D26*VLOOKUP($A26,'⚪设计'!$A$283:$N$306,4,FALSE)/(IF($G26="",0,VLOOKUP($G26,'⚪设计'!$B$85:$H$113,4,FALSE)*$H26)+IF($L26="",0,VLOOKUP($L26,'⚪设计'!$B$85:$H$113,4,FALSE)*$M26)+IF($Q26="",0,VLOOKUP($Q26,'⚪设计'!$B$85:$H$113,4,FALSE)*$R26)+IF($V26="",0,VLOOKUP($V26,'⚪设计'!$B$85:$H$113,4,FALSE)*$W26))*IF(Q26="",0,VLOOKUP(Q26,'⚪设计'!$B$85:$H$113,4,FALSE)),0))</f>
        <v>216</v>
      </c>
      <c r="U26" s="97">
        <f>IF(Q26="","",ROUND(战斗节奏!$B$14/(IF($G26="",0,VLOOKUP($G26,'⚪设计'!$B$85:$H$113,5,FALSE)*$H26)+IF($L26="",0,VLOOKUP($L26,'⚪设计'!$B$85:$H$113,5,FALSE)*$M26)+IF($Q26="",0,VLOOKUP($Q26,'⚪设计'!$B$85:$H$113,5,FALSE)*$R26)+IF($V26="",0,VLOOKUP($V26,'⚪设计'!$B$85:$H$113,5,FALSE)*$W26))*IF(Q26="",0,VLOOKUP(Q26,'⚪设计'!$B$85:$H$113,5,FALSE)),0))</f>
        <v>2</v>
      </c>
      <c r="V26" s="97" t="str">
        <f>IF(VLOOKUP($A26,'⚪设计'!$A$283:$N$306,10,FALSE)="","",VLOOKUP($A26,'⚪设计'!$A$283:$N$306,10,FALSE))</f>
        <v>鸟2</v>
      </c>
      <c r="W26" s="97">
        <f t="shared" si="4"/>
        <v>25</v>
      </c>
      <c r="X26" s="97">
        <f>IF(VLOOKUP($A26,'⚪设计'!$A$283:$N$306,14,FALSE)="","",VLOOKUP($A26,'⚪设计'!$A$283:$N$306,14,FALSE))</f>
        <v>1</v>
      </c>
      <c r="Y26" s="97">
        <f>IF(V26="","",ROUND($D26*VLOOKUP($A26,'⚪设计'!$A$283:$N$306,4,FALSE)/(IF($G26="",0,VLOOKUP($G26,'⚪设计'!$B$85:$H$113,4,FALSE)*$H26)+IF($L26="",0,VLOOKUP($L26,'⚪设计'!$B$85:$H$113,4,FALSE)*$M26)+IF($Q26="",0,VLOOKUP($Q26,'⚪设计'!$B$85:$H$113,4,FALSE)*$R26)+IF($V26="",0,VLOOKUP($V26,'⚪设计'!$B$85:$H$113,4,FALSE)*$W26))*IF(V26="",0,VLOOKUP(V26,'⚪设计'!$B$85:$H$113,4,FALSE)),0))</f>
        <v>864</v>
      </c>
      <c r="Z26" s="97">
        <f>IF(V26="","",ROUND(战斗节奏!$B$14/(IF($G26="",0,VLOOKUP($G26,'⚪设计'!$B$85:$H$113,5,FALSE)*$H26)+IF($L26="",0,VLOOKUP($L26,'⚪设计'!$B$85:$H$113,5,FALSE)*$M26)+IF($Q26="",0,VLOOKUP($Q26,'⚪设计'!$B$85:$H$113,5,FALSE)*$R26)+IF($V26="",0,VLOOKUP($V26,'⚪设计'!$B$85:$H$113,5,FALSE)*$W26))*IF(V26="",0,VLOOKUP(V26,'⚪设计'!$B$85:$H$113,5,FALSE)),0))</f>
        <v>6</v>
      </c>
    </row>
    <row r="27" spans="1:26" x14ac:dyDescent="0.2">
      <c r="A27" s="2" t="str">
        <f t="shared" si="0"/>
        <v>5_8</v>
      </c>
      <c r="B27" s="2">
        <v>5</v>
      </c>
      <c r="C27" s="2">
        <v>8</v>
      </c>
      <c r="D27" s="97">
        <f>VLOOKUP(C27,无限模式!$A$3:$B$22,2,FALSE)</f>
        <v>9000</v>
      </c>
      <c r="E27" s="98">
        <v>1</v>
      </c>
      <c r="F27" s="97">
        <f>VLOOKUP(A27,'⚪设计'!$A$283:$N$306,6,FALSE)</f>
        <v>27.5</v>
      </c>
      <c r="G27" s="97" t="str">
        <f>IF(VLOOKUP($A27,'⚪设计'!$A$283:$N$306,7,FALSE)="","",VLOOKUP($A27,'⚪设计'!$A$283:$N$306,7,FALSE))</f>
        <v>蛋3</v>
      </c>
      <c r="H27" s="97">
        <f t="shared" si="1"/>
        <v>1</v>
      </c>
      <c r="I27" s="97">
        <f>IF(VLOOKUP($A27,'⚪设计'!$A$283:$N$306,11,FALSE)="","",VLOOKUP($A27,'⚪设计'!$A$283:$N$306,11,FALSE))</f>
        <v>0</v>
      </c>
      <c r="J27" s="97">
        <f>IF(G27="","",ROUND($D27*VLOOKUP($A27,'⚪设计'!$A$283:$N$306,4,FALSE)/(IF($G27="",0,VLOOKUP($G27,'⚪设计'!$B$85:$H$113,4,FALSE)*$H27)+IF($L27="",0,VLOOKUP($L27,'⚪设计'!$B$85:$H$113,4,FALSE)*$M27)+IF($Q27="",0,VLOOKUP($Q27,'⚪设计'!$B$85:$H$113,4,FALSE)*$R27)+IF($V27="",0,VLOOKUP($V27,'⚪设计'!$B$85:$H$113,4,FALSE)*$W27))*IF(G27="",0,VLOOKUP(G27,'⚪设计'!$B$85:$H$113,4,FALSE)),0))</f>
        <v>26777</v>
      </c>
      <c r="K27" s="97">
        <f>IF(G27="","",ROUND(战斗节奏!$B$14/(IF($G27="",0,VLOOKUP($G27,'⚪设计'!$B$85:$H$113,5,FALSE)*$H27)+IF($L27="",0,VLOOKUP($L27,'⚪设计'!$B$85:$H$113,5,FALSE)*$M27)+IF($Q27="",0,VLOOKUP($Q27,'⚪设计'!$B$85:$H$113,5,FALSE)*$R27)+IF($V27="",0,VLOOKUP($V27,'⚪设计'!$B$85:$H$113,5,FALSE)*$W27))*IF(G27="",0,VLOOKUP(G27,'⚪设计'!$B$85:$H$113,5,FALSE)),0))</f>
        <v>192</v>
      </c>
      <c r="L27" s="97" t="str">
        <f>IF(VLOOKUP($A27,'⚪设计'!$A$283:$N$306,8,FALSE)="","",VLOOKUP($A27,'⚪设计'!$A$283:$N$306,8,FALSE))</f>
        <v>鬼2</v>
      </c>
      <c r="M27" s="97">
        <f t="shared" si="2"/>
        <v>55</v>
      </c>
      <c r="N27" s="97">
        <f>IF(VLOOKUP($A27,'⚪设计'!$A$283:$N$306,12,FALSE)="","",VLOOKUP($A27,'⚪设计'!$A$283:$N$306,12,FALSE))</f>
        <v>0.5</v>
      </c>
      <c r="O27" s="97">
        <f>IF(L27="","",ROUND($D27*VLOOKUP($A27,'⚪设计'!$A$283:$N$306,4,FALSE)/(IF($G27="",0,VLOOKUP($G27,'⚪设计'!$B$85:$H$113,4,FALSE)*$H27)+IF($L27="",0,VLOOKUP($L27,'⚪设计'!$B$85:$H$113,4,FALSE)*$M27)+IF($Q27="",0,VLOOKUP($Q27,'⚪设计'!$B$85:$H$113,4,FALSE)*$R27)+IF($V27="",0,VLOOKUP($V27,'⚪设计'!$B$85:$H$113,4,FALSE)*$W27))*IF(L27="",0,VLOOKUP(L27,'⚪设计'!$B$85:$H$113,4,FALSE)),0))</f>
        <v>1339</v>
      </c>
      <c r="P27" s="97">
        <f>IF(L27="","",ROUND(战斗节奏!$B$14/(IF($G27="",0,VLOOKUP($G27,'⚪设计'!$B$85:$H$113,5,FALSE)*$H27)+IF($L27="",0,VLOOKUP($L27,'⚪设计'!$B$85:$H$113,5,FALSE)*$M27)+IF($Q27="",0,VLOOKUP($Q27,'⚪设计'!$B$85:$H$113,5,FALSE)*$R27)+IF($V27="",0,VLOOKUP($V27,'⚪设计'!$B$85:$H$113,5,FALSE)*$W27))*IF(L27="",0,VLOOKUP(L27,'⚪设计'!$B$85:$H$113,5,FALSE)),0))</f>
        <v>5</v>
      </c>
      <c r="Q27" s="97" t="str">
        <f>IF(VLOOKUP($A27,'⚪设计'!$A$283:$N$306,9,FALSE)="","",VLOOKUP($A27,'⚪设计'!$A$283:$N$306,9,FALSE))</f>
        <v>种子2</v>
      </c>
      <c r="R27" s="97">
        <f t="shared" si="3"/>
        <v>14</v>
      </c>
      <c r="S27" s="97">
        <f>IF(VLOOKUP($A27,'⚪设计'!$A$283:$N$306,13,FALSE)="","",VLOOKUP($A27,'⚪设计'!$A$283:$N$306,13,FALSE))</f>
        <v>2</v>
      </c>
      <c r="T27" s="97">
        <f>IF(Q27="","",ROUND($D27*VLOOKUP($A27,'⚪设计'!$A$283:$N$306,4,FALSE)/(IF($G27="",0,VLOOKUP($G27,'⚪设计'!$B$85:$H$113,4,FALSE)*$H27)+IF($L27="",0,VLOOKUP($L27,'⚪设计'!$B$85:$H$113,4,FALSE)*$M27)+IF($Q27="",0,VLOOKUP($Q27,'⚪设计'!$B$85:$H$113,4,FALSE)*$R27)+IF($V27="",0,VLOOKUP($V27,'⚪设计'!$B$85:$H$113,4,FALSE)*$W27))*IF(Q27="",0,VLOOKUP(Q27,'⚪设计'!$B$85:$H$113,4,FALSE)),0))</f>
        <v>4017</v>
      </c>
      <c r="U27" s="97">
        <f>IF(Q27="","",ROUND(战斗节奏!$B$14/(IF($G27="",0,VLOOKUP($G27,'⚪设计'!$B$85:$H$113,5,FALSE)*$H27)+IF($L27="",0,VLOOKUP($L27,'⚪设计'!$B$85:$H$113,5,FALSE)*$M27)+IF($Q27="",0,VLOOKUP($Q27,'⚪设计'!$B$85:$H$113,5,FALSE)*$R27)+IF($V27="",0,VLOOKUP($V27,'⚪设计'!$B$85:$H$113,5,FALSE)*$W27))*IF(Q27="",0,VLOOKUP(Q27,'⚪设计'!$B$85:$H$113,5,FALSE)),0))</f>
        <v>10</v>
      </c>
      <c r="V27" s="97" t="str">
        <f>IF(VLOOKUP($A27,'⚪设计'!$A$283:$N$306,10,FALSE)="","",VLOOKUP($A27,'⚪设计'!$A$283:$N$306,10,FALSE))</f>
        <v>鸟3</v>
      </c>
      <c r="W27" s="97">
        <f t="shared" si="4"/>
        <v>1</v>
      </c>
      <c r="X27" s="97">
        <f>IF(VLOOKUP($A27,'⚪设计'!$A$283:$N$306,14,FALSE)="","",VLOOKUP($A27,'⚪设计'!$A$283:$N$306,14,FALSE))</f>
        <v>0</v>
      </c>
      <c r="Y27" s="97">
        <f>IF(V27="","",ROUND($D27*VLOOKUP($A27,'⚪设计'!$A$283:$N$306,4,FALSE)/(IF($G27="",0,VLOOKUP($G27,'⚪设计'!$B$85:$H$113,4,FALSE)*$H27)+IF($L27="",0,VLOOKUP($L27,'⚪设计'!$B$85:$H$113,4,FALSE)*$M27)+IF($Q27="",0,VLOOKUP($Q27,'⚪设计'!$B$85:$H$113,4,FALSE)*$R27)+IF($V27="",0,VLOOKUP($V27,'⚪设计'!$B$85:$H$113,4,FALSE)*$W27))*IF(V27="",0,VLOOKUP(V27,'⚪设计'!$B$85:$H$113,4,FALSE)),0))</f>
        <v>5355</v>
      </c>
      <c r="Z27" s="97">
        <f>IF(V27="","",ROUND(战斗节奏!$B$14/(IF($G27="",0,VLOOKUP($G27,'⚪设计'!$B$85:$H$113,5,FALSE)*$H27)+IF($L27="",0,VLOOKUP($L27,'⚪设计'!$B$85:$H$113,5,FALSE)*$M27)+IF($Q27="",0,VLOOKUP($Q27,'⚪设计'!$B$85:$H$113,5,FALSE)*$R27)+IF($V27="",0,VLOOKUP($V27,'⚪设计'!$B$85:$H$113,5,FALSE)*$W27))*IF(V27="",0,VLOOKUP(V27,'⚪设计'!$B$85:$H$113,5,FALSE)),0))</f>
        <v>10</v>
      </c>
    </row>
    <row r="29" spans="1:26" s="161" customFormat="1" x14ac:dyDescent="0.2">
      <c r="A29" s="161" t="s">
        <v>2185</v>
      </c>
    </row>
    <row r="30" spans="1:26" x14ac:dyDescent="0.2">
      <c r="A30" s="158" t="s">
        <v>665</v>
      </c>
      <c r="B30" s="158" t="s">
        <v>62</v>
      </c>
      <c r="C30" s="158" t="s">
        <v>380</v>
      </c>
      <c r="D30" s="158" t="s">
        <v>428</v>
      </c>
      <c r="E30" s="160" t="s">
        <v>430</v>
      </c>
      <c r="F30" s="160" t="s">
        <v>396</v>
      </c>
      <c r="G30" s="158" t="s">
        <v>400</v>
      </c>
      <c r="H30" s="159"/>
      <c r="I30" s="159"/>
      <c r="J30" s="159"/>
      <c r="K30" s="159"/>
      <c r="L30" s="158" t="s">
        <v>401</v>
      </c>
      <c r="M30" s="159"/>
      <c r="N30" s="159"/>
      <c r="O30" s="159"/>
      <c r="P30" s="159"/>
      <c r="Q30" s="158" t="s">
        <v>402</v>
      </c>
      <c r="R30" s="159"/>
      <c r="S30" s="159"/>
      <c r="T30" s="159"/>
      <c r="U30" s="159"/>
      <c r="V30" s="158" t="s">
        <v>403</v>
      </c>
      <c r="W30" s="159"/>
      <c r="X30" s="159"/>
      <c r="Y30" s="159"/>
      <c r="Z30" s="160"/>
    </row>
    <row r="31" spans="1:26" x14ac:dyDescent="0.2">
      <c r="A31" s="85"/>
      <c r="B31" s="85"/>
      <c r="C31" s="85"/>
      <c r="D31" s="85"/>
      <c r="E31" s="86"/>
      <c r="F31" s="86"/>
      <c r="G31" s="85" t="s">
        <v>397</v>
      </c>
      <c r="H31" s="87" t="s">
        <v>283</v>
      </c>
      <c r="I31" s="87" t="s">
        <v>404</v>
      </c>
      <c r="J31" s="87" t="s">
        <v>398</v>
      </c>
      <c r="K31" s="87" t="s">
        <v>399</v>
      </c>
      <c r="L31" s="85" t="s">
        <v>397</v>
      </c>
      <c r="M31" s="87" t="s">
        <v>283</v>
      </c>
      <c r="N31" s="87" t="s">
        <v>404</v>
      </c>
      <c r="O31" s="87" t="s">
        <v>398</v>
      </c>
      <c r="P31" s="87" t="s">
        <v>399</v>
      </c>
      <c r="Q31" s="85" t="s">
        <v>397</v>
      </c>
      <c r="R31" s="87" t="s">
        <v>283</v>
      </c>
      <c r="S31" s="87" t="s">
        <v>404</v>
      </c>
      <c r="T31" s="87" t="s">
        <v>398</v>
      </c>
      <c r="U31" s="87" t="s">
        <v>399</v>
      </c>
      <c r="V31" s="85" t="s">
        <v>397</v>
      </c>
      <c r="W31" s="87" t="s">
        <v>283</v>
      </c>
      <c r="X31" s="87" t="s">
        <v>404</v>
      </c>
      <c r="Y31" s="87" t="s">
        <v>398</v>
      </c>
      <c r="Z31" s="86" t="s">
        <v>399</v>
      </c>
    </row>
    <row r="32" spans="1:26" x14ac:dyDescent="0.2">
      <c r="A32" s="2" t="str">
        <f>B32&amp;"_"&amp;C32</f>
        <v>1_1</v>
      </c>
      <c r="B32" s="2">
        <v>1</v>
      </c>
      <c r="C32" s="2">
        <v>1</v>
      </c>
      <c r="D32" s="97">
        <f>VLOOKUP(C32,无限模式!$A$3:$B$22,2,FALSE)</f>
        <v>900</v>
      </c>
      <c r="E32" s="98">
        <v>1</v>
      </c>
      <c r="F32" s="97">
        <f>VLOOKUP(A32,'⚪设计'!$A$310:$N$333,6,FALSE)</f>
        <v>10</v>
      </c>
      <c r="G32" s="97" t="str">
        <f>IF(VLOOKUP($A32,'⚪设计'!$A$310:$N$333,7,FALSE)="","",VLOOKUP($A32,'⚪设计'!$A$310:$N$333,7,FALSE))</f>
        <v>蜜蜂1</v>
      </c>
      <c r="H32" s="97">
        <f>IF(I32=0,1,IF(I32="","",ROUND($F32/I32,0)))</f>
        <v>5</v>
      </c>
      <c r="I32" s="97">
        <f>IF(VLOOKUP($A32,'⚪设计'!$A$310:$N$333,11,FALSE)="","",VLOOKUP($A32,'⚪设计'!$A$310:$N$333,11,FALSE))</f>
        <v>2</v>
      </c>
      <c r="J32" s="97">
        <f>IF(G32="","",ROUND($D32*VLOOKUP($A32,'⚪设计'!$A$310:$N$333,4,FALSE)/(IF($G32="",0,VLOOKUP($G32,'⚪设计'!$B$85:$H$113,4,FALSE)*$H32)+IF($L32="",0,VLOOKUP($L32,'⚪设计'!$B$85:$H$113,4,FALSE)*$M32)+IF($Q32="",0,VLOOKUP($Q32,'⚪设计'!$B$85:$H$113,4,FALSE)*$R32)+IF($V32="",0,VLOOKUP($V32,'⚪设计'!$B$85:$H$113,4,FALSE)*$W32))*IF(G32="",0,VLOOKUP(G32,'⚪设计'!$B$85:$H$113,4,FALSE)),0))</f>
        <v>7</v>
      </c>
      <c r="K32" s="97">
        <f>IF(G32="","",ROUND(战斗节奏!$B$14/(IF($G32="",0,VLOOKUP($G32,'⚪设计'!$B$85:$H$113,5,FALSE)*$H32)+IF($L32="",0,VLOOKUP($L32,'⚪设计'!$B$85:$H$113,5,FALSE)*$M32)+IF($Q32="",0,VLOOKUP($Q32,'⚪设计'!$B$85:$H$113,5,FALSE)*$R32)+IF($V32="",0,VLOOKUP($V32,'⚪设计'!$B$85:$H$113,5,FALSE)*$W32))*IF(G32="",0,VLOOKUP(G32,'⚪设计'!$B$85:$H$113,5,FALSE)),0))</f>
        <v>5</v>
      </c>
      <c r="L32" s="97" t="str">
        <f>IF(VLOOKUP($A32,'⚪设计'!$A$310:$N$333,8,FALSE)="","",VLOOKUP($A32,'⚪设计'!$A$310:$N$333,8,FALSE))</f>
        <v>肉1</v>
      </c>
      <c r="M32" s="97">
        <f>IF(N32=0,1,IF(N32="","",ROUND($F32/N32,0)))</f>
        <v>3</v>
      </c>
      <c r="N32" s="97">
        <f>IF(VLOOKUP($A32,'⚪设计'!$A$310:$N$333,12,FALSE)="","",VLOOKUP($A32,'⚪设计'!$A$310:$N$333,12,FALSE))</f>
        <v>3</v>
      </c>
      <c r="O32" s="97">
        <f>IF(L32="","",ROUND($D32*VLOOKUP($A32,'⚪设计'!$A$310:$N$333,4,FALSE)/(IF($G32="",0,VLOOKUP($G32,'⚪设计'!$B$85:$H$113,4,FALSE)*$H32)+IF($L32="",0,VLOOKUP($L32,'⚪设计'!$B$85:$H$113,4,FALSE)*$M32)+IF($Q32="",0,VLOOKUP($Q32,'⚪设计'!$B$85:$H$113,4,FALSE)*$R32)+IF($V32="",0,VLOOKUP($V32,'⚪设计'!$B$85:$H$113,4,FALSE)*$W32))*IF(L32="",0,VLOOKUP(L32,'⚪设计'!$B$85:$H$113,4,FALSE)),0))</f>
        <v>288</v>
      </c>
      <c r="P32" s="97">
        <f>IF(L32="","",ROUND(战斗节奏!$B$14/(IF($G32="",0,VLOOKUP($G32,'⚪设计'!$B$85:$H$113,5,FALSE)*$H32)+IF($L32="",0,VLOOKUP($L32,'⚪设计'!$B$85:$H$113,5,FALSE)*$M32)+IF($Q32="",0,VLOOKUP($Q32,'⚪设计'!$B$85:$H$113,5,FALSE)*$R32)+IF($V32="",0,VLOOKUP($V32,'⚪设计'!$B$85:$H$113,5,FALSE)*$W32))*IF(L32="",0,VLOOKUP(L32,'⚪设计'!$B$85:$H$113,5,FALSE)),0))</f>
        <v>192</v>
      </c>
      <c r="Q32" s="97" t="str">
        <f>IF(VLOOKUP($A32,'⚪设计'!$A$310:$N$333,9,FALSE)="","",VLOOKUP($A32,'⚪设计'!$A$310:$N$333,9,FALSE))</f>
        <v/>
      </c>
      <c r="R32" s="97" t="str">
        <f>IF(S32=0,1,IF(S32="","",ROUND($F32/S32,0)))</f>
        <v/>
      </c>
      <c r="S32" s="97" t="str">
        <f>IF(VLOOKUP($A32,'⚪设计'!$A$310:$N$333,13,FALSE)="","",VLOOKUP($A32,'⚪设计'!$A$310:$N$333,13,FALSE))</f>
        <v/>
      </c>
      <c r="T32" s="97" t="str">
        <f>IF(Q32="","",ROUND($D32*VLOOKUP($A32,'⚪设计'!$A$310:$N$333,4,FALSE)/(IF($G32="",0,VLOOKUP($G32,'⚪设计'!$B$85:$H$113,4,FALSE)*$H32)+IF($L32="",0,VLOOKUP($L32,'⚪设计'!$B$85:$H$113,4,FALSE)*$M32)+IF($Q32="",0,VLOOKUP($Q32,'⚪设计'!$B$85:$H$113,4,FALSE)*$R32)+IF($V32="",0,VLOOKUP($V32,'⚪设计'!$B$85:$H$113,4,FALSE)*$W32))*IF(Q32="",0,VLOOKUP(Q32,'⚪设计'!$B$85:$H$113,4,FALSE)),0))</f>
        <v/>
      </c>
      <c r="U32" s="97" t="str">
        <f>IF(Q32="","",ROUND(战斗节奏!$B$14/(IF($G32="",0,VLOOKUP($G32,'⚪设计'!$B$85:$H$113,5,FALSE)*$H32)+IF($L32="",0,VLOOKUP($L32,'⚪设计'!$B$85:$H$113,5,FALSE)*$M32)+IF($Q32="",0,VLOOKUP($Q32,'⚪设计'!$B$85:$H$113,5,FALSE)*$R32)+IF($V32="",0,VLOOKUP($V32,'⚪设计'!$B$85:$H$113,5,FALSE)*$W32))*IF(Q32="",0,VLOOKUP(Q32,'⚪设计'!$B$85:$H$113,5,FALSE)),0))</f>
        <v/>
      </c>
      <c r="V32" s="97" t="str">
        <f>IF(VLOOKUP($A32,'⚪设计'!$A$310:$N$333,10,FALSE)="","",VLOOKUP($A32,'⚪设计'!$A$310:$N$333,10,FALSE))</f>
        <v/>
      </c>
      <c r="W32" s="97" t="str">
        <f>IF(X32=0,1,IF(X32="","",ROUND($F32/X32,0)))</f>
        <v/>
      </c>
      <c r="X32" s="97" t="str">
        <f>IF(VLOOKUP($A32,'⚪设计'!$A$310:$N$333,14,FALSE)="","",VLOOKUP($A32,'⚪设计'!$A$310:$N$333,14,FALSE))</f>
        <v/>
      </c>
      <c r="Y32" s="97" t="str">
        <f>IF(V32="","",ROUND($D32*VLOOKUP($A32,'⚪设计'!$A$310:$N$333,4,FALSE)/(IF($G32="",0,VLOOKUP($G32,'⚪设计'!$B$85:$H$113,4,FALSE)*$H32)+IF($L32="",0,VLOOKUP($L32,'⚪设计'!$B$85:$H$113,4,FALSE)*$M32)+IF($Q32="",0,VLOOKUP($Q32,'⚪设计'!$B$85:$H$113,4,FALSE)*$R32)+IF($V32="",0,VLOOKUP($V32,'⚪设计'!$B$85:$H$113,4,FALSE)*$W32))*IF(V32="",0,VLOOKUP(V32,'⚪设计'!$B$85:$H$113,4,FALSE)),0))</f>
        <v/>
      </c>
      <c r="Z32" s="97" t="str">
        <f>IF(V32="","",ROUND(战斗节奏!$B$14/(IF($G32="",0,VLOOKUP($G32,'⚪设计'!$B$85:$H$113,5,FALSE)*$H32)+IF($L32="",0,VLOOKUP($L32,'⚪设计'!$B$85:$H$113,5,FALSE)*$M32)+IF($Q32="",0,VLOOKUP($Q32,'⚪设计'!$B$85:$H$113,5,FALSE)*$R32)+IF($V32="",0,VLOOKUP($V32,'⚪设计'!$B$85:$H$113,5,FALSE)*$W32))*IF(V32="",0,VLOOKUP(V32,'⚪设计'!$B$85:$H$113,5,FALSE)),0))</f>
        <v/>
      </c>
    </row>
    <row r="33" spans="1:26" x14ac:dyDescent="0.2">
      <c r="A33" s="2" t="str">
        <f t="shared" ref="A33:A55" si="5">B33&amp;"_"&amp;C33</f>
        <v>1_2</v>
      </c>
      <c r="B33" s="2">
        <v>1</v>
      </c>
      <c r="C33" s="2">
        <v>2</v>
      </c>
      <c r="D33" s="97">
        <f>VLOOKUP(C33,无限模式!$A$3:$B$22,2,FALSE)</f>
        <v>1800</v>
      </c>
      <c r="E33" s="98">
        <v>1</v>
      </c>
      <c r="F33" s="97">
        <f>VLOOKUP(A33,'⚪设计'!$A$310:$N$333,6,FALSE)</f>
        <v>12.5</v>
      </c>
      <c r="G33" s="97" t="str">
        <f>IF(VLOOKUP($A33,'⚪设计'!$A$310:$N$333,7,FALSE)="","",VLOOKUP($A33,'⚪设计'!$A$310:$N$333,7,FALSE))</f>
        <v>蜜蜂1</v>
      </c>
      <c r="H33" s="97">
        <f t="shared" ref="H33:H55" si="6">IF(I33=0,1,IF(I33="","",ROUND($F33/I33,0)))</f>
        <v>25</v>
      </c>
      <c r="I33" s="97">
        <f>IF(VLOOKUP($A33,'⚪设计'!$A$310:$N$333,11,FALSE)="","",VLOOKUP($A33,'⚪设计'!$A$310:$N$333,11,FALSE))</f>
        <v>0.5</v>
      </c>
      <c r="J33" s="97">
        <f>IF(G33="","",ROUND($D33*VLOOKUP($A33,'⚪设计'!$A$310:$N$333,4,FALSE)/(IF($G33="",0,VLOOKUP($G33,'⚪设计'!$B$85:$H$113,4,FALSE)*$H33)+IF($L33="",0,VLOOKUP($L33,'⚪设计'!$B$85:$H$113,4,FALSE)*$M33)+IF($Q33="",0,VLOOKUP($Q33,'⚪设计'!$B$85:$H$113,4,FALSE)*$R33)+IF($V33="",0,VLOOKUP($V33,'⚪设计'!$B$85:$H$113,4,FALSE)*$W33))*IF(G33="",0,VLOOKUP(G33,'⚪设计'!$B$85:$H$113,4,FALSE)),0))</f>
        <v>23</v>
      </c>
      <c r="K33" s="97">
        <f>IF(G33="","",ROUND(战斗节奏!$B$14/(IF($G33="",0,VLOOKUP($G33,'⚪设计'!$B$85:$H$113,5,FALSE)*$H33)+IF($L33="",0,VLOOKUP($L33,'⚪设计'!$B$85:$H$113,5,FALSE)*$M33)+IF($Q33="",0,VLOOKUP($Q33,'⚪设计'!$B$85:$H$113,5,FALSE)*$R33)+IF($V33="",0,VLOOKUP($V33,'⚪设计'!$B$85:$H$113,5,FALSE)*$W33))*IF(G33="",0,VLOOKUP(G33,'⚪设计'!$B$85:$H$113,5,FALSE)),0))</f>
        <v>3</v>
      </c>
      <c r="L33" s="97" t="str">
        <f>IF(VLOOKUP($A33,'⚪设计'!$A$310:$N$333,8,FALSE)="","",VLOOKUP($A33,'⚪设计'!$A$310:$N$333,8,FALSE))</f>
        <v>肉1</v>
      </c>
      <c r="M33" s="97">
        <f t="shared" ref="M33:M55" si="7">IF(N33=0,1,IF(N33="","",ROUND($F33/N33,0)))</f>
        <v>4</v>
      </c>
      <c r="N33" s="97">
        <f>IF(VLOOKUP($A33,'⚪设计'!$A$310:$N$333,12,FALSE)="","",VLOOKUP($A33,'⚪设计'!$A$310:$N$333,12,FALSE))</f>
        <v>3</v>
      </c>
      <c r="O33" s="97">
        <f>IF(L33="","",ROUND($D33*VLOOKUP($A33,'⚪设计'!$A$310:$N$333,4,FALSE)/(IF($G33="",0,VLOOKUP($G33,'⚪设计'!$B$85:$H$113,4,FALSE)*$H33)+IF($L33="",0,VLOOKUP($L33,'⚪设计'!$B$85:$H$113,4,FALSE)*$M33)+IF($Q33="",0,VLOOKUP($Q33,'⚪设计'!$B$85:$H$113,4,FALSE)*$R33)+IF($V33="",0,VLOOKUP($V33,'⚪设计'!$B$85:$H$113,4,FALSE)*$W33))*IF(L33="",0,VLOOKUP(L33,'⚪设计'!$B$85:$H$113,4,FALSE)),0))</f>
        <v>934</v>
      </c>
      <c r="P33" s="97">
        <f>IF(L33="","",ROUND(战斗节奏!$B$14/(IF($G33="",0,VLOOKUP($G33,'⚪设计'!$B$85:$H$113,5,FALSE)*$H33)+IF($L33="",0,VLOOKUP($L33,'⚪设计'!$B$85:$H$113,5,FALSE)*$M33)+IF($Q33="",0,VLOOKUP($Q33,'⚪设计'!$B$85:$H$113,5,FALSE)*$R33)+IF($V33="",0,VLOOKUP($V33,'⚪设计'!$B$85:$H$113,5,FALSE)*$W33))*IF(L33="",0,VLOOKUP(L33,'⚪设计'!$B$85:$H$113,5,FALSE)),0))</f>
        <v>130</v>
      </c>
      <c r="Q33" s="97" t="str">
        <f>IF(VLOOKUP($A33,'⚪设计'!$A$310:$N$333,9,FALSE)="","",VLOOKUP($A33,'⚪设计'!$A$310:$N$333,9,FALSE))</f>
        <v/>
      </c>
      <c r="R33" s="97" t="str">
        <f t="shared" ref="R33:R55" si="8">IF(S33=0,1,IF(S33="","",ROUND($F33/S33,0)))</f>
        <v/>
      </c>
      <c r="S33" s="97" t="str">
        <f>IF(VLOOKUP($A33,'⚪设计'!$A$310:$N$333,13,FALSE)="","",VLOOKUP($A33,'⚪设计'!$A$310:$N$333,13,FALSE))</f>
        <v/>
      </c>
      <c r="T33" s="97" t="str">
        <f>IF(Q33="","",ROUND($D33*VLOOKUP($A33,'⚪设计'!$A$310:$N$333,4,FALSE)/(IF($G33="",0,VLOOKUP($G33,'⚪设计'!$B$85:$H$113,4,FALSE)*$H33)+IF($L33="",0,VLOOKUP($L33,'⚪设计'!$B$85:$H$113,4,FALSE)*$M33)+IF($Q33="",0,VLOOKUP($Q33,'⚪设计'!$B$85:$H$113,4,FALSE)*$R33)+IF($V33="",0,VLOOKUP($V33,'⚪设计'!$B$85:$H$113,4,FALSE)*$W33))*IF(Q33="",0,VLOOKUP(Q33,'⚪设计'!$B$85:$H$113,4,FALSE)),0))</f>
        <v/>
      </c>
      <c r="U33" s="97" t="str">
        <f>IF(Q33="","",ROUND(战斗节奏!$B$14/(IF($G33="",0,VLOOKUP($G33,'⚪设计'!$B$85:$H$113,5,FALSE)*$H33)+IF($L33="",0,VLOOKUP($L33,'⚪设计'!$B$85:$H$113,5,FALSE)*$M33)+IF($Q33="",0,VLOOKUP($Q33,'⚪设计'!$B$85:$H$113,5,FALSE)*$R33)+IF($V33="",0,VLOOKUP($V33,'⚪设计'!$B$85:$H$113,5,FALSE)*$W33))*IF(Q33="",0,VLOOKUP(Q33,'⚪设计'!$B$85:$H$113,5,FALSE)),0))</f>
        <v/>
      </c>
      <c r="V33" s="97" t="str">
        <f>IF(VLOOKUP($A33,'⚪设计'!$A$310:$N$333,10,FALSE)="","",VLOOKUP($A33,'⚪设计'!$A$310:$N$333,10,FALSE))</f>
        <v/>
      </c>
      <c r="W33" s="97" t="str">
        <f t="shared" ref="W33:W55" si="9">IF(X33=0,1,IF(X33="","",ROUND($F33/X33,0)))</f>
        <v/>
      </c>
      <c r="X33" s="97" t="str">
        <f>IF(VLOOKUP($A33,'⚪设计'!$A$310:$N$333,14,FALSE)="","",VLOOKUP($A33,'⚪设计'!$A$310:$N$333,14,FALSE))</f>
        <v/>
      </c>
      <c r="Y33" s="97" t="str">
        <f>IF(V33="","",ROUND($D33*VLOOKUP($A33,'⚪设计'!$A$310:$N$333,4,FALSE)/(IF($G33="",0,VLOOKUP($G33,'⚪设计'!$B$85:$H$113,4,FALSE)*$H33)+IF($L33="",0,VLOOKUP($L33,'⚪设计'!$B$85:$H$113,4,FALSE)*$M33)+IF($Q33="",0,VLOOKUP($Q33,'⚪设计'!$B$85:$H$113,4,FALSE)*$R33)+IF($V33="",0,VLOOKUP($V33,'⚪设计'!$B$85:$H$113,4,FALSE)*$W33))*IF(V33="",0,VLOOKUP(V33,'⚪设计'!$B$85:$H$113,4,FALSE)),0))</f>
        <v/>
      </c>
      <c r="Z33" s="97" t="str">
        <f>IF(V33="","",ROUND(战斗节奏!$B$14/(IF($G33="",0,VLOOKUP($G33,'⚪设计'!$B$85:$H$113,5,FALSE)*$H33)+IF($L33="",0,VLOOKUP($L33,'⚪设计'!$B$85:$H$113,5,FALSE)*$M33)+IF($Q33="",0,VLOOKUP($Q33,'⚪设计'!$B$85:$H$113,5,FALSE)*$R33)+IF($V33="",0,VLOOKUP($V33,'⚪设计'!$B$85:$H$113,5,FALSE)*$W33))*IF(V33="",0,VLOOKUP(V33,'⚪设计'!$B$85:$H$113,5,FALSE)),0))</f>
        <v/>
      </c>
    </row>
    <row r="34" spans="1:26" x14ac:dyDescent="0.2">
      <c r="A34" s="2" t="str">
        <f t="shared" si="5"/>
        <v>1_3</v>
      </c>
      <c r="B34" s="2">
        <v>1</v>
      </c>
      <c r="C34" s="2">
        <v>3</v>
      </c>
      <c r="D34" s="97">
        <f>VLOOKUP(C34,无限模式!$A$3:$B$22,2,FALSE)</f>
        <v>3600</v>
      </c>
      <c r="E34" s="98">
        <v>1</v>
      </c>
      <c r="F34" s="97">
        <f>VLOOKUP(A34,'⚪设计'!$A$310:$N$333,6,FALSE)</f>
        <v>15</v>
      </c>
      <c r="G34" s="97" t="str">
        <f>IF(VLOOKUP($A34,'⚪设计'!$A$310:$N$333,7,FALSE)="","",VLOOKUP($A34,'⚪设计'!$A$310:$N$333,7,FALSE))</f>
        <v>蜜蜂1</v>
      </c>
      <c r="H34" s="97">
        <f t="shared" si="6"/>
        <v>30</v>
      </c>
      <c r="I34" s="97">
        <f>IF(VLOOKUP($A34,'⚪设计'!$A$310:$N$333,11,FALSE)="","",VLOOKUP($A34,'⚪设计'!$A$310:$N$333,11,FALSE))</f>
        <v>0.5</v>
      </c>
      <c r="J34" s="97">
        <f>IF(G34="","",ROUND($D34*VLOOKUP($A34,'⚪设计'!$A$310:$N$333,4,FALSE)/(IF($G34="",0,VLOOKUP($G34,'⚪设计'!$B$85:$H$113,4,FALSE)*$H34)+IF($L34="",0,VLOOKUP($L34,'⚪设计'!$B$85:$H$113,4,FALSE)*$M34)+IF($Q34="",0,VLOOKUP($Q34,'⚪设计'!$B$85:$H$113,4,FALSE)*$R34)+IF($V34="",0,VLOOKUP($V34,'⚪设计'!$B$85:$H$113,4,FALSE)*$W34))*IF(G34="",0,VLOOKUP(G34,'⚪设计'!$B$85:$H$113,4,FALSE)),0))</f>
        <v>24</v>
      </c>
      <c r="K34" s="97">
        <f>IF(G34="","",ROUND(战斗节奏!$B$14/(IF($G34="",0,VLOOKUP($G34,'⚪设计'!$B$85:$H$113,5,FALSE)*$H34)+IF($L34="",0,VLOOKUP($L34,'⚪设计'!$B$85:$H$113,5,FALSE)*$M34)+IF($Q34="",0,VLOOKUP($Q34,'⚪设计'!$B$85:$H$113,5,FALSE)*$R34)+IF($V34="",0,VLOOKUP($V34,'⚪设计'!$B$85:$H$113,5,FALSE)*$W34))*IF(G34="",0,VLOOKUP(G34,'⚪设计'!$B$85:$H$113,5,FALSE)),0))</f>
        <v>1</v>
      </c>
      <c r="L34" s="97" t="str">
        <f>IF(VLOOKUP($A34,'⚪设计'!$A$310:$N$333,8,FALSE)="","",VLOOKUP($A34,'⚪设计'!$A$310:$N$333,8,FALSE))</f>
        <v>蜜蜂2</v>
      </c>
      <c r="M34" s="97">
        <f t="shared" si="7"/>
        <v>5</v>
      </c>
      <c r="N34" s="97">
        <f>IF(VLOOKUP($A34,'⚪设计'!$A$310:$N$333,12,FALSE)="","",VLOOKUP($A34,'⚪设计'!$A$310:$N$333,12,FALSE))</f>
        <v>3</v>
      </c>
      <c r="O34" s="97">
        <f>IF(L34="","",ROUND($D34*VLOOKUP($A34,'⚪设计'!$A$310:$N$333,4,FALSE)/(IF($G34="",0,VLOOKUP($G34,'⚪设计'!$B$85:$H$113,4,FALSE)*$H34)+IF($L34="",0,VLOOKUP($L34,'⚪设计'!$B$85:$H$113,4,FALSE)*$M34)+IF($Q34="",0,VLOOKUP($Q34,'⚪设计'!$B$85:$H$113,4,FALSE)*$R34)+IF($V34="",0,VLOOKUP($V34,'⚪设计'!$B$85:$H$113,4,FALSE)*$W34))*IF(L34="",0,VLOOKUP(L34,'⚪设计'!$B$85:$H$113,4,FALSE)),0))</f>
        <v>96</v>
      </c>
      <c r="P34" s="97">
        <f>IF(L34="","",ROUND(战斗节奏!$B$14/(IF($G34="",0,VLOOKUP($G34,'⚪设计'!$B$85:$H$113,5,FALSE)*$H34)+IF($L34="",0,VLOOKUP($L34,'⚪设计'!$B$85:$H$113,5,FALSE)*$M34)+IF($Q34="",0,VLOOKUP($Q34,'⚪设计'!$B$85:$H$113,5,FALSE)*$R34)+IF($V34="",0,VLOOKUP($V34,'⚪设计'!$B$85:$H$113,5,FALSE)*$W34))*IF(L34="",0,VLOOKUP(L34,'⚪设计'!$B$85:$H$113,5,FALSE)),0))</f>
        <v>5</v>
      </c>
      <c r="Q34" s="97" t="str">
        <f>IF(VLOOKUP($A34,'⚪设计'!$A$310:$N$333,9,FALSE)="","",VLOOKUP($A34,'⚪设计'!$A$310:$N$333,9,FALSE))</f>
        <v>肉1</v>
      </c>
      <c r="R34" s="97">
        <f t="shared" si="8"/>
        <v>10</v>
      </c>
      <c r="S34" s="97">
        <f>IF(VLOOKUP($A34,'⚪设计'!$A$310:$N$333,13,FALSE)="","",VLOOKUP($A34,'⚪设计'!$A$310:$N$333,13,FALSE))</f>
        <v>1.5</v>
      </c>
      <c r="T34" s="97">
        <f>IF(Q34="","",ROUND($D34*VLOOKUP($A34,'⚪设计'!$A$310:$N$333,4,FALSE)/(IF($G34="",0,VLOOKUP($G34,'⚪设计'!$B$85:$H$113,4,FALSE)*$H34)+IF($L34="",0,VLOOKUP($L34,'⚪设计'!$B$85:$H$113,4,FALSE)*$M34)+IF($Q34="",0,VLOOKUP($Q34,'⚪设计'!$B$85:$H$113,4,FALSE)*$R34)+IF($V34="",0,VLOOKUP($V34,'⚪设计'!$B$85:$H$113,4,FALSE)*$W34))*IF(Q34="",0,VLOOKUP(Q34,'⚪设计'!$B$85:$H$113,4,FALSE)),0))</f>
        <v>960</v>
      </c>
      <c r="U34" s="97">
        <f>IF(Q34="","",ROUND(战斗节奏!$B$14/(IF($G34="",0,VLOOKUP($G34,'⚪设计'!$B$85:$H$113,5,FALSE)*$H34)+IF($L34="",0,VLOOKUP($L34,'⚪设计'!$B$85:$H$113,5,FALSE)*$M34)+IF($Q34="",0,VLOOKUP($Q34,'⚪设计'!$B$85:$H$113,5,FALSE)*$R34)+IF($V34="",0,VLOOKUP($V34,'⚪设计'!$B$85:$H$113,5,FALSE)*$W34))*IF(Q34="",0,VLOOKUP(Q34,'⚪设计'!$B$85:$H$113,5,FALSE)),0))</f>
        <v>53</v>
      </c>
      <c r="V34" s="97" t="str">
        <f>IF(VLOOKUP($A34,'⚪设计'!$A$310:$N$333,10,FALSE)="","",VLOOKUP($A34,'⚪设计'!$A$310:$N$333,10,FALSE))</f>
        <v/>
      </c>
      <c r="W34" s="97" t="str">
        <f t="shared" si="9"/>
        <v/>
      </c>
      <c r="X34" s="97" t="str">
        <f>IF(VLOOKUP($A34,'⚪设计'!$A$310:$N$333,14,FALSE)="","",VLOOKUP($A34,'⚪设计'!$A$310:$N$333,14,FALSE))</f>
        <v/>
      </c>
      <c r="Y34" s="97" t="str">
        <f>IF(V34="","",ROUND($D34*VLOOKUP($A34,'⚪设计'!$A$310:$N$333,4,FALSE)/(IF($G34="",0,VLOOKUP($G34,'⚪设计'!$B$85:$H$113,4,FALSE)*$H34)+IF($L34="",0,VLOOKUP($L34,'⚪设计'!$B$85:$H$113,4,FALSE)*$M34)+IF($Q34="",0,VLOOKUP($Q34,'⚪设计'!$B$85:$H$113,4,FALSE)*$R34)+IF($V34="",0,VLOOKUP($V34,'⚪设计'!$B$85:$H$113,4,FALSE)*$W34))*IF(V34="",0,VLOOKUP(V34,'⚪设计'!$B$85:$H$113,4,FALSE)),0))</f>
        <v/>
      </c>
      <c r="Z34" s="97" t="str">
        <f>IF(V34="","",ROUND(战斗节奏!$B$14/(IF($G34="",0,VLOOKUP($G34,'⚪设计'!$B$85:$H$113,5,FALSE)*$H34)+IF($L34="",0,VLOOKUP($L34,'⚪设计'!$B$85:$H$113,5,FALSE)*$M34)+IF($Q34="",0,VLOOKUP($Q34,'⚪设计'!$B$85:$H$113,5,FALSE)*$R34)+IF($V34="",0,VLOOKUP($V34,'⚪设计'!$B$85:$H$113,5,FALSE)*$W34))*IF(V34="",0,VLOOKUP(V34,'⚪设计'!$B$85:$H$113,5,FALSE)),0))</f>
        <v/>
      </c>
    </row>
    <row r="35" spans="1:26" x14ac:dyDescent="0.2">
      <c r="A35" s="2" t="str">
        <f t="shared" si="5"/>
        <v>2_1</v>
      </c>
      <c r="B35" s="2">
        <v>2</v>
      </c>
      <c r="C35" s="2">
        <v>1</v>
      </c>
      <c r="D35" s="97">
        <f>VLOOKUP(C35,无限模式!$A$3:$B$22,2,FALSE)</f>
        <v>900</v>
      </c>
      <c r="E35" s="98">
        <v>1</v>
      </c>
      <c r="F35" s="97">
        <f>VLOOKUP(A35,'⚪设计'!$A$310:$N$333,6,FALSE)</f>
        <v>10</v>
      </c>
      <c r="G35" s="97" t="str">
        <f>IF(VLOOKUP($A35,'⚪设计'!$A$310:$N$333,7,FALSE)="","",VLOOKUP($A35,'⚪设计'!$A$310:$N$333,7,FALSE))</f>
        <v>蜘蛛1</v>
      </c>
      <c r="H35" s="97">
        <f t="shared" si="6"/>
        <v>5</v>
      </c>
      <c r="I35" s="97">
        <f>IF(VLOOKUP($A35,'⚪设计'!$A$310:$N$333,11,FALSE)="","",VLOOKUP($A35,'⚪设计'!$A$310:$N$333,11,FALSE))</f>
        <v>2</v>
      </c>
      <c r="J35" s="97">
        <f>IF(G35="","",ROUND($D35*VLOOKUP($A35,'⚪设计'!$A$310:$N$333,4,FALSE)/(IF($G35="",0,VLOOKUP($G35,'⚪设计'!$B$85:$H$113,4,FALSE)*$H35)+IF($L35="",0,VLOOKUP($L35,'⚪设计'!$B$85:$H$113,4,FALSE)*$M35)+IF($Q35="",0,VLOOKUP($Q35,'⚪设计'!$B$85:$H$113,4,FALSE)*$R35)+IF($V35="",0,VLOOKUP($V35,'⚪设计'!$B$85:$H$113,4,FALSE)*$W35))*IF(G35="",0,VLOOKUP(G35,'⚪设计'!$B$85:$H$113,4,FALSE)),0))</f>
        <v>9</v>
      </c>
      <c r="K35" s="97">
        <f>IF(G35="","",ROUND(战斗节奏!$B$14/(IF($G35="",0,VLOOKUP($G35,'⚪设计'!$B$85:$H$113,5,FALSE)*$H35)+IF($L35="",0,VLOOKUP($L35,'⚪设计'!$B$85:$H$113,5,FALSE)*$M35)+IF($Q35="",0,VLOOKUP($Q35,'⚪设计'!$B$85:$H$113,5,FALSE)*$R35)+IF($V35="",0,VLOOKUP($V35,'⚪设计'!$B$85:$H$113,5,FALSE)*$W35))*IF(G35="",0,VLOOKUP(G35,'⚪设计'!$B$85:$H$113,5,FALSE)),0))</f>
        <v>6</v>
      </c>
      <c r="L35" s="97" t="str">
        <f>IF(VLOOKUP($A35,'⚪设计'!$A$310:$N$333,8,FALSE)="","",VLOOKUP($A35,'⚪设计'!$A$310:$N$333,8,FALSE))</f>
        <v>肉1</v>
      </c>
      <c r="M35" s="97">
        <f t="shared" si="7"/>
        <v>5</v>
      </c>
      <c r="N35" s="97">
        <f>IF(VLOOKUP($A35,'⚪设计'!$A$310:$N$333,12,FALSE)="","",VLOOKUP($A35,'⚪设计'!$A$310:$N$333,12,FALSE))</f>
        <v>2</v>
      </c>
      <c r="O35" s="97">
        <f>IF(L35="","",ROUND($D35*VLOOKUP($A35,'⚪设计'!$A$310:$N$333,4,FALSE)/(IF($G35="",0,VLOOKUP($G35,'⚪设计'!$B$85:$H$113,4,FALSE)*$H35)+IF($L35="",0,VLOOKUP($L35,'⚪设计'!$B$85:$H$113,4,FALSE)*$M35)+IF($Q35="",0,VLOOKUP($Q35,'⚪设计'!$B$85:$H$113,4,FALSE)*$R35)+IF($V35="",0,VLOOKUP($V35,'⚪设计'!$B$85:$H$113,4,FALSE)*$W35))*IF(L35="",0,VLOOKUP(L35,'⚪设计'!$B$85:$H$113,4,FALSE)),0))</f>
        <v>171</v>
      </c>
      <c r="P35" s="97">
        <f>IF(L35="","",ROUND(战斗节奏!$B$14/(IF($G35="",0,VLOOKUP($G35,'⚪设计'!$B$85:$H$113,5,FALSE)*$H35)+IF($L35="",0,VLOOKUP($L35,'⚪设计'!$B$85:$H$113,5,FALSE)*$M35)+IF($Q35="",0,VLOOKUP($Q35,'⚪设计'!$B$85:$H$113,5,FALSE)*$R35)+IF($V35="",0,VLOOKUP($V35,'⚪设计'!$B$85:$H$113,5,FALSE)*$W35))*IF(L35="",0,VLOOKUP(L35,'⚪设计'!$B$85:$H$113,5,FALSE)),0))</f>
        <v>114</v>
      </c>
      <c r="Q35" s="97" t="str">
        <f>IF(VLOOKUP($A35,'⚪设计'!$A$310:$N$333,9,FALSE)="","",VLOOKUP($A35,'⚪设计'!$A$310:$N$333,9,FALSE))</f>
        <v/>
      </c>
      <c r="R35" s="97" t="str">
        <f t="shared" si="8"/>
        <v/>
      </c>
      <c r="S35" s="97" t="str">
        <f>IF(VLOOKUP($A35,'⚪设计'!$A$310:$N$333,13,FALSE)="","",VLOOKUP($A35,'⚪设计'!$A$310:$N$333,13,FALSE))</f>
        <v/>
      </c>
      <c r="T35" s="97" t="str">
        <f>IF(Q35="","",ROUND($D35*VLOOKUP($A35,'⚪设计'!$A$310:$N$333,4,FALSE)/(IF($G35="",0,VLOOKUP($G35,'⚪设计'!$B$85:$H$113,4,FALSE)*$H35)+IF($L35="",0,VLOOKUP($L35,'⚪设计'!$B$85:$H$113,4,FALSE)*$M35)+IF($Q35="",0,VLOOKUP($Q35,'⚪设计'!$B$85:$H$113,4,FALSE)*$R35)+IF($V35="",0,VLOOKUP($V35,'⚪设计'!$B$85:$H$113,4,FALSE)*$W35))*IF(Q35="",0,VLOOKUP(Q35,'⚪设计'!$B$85:$H$113,4,FALSE)),0))</f>
        <v/>
      </c>
      <c r="U35" s="97" t="str">
        <f>IF(Q35="","",ROUND(战斗节奏!$B$14/(IF($G35="",0,VLOOKUP($G35,'⚪设计'!$B$85:$H$113,5,FALSE)*$H35)+IF($L35="",0,VLOOKUP($L35,'⚪设计'!$B$85:$H$113,5,FALSE)*$M35)+IF($Q35="",0,VLOOKUP($Q35,'⚪设计'!$B$85:$H$113,5,FALSE)*$R35)+IF($V35="",0,VLOOKUP($V35,'⚪设计'!$B$85:$H$113,5,FALSE)*$W35))*IF(Q35="",0,VLOOKUP(Q35,'⚪设计'!$B$85:$H$113,5,FALSE)),0))</f>
        <v/>
      </c>
      <c r="V35" s="97" t="str">
        <f>IF(VLOOKUP($A35,'⚪设计'!$A$310:$N$333,10,FALSE)="","",VLOOKUP($A35,'⚪设计'!$A$310:$N$333,10,FALSE))</f>
        <v/>
      </c>
      <c r="W35" s="97" t="str">
        <f t="shared" si="9"/>
        <v/>
      </c>
      <c r="X35" s="97" t="str">
        <f>IF(VLOOKUP($A35,'⚪设计'!$A$310:$N$333,14,FALSE)="","",VLOOKUP($A35,'⚪设计'!$A$310:$N$333,14,FALSE))</f>
        <v/>
      </c>
      <c r="Y35" s="97" t="str">
        <f>IF(V35="","",ROUND($D35*VLOOKUP($A35,'⚪设计'!$A$310:$N$333,4,FALSE)/(IF($G35="",0,VLOOKUP($G35,'⚪设计'!$B$85:$H$113,4,FALSE)*$H35)+IF($L35="",0,VLOOKUP($L35,'⚪设计'!$B$85:$H$113,4,FALSE)*$M35)+IF($Q35="",0,VLOOKUP($Q35,'⚪设计'!$B$85:$H$113,4,FALSE)*$R35)+IF($V35="",0,VLOOKUP($V35,'⚪设计'!$B$85:$H$113,4,FALSE)*$W35))*IF(V35="",0,VLOOKUP(V35,'⚪设计'!$B$85:$H$113,4,FALSE)),0))</f>
        <v/>
      </c>
      <c r="Z35" s="97" t="str">
        <f>IF(V35="","",ROUND(战斗节奏!$B$14/(IF($G35="",0,VLOOKUP($G35,'⚪设计'!$B$85:$H$113,5,FALSE)*$H35)+IF($L35="",0,VLOOKUP($L35,'⚪设计'!$B$85:$H$113,5,FALSE)*$M35)+IF($Q35="",0,VLOOKUP($Q35,'⚪设计'!$B$85:$H$113,5,FALSE)*$R35)+IF($V35="",0,VLOOKUP($V35,'⚪设计'!$B$85:$H$113,5,FALSE)*$W35))*IF(V35="",0,VLOOKUP(V35,'⚪设计'!$B$85:$H$113,5,FALSE)),0))</f>
        <v/>
      </c>
    </row>
    <row r="36" spans="1:26" x14ac:dyDescent="0.2">
      <c r="A36" s="2" t="str">
        <f t="shared" si="5"/>
        <v>2_2</v>
      </c>
      <c r="B36" s="2">
        <v>2</v>
      </c>
      <c r="C36" s="2">
        <v>2</v>
      </c>
      <c r="D36" s="97">
        <f>VLOOKUP(C36,无限模式!$A$3:$B$22,2,FALSE)</f>
        <v>1800</v>
      </c>
      <c r="E36" s="98">
        <v>1</v>
      </c>
      <c r="F36" s="97">
        <f>VLOOKUP(A36,'⚪设计'!$A$310:$N$333,6,FALSE)</f>
        <v>12.5</v>
      </c>
      <c r="G36" s="97" t="str">
        <f>IF(VLOOKUP($A36,'⚪设计'!$A$310:$N$333,7,FALSE)="","",VLOOKUP($A36,'⚪设计'!$A$310:$N$333,7,FALSE))</f>
        <v>蜘蛛1</v>
      </c>
      <c r="H36" s="97">
        <f t="shared" si="6"/>
        <v>6</v>
      </c>
      <c r="I36" s="97">
        <f>IF(VLOOKUP($A36,'⚪设计'!$A$310:$N$333,11,FALSE)="","",VLOOKUP($A36,'⚪设计'!$A$310:$N$333,11,FALSE))</f>
        <v>2</v>
      </c>
      <c r="J36" s="97">
        <f>IF(G36="","",ROUND($D36*VLOOKUP($A36,'⚪设计'!$A$310:$N$333,4,FALSE)/(IF($G36="",0,VLOOKUP($G36,'⚪设计'!$B$85:$H$113,4,FALSE)*$H36)+IF($L36="",0,VLOOKUP($L36,'⚪设计'!$B$85:$H$113,4,FALSE)*$M36)+IF($Q36="",0,VLOOKUP($Q36,'⚪设计'!$B$85:$H$113,4,FALSE)*$R36)+IF($V36="",0,VLOOKUP($V36,'⚪设计'!$B$85:$H$113,4,FALSE)*$W36))*IF(G36="",0,VLOOKUP(G36,'⚪设计'!$B$85:$H$113,4,FALSE)),0))</f>
        <v>47</v>
      </c>
      <c r="K36" s="97">
        <f>IF(G36="","",ROUND(战斗节奏!$B$14/(IF($G36="",0,VLOOKUP($G36,'⚪设计'!$B$85:$H$113,5,FALSE)*$H36)+IF($L36="",0,VLOOKUP($L36,'⚪设计'!$B$85:$H$113,5,FALSE)*$M36)+IF($Q36="",0,VLOOKUP($Q36,'⚪设计'!$B$85:$H$113,5,FALSE)*$R36)+IF($V36="",0,VLOOKUP($V36,'⚪设计'!$B$85:$H$113,5,FALSE)*$W36))*IF(G36="",0,VLOOKUP(G36,'⚪设计'!$B$85:$H$113,5,FALSE)),0))</f>
        <v>4</v>
      </c>
      <c r="L36" s="97" t="str">
        <f>IF(VLOOKUP($A36,'⚪设计'!$A$310:$N$333,8,FALSE)="","",VLOOKUP($A36,'⚪设计'!$A$310:$N$333,8,FALSE))</f>
        <v>蜜蜂2</v>
      </c>
      <c r="M36" s="97">
        <f t="shared" si="7"/>
        <v>6</v>
      </c>
      <c r="N36" s="97">
        <f>IF(VLOOKUP($A36,'⚪设计'!$A$310:$N$333,12,FALSE)="","",VLOOKUP($A36,'⚪设计'!$A$310:$N$333,12,FALSE))</f>
        <v>2</v>
      </c>
      <c r="O36" s="97">
        <f>IF(L36="","",ROUND($D36*VLOOKUP($A36,'⚪设计'!$A$310:$N$333,4,FALSE)/(IF($G36="",0,VLOOKUP($G36,'⚪设计'!$B$85:$H$113,4,FALSE)*$H36)+IF($L36="",0,VLOOKUP($L36,'⚪设计'!$B$85:$H$113,4,FALSE)*$M36)+IF($Q36="",0,VLOOKUP($Q36,'⚪设计'!$B$85:$H$113,4,FALSE)*$R36)+IF($V36="",0,VLOOKUP($V36,'⚪设计'!$B$85:$H$113,4,FALSE)*$W36))*IF(L36="",0,VLOOKUP(L36,'⚪设计'!$B$85:$H$113,4,FALSE)),0))</f>
        <v>94</v>
      </c>
      <c r="P36" s="97">
        <f>IF(L36="","",ROUND(战斗节奏!$B$14/(IF($G36="",0,VLOOKUP($G36,'⚪设计'!$B$85:$H$113,5,FALSE)*$H36)+IF($L36="",0,VLOOKUP($L36,'⚪设计'!$B$85:$H$113,5,FALSE)*$M36)+IF($Q36="",0,VLOOKUP($Q36,'⚪设计'!$B$85:$H$113,5,FALSE)*$R36)+IF($V36="",0,VLOOKUP($V36,'⚪设计'!$B$85:$H$113,5,FALSE)*$W36))*IF(L36="",0,VLOOKUP(L36,'⚪设计'!$B$85:$H$113,5,FALSE)),0))</f>
        <v>9</v>
      </c>
      <c r="Q36" s="97" t="str">
        <f>IF(VLOOKUP($A36,'⚪设计'!$A$310:$N$333,9,FALSE)="","",VLOOKUP($A36,'⚪设计'!$A$310:$N$333,9,FALSE))</f>
        <v>肉1</v>
      </c>
      <c r="R36" s="97">
        <f t="shared" si="8"/>
        <v>6</v>
      </c>
      <c r="S36" s="97">
        <f>IF(VLOOKUP($A36,'⚪设计'!$A$310:$N$333,13,FALSE)="","",VLOOKUP($A36,'⚪设计'!$A$310:$N$333,13,FALSE))</f>
        <v>2</v>
      </c>
      <c r="T36" s="97">
        <f>IF(Q36="","",ROUND($D36*VLOOKUP($A36,'⚪设计'!$A$310:$N$333,4,FALSE)/(IF($G36="",0,VLOOKUP($G36,'⚪设计'!$B$85:$H$113,4,FALSE)*$H36)+IF($L36="",0,VLOOKUP($L36,'⚪设计'!$B$85:$H$113,4,FALSE)*$M36)+IF($Q36="",0,VLOOKUP($Q36,'⚪设计'!$B$85:$H$113,4,FALSE)*$R36)+IF($V36="",0,VLOOKUP($V36,'⚪设计'!$B$85:$H$113,4,FALSE)*$W36))*IF(Q36="",0,VLOOKUP(Q36,'⚪设计'!$B$85:$H$113,4,FALSE)),0))</f>
        <v>939</v>
      </c>
      <c r="U36" s="97">
        <f>IF(Q36="","",ROUND(战斗节奏!$B$14/(IF($G36="",0,VLOOKUP($G36,'⚪设计'!$B$85:$H$113,5,FALSE)*$H36)+IF($L36="",0,VLOOKUP($L36,'⚪设计'!$B$85:$H$113,5,FALSE)*$M36)+IF($Q36="",0,VLOOKUP($Q36,'⚪设计'!$B$85:$H$113,5,FALSE)*$R36)+IF($V36="",0,VLOOKUP($V36,'⚪设计'!$B$85:$H$113,5,FALSE)*$W36))*IF(Q36="",0,VLOOKUP(Q36,'⚪设计'!$B$85:$H$113,5,FALSE)),0))</f>
        <v>87</v>
      </c>
      <c r="V36" s="97" t="str">
        <f>IF(VLOOKUP($A36,'⚪设计'!$A$310:$N$333,10,FALSE)="","",VLOOKUP($A36,'⚪设计'!$A$310:$N$333,10,FALSE))</f>
        <v/>
      </c>
      <c r="W36" s="97" t="str">
        <f t="shared" si="9"/>
        <v/>
      </c>
      <c r="X36" s="97" t="str">
        <f>IF(VLOOKUP($A36,'⚪设计'!$A$310:$N$333,14,FALSE)="","",VLOOKUP($A36,'⚪设计'!$A$310:$N$333,14,FALSE))</f>
        <v/>
      </c>
      <c r="Y36" s="97" t="str">
        <f>IF(V36="","",ROUND($D36*VLOOKUP($A36,'⚪设计'!$A$310:$N$333,4,FALSE)/(IF($G36="",0,VLOOKUP($G36,'⚪设计'!$B$85:$H$113,4,FALSE)*$H36)+IF($L36="",0,VLOOKUP($L36,'⚪设计'!$B$85:$H$113,4,FALSE)*$M36)+IF($Q36="",0,VLOOKUP($Q36,'⚪设计'!$B$85:$H$113,4,FALSE)*$R36)+IF($V36="",0,VLOOKUP($V36,'⚪设计'!$B$85:$H$113,4,FALSE)*$W36))*IF(V36="",0,VLOOKUP(V36,'⚪设计'!$B$85:$H$113,4,FALSE)),0))</f>
        <v/>
      </c>
      <c r="Z36" s="97" t="str">
        <f>IF(V36="","",ROUND(战斗节奏!$B$14/(IF($G36="",0,VLOOKUP($G36,'⚪设计'!$B$85:$H$113,5,FALSE)*$H36)+IF($L36="",0,VLOOKUP($L36,'⚪设计'!$B$85:$H$113,5,FALSE)*$M36)+IF($Q36="",0,VLOOKUP($Q36,'⚪设计'!$B$85:$H$113,5,FALSE)*$R36)+IF($V36="",0,VLOOKUP($V36,'⚪设计'!$B$85:$H$113,5,FALSE)*$W36))*IF(V36="",0,VLOOKUP(V36,'⚪设计'!$B$85:$H$113,5,FALSE)),0))</f>
        <v/>
      </c>
    </row>
    <row r="37" spans="1:26" x14ac:dyDescent="0.2">
      <c r="A37" s="2" t="str">
        <f t="shared" si="5"/>
        <v>2_3</v>
      </c>
      <c r="B37" s="2">
        <v>2</v>
      </c>
      <c r="C37" s="2">
        <v>3</v>
      </c>
      <c r="D37" s="97">
        <f>VLOOKUP(C37,无限模式!$A$3:$B$22,2,FALSE)</f>
        <v>3600</v>
      </c>
      <c r="E37" s="98">
        <v>1</v>
      </c>
      <c r="F37" s="97">
        <f>VLOOKUP(A37,'⚪设计'!$A$310:$N$333,6,FALSE)</f>
        <v>15</v>
      </c>
      <c r="G37" s="97" t="str">
        <f>IF(VLOOKUP($A37,'⚪设计'!$A$310:$N$333,7,FALSE)="","",VLOOKUP($A37,'⚪设计'!$A$310:$N$333,7,FALSE))</f>
        <v>蜘蛛1</v>
      </c>
      <c r="H37" s="97">
        <f t="shared" si="6"/>
        <v>15</v>
      </c>
      <c r="I37" s="97">
        <f>IF(VLOOKUP($A37,'⚪设计'!$A$310:$N$333,11,FALSE)="","",VLOOKUP($A37,'⚪设计'!$A$310:$N$333,11,FALSE))</f>
        <v>1</v>
      </c>
      <c r="J37" s="97">
        <f>IF(G37="","",ROUND($D37*VLOOKUP($A37,'⚪设计'!$A$310:$N$333,4,FALSE)/(IF($G37="",0,VLOOKUP($G37,'⚪设计'!$B$85:$H$113,4,FALSE)*$H37)+IF($L37="",0,VLOOKUP($L37,'⚪设计'!$B$85:$H$113,4,FALSE)*$M37)+IF($Q37="",0,VLOOKUP($Q37,'⚪设计'!$B$85:$H$113,4,FALSE)*$R37)+IF($V37="",0,VLOOKUP($V37,'⚪设计'!$B$85:$H$113,4,FALSE)*$W37))*IF(G37="",0,VLOOKUP(G37,'⚪设计'!$B$85:$H$113,4,FALSE)),0))</f>
        <v>40</v>
      </c>
      <c r="K37" s="97">
        <f>IF(G37="","",ROUND(战斗节奏!$B$14/(IF($G37="",0,VLOOKUP($G37,'⚪设计'!$B$85:$H$113,5,FALSE)*$H37)+IF($L37="",0,VLOOKUP($L37,'⚪设计'!$B$85:$H$113,5,FALSE)*$M37)+IF($Q37="",0,VLOOKUP($Q37,'⚪设计'!$B$85:$H$113,5,FALSE)*$R37)+IF($V37="",0,VLOOKUP($V37,'⚪设计'!$B$85:$H$113,5,FALSE)*$W37))*IF(G37="",0,VLOOKUP(G37,'⚪设计'!$B$85:$H$113,5,FALSE)),0))</f>
        <v>2</v>
      </c>
      <c r="L37" s="97" t="str">
        <f>IF(VLOOKUP($A37,'⚪设计'!$A$310:$N$333,8,FALSE)="","",VLOOKUP($A37,'⚪设计'!$A$310:$N$333,8,FALSE))</f>
        <v>蝙蝠1</v>
      </c>
      <c r="M37" s="97">
        <f t="shared" si="7"/>
        <v>15</v>
      </c>
      <c r="N37" s="97">
        <f>IF(VLOOKUP($A37,'⚪设计'!$A$310:$N$333,12,FALSE)="","",VLOOKUP($A37,'⚪设计'!$A$310:$N$333,12,FALSE))</f>
        <v>1</v>
      </c>
      <c r="O37" s="97">
        <f>IF(L37="","",ROUND($D37*VLOOKUP($A37,'⚪设计'!$A$310:$N$333,4,FALSE)/(IF($G37="",0,VLOOKUP($G37,'⚪设计'!$B$85:$H$113,4,FALSE)*$H37)+IF($L37="",0,VLOOKUP($L37,'⚪设计'!$B$85:$H$113,4,FALSE)*$M37)+IF($Q37="",0,VLOOKUP($Q37,'⚪设计'!$B$85:$H$113,4,FALSE)*$R37)+IF($V37="",0,VLOOKUP($V37,'⚪设计'!$B$85:$H$113,4,FALSE)*$W37))*IF(L37="",0,VLOOKUP(L37,'⚪设计'!$B$85:$H$113,4,FALSE)),0))</f>
        <v>20</v>
      </c>
      <c r="P37" s="97">
        <f>IF(L37="","",ROUND(战斗节奏!$B$14/(IF($G37="",0,VLOOKUP($G37,'⚪设计'!$B$85:$H$113,5,FALSE)*$H37)+IF($L37="",0,VLOOKUP($L37,'⚪设计'!$B$85:$H$113,5,FALSE)*$M37)+IF($Q37="",0,VLOOKUP($Q37,'⚪设计'!$B$85:$H$113,5,FALSE)*$R37)+IF($V37="",0,VLOOKUP($V37,'⚪设计'!$B$85:$H$113,5,FALSE)*$W37))*IF(L37="",0,VLOOKUP(L37,'⚪设计'!$B$85:$H$113,5,FALSE)),0))</f>
        <v>1</v>
      </c>
      <c r="Q37" s="97" t="str">
        <f>IF(VLOOKUP($A37,'⚪设计'!$A$310:$N$333,9,FALSE)="","",VLOOKUP($A37,'⚪设计'!$A$310:$N$333,9,FALSE))</f>
        <v>肉1</v>
      </c>
      <c r="R37" s="97">
        <f t="shared" si="8"/>
        <v>15</v>
      </c>
      <c r="S37" s="97">
        <f>IF(VLOOKUP($A37,'⚪设计'!$A$310:$N$333,13,FALSE)="","",VLOOKUP($A37,'⚪设计'!$A$310:$N$333,13,FALSE))</f>
        <v>1</v>
      </c>
      <c r="T37" s="97">
        <f>IF(Q37="","",ROUND($D37*VLOOKUP($A37,'⚪设计'!$A$310:$N$333,4,FALSE)/(IF($G37="",0,VLOOKUP($G37,'⚪设计'!$B$85:$H$113,4,FALSE)*$H37)+IF($L37="",0,VLOOKUP($L37,'⚪设计'!$B$85:$H$113,4,FALSE)*$M37)+IF($Q37="",0,VLOOKUP($Q37,'⚪设计'!$B$85:$H$113,4,FALSE)*$R37)+IF($V37="",0,VLOOKUP($V37,'⚪设计'!$B$85:$H$113,4,FALSE)*$W37))*IF(Q37="",0,VLOOKUP(Q37,'⚪设计'!$B$85:$H$113,4,FALSE)),0))</f>
        <v>804</v>
      </c>
      <c r="U37" s="97">
        <f>IF(Q37="","",ROUND(战斗节奏!$B$14/(IF($G37="",0,VLOOKUP($G37,'⚪设计'!$B$85:$H$113,5,FALSE)*$H37)+IF($L37="",0,VLOOKUP($L37,'⚪设计'!$B$85:$H$113,5,FALSE)*$M37)+IF($Q37="",0,VLOOKUP($Q37,'⚪设计'!$B$85:$H$113,5,FALSE)*$R37)+IF($V37="",0,VLOOKUP($V37,'⚪设计'!$B$85:$H$113,5,FALSE)*$W37))*IF(Q37="",0,VLOOKUP(Q37,'⚪设计'!$B$85:$H$113,5,FALSE)),0))</f>
        <v>37</v>
      </c>
      <c r="V37" s="97" t="str">
        <f>IF(VLOOKUP($A37,'⚪设计'!$A$310:$N$333,10,FALSE)="","",VLOOKUP($A37,'⚪设计'!$A$310:$N$333,10,FALSE))</f>
        <v/>
      </c>
      <c r="W37" s="97" t="str">
        <f t="shared" si="9"/>
        <v/>
      </c>
      <c r="X37" s="97" t="str">
        <f>IF(VLOOKUP($A37,'⚪设计'!$A$310:$N$333,14,FALSE)="","",VLOOKUP($A37,'⚪设计'!$A$310:$N$333,14,FALSE))</f>
        <v/>
      </c>
      <c r="Y37" s="97" t="str">
        <f>IF(V37="","",ROUND($D37*VLOOKUP($A37,'⚪设计'!$A$310:$N$333,4,FALSE)/(IF($G37="",0,VLOOKUP($G37,'⚪设计'!$B$85:$H$113,4,FALSE)*$H37)+IF($L37="",0,VLOOKUP($L37,'⚪设计'!$B$85:$H$113,4,FALSE)*$M37)+IF($Q37="",0,VLOOKUP($Q37,'⚪设计'!$B$85:$H$113,4,FALSE)*$R37)+IF($V37="",0,VLOOKUP($V37,'⚪设计'!$B$85:$H$113,4,FALSE)*$W37))*IF(V37="",0,VLOOKUP(V37,'⚪设计'!$B$85:$H$113,4,FALSE)),0))</f>
        <v/>
      </c>
      <c r="Z37" s="97" t="str">
        <f>IF(V37="","",ROUND(战斗节奏!$B$14/(IF($G37="",0,VLOOKUP($G37,'⚪设计'!$B$85:$H$113,5,FALSE)*$H37)+IF($L37="",0,VLOOKUP($L37,'⚪设计'!$B$85:$H$113,5,FALSE)*$M37)+IF($Q37="",0,VLOOKUP($Q37,'⚪设计'!$B$85:$H$113,5,FALSE)*$R37)+IF($V37="",0,VLOOKUP($V37,'⚪设计'!$B$85:$H$113,5,FALSE)*$W37))*IF(V37="",0,VLOOKUP(V37,'⚪设计'!$B$85:$H$113,5,FALSE)),0))</f>
        <v/>
      </c>
    </row>
    <row r="38" spans="1:26" x14ac:dyDescent="0.2">
      <c r="A38" s="2" t="str">
        <f t="shared" si="5"/>
        <v>2_4</v>
      </c>
      <c r="B38" s="2">
        <v>2</v>
      </c>
      <c r="C38" s="2">
        <v>4</v>
      </c>
      <c r="D38" s="97">
        <f>VLOOKUP(C38,无限模式!$A$3:$B$22,2,FALSE)</f>
        <v>4500</v>
      </c>
      <c r="E38" s="98">
        <v>1</v>
      </c>
      <c r="F38" s="97">
        <f>VLOOKUP(A38,'⚪设计'!$A$310:$N$333,6,FALSE)</f>
        <v>17.5</v>
      </c>
      <c r="G38" s="97" t="str">
        <f>IF(VLOOKUP($A38,'⚪设计'!$A$310:$N$333,7,FALSE)="","",VLOOKUP($A38,'⚪设计'!$A$310:$N$333,7,FALSE))</f>
        <v>蜘蛛1</v>
      </c>
      <c r="H38" s="97">
        <f t="shared" si="6"/>
        <v>18</v>
      </c>
      <c r="I38" s="97">
        <f>IF(VLOOKUP($A38,'⚪设计'!$A$310:$N$333,11,FALSE)="","",VLOOKUP($A38,'⚪设计'!$A$310:$N$333,11,FALSE))</f>
        <v>1</v>
      </c>
      <c r="J38" s="97">
        <f>IF(G38="","",ROUND($D38*VLOOKUP($A38,'⚪设计'!$A$310:$N$333,4,FALSE)/(IF($G38="",0,VLOOKUP($G38,'⚪设计'!$B$85:$H$113,4,FALSE)*$H38)+IF($L38="",0,VLOOKUP($L38,'⚪设计'!$B$85:$H$113,4,FALSE)*$M38)+IF($Q38="",0,VLOOKUP($Q38,'⚪设计'!$B$85:$H$113,4,FALSE)*$R38)+IF($V38="",0,VLOOKUP($V38,'⚪设计'!$B$85:$H$113,4,FALSE)*$W38))*IF(G38="",0,VLOOKUP(G38,'⚪设计'!$B$85:$H$113,4,FALSE)),0))</f>
        <v>48</v>
      </c>
      <c r="K38" s="97">
        <f>IF(G38="","",ROUND(战斗节奏!$B$14/(IF($G38="",0,VLOOKUP($G38,'⚪设计'!$B$85:$H$113,5,FALSE)*$H38)+IF($L38="",0,VLOOKUP($L38,'⚪设计'!$B$85:$H$113,5,FALSE)*$M38)+IF($Q38="",0,VLOOKUP($Q38,'⚪设计'!$B$85:$H$113,5,FALSE)*$R38)+IF($V38="",0,VLOOKUP($V38,'⚪设计'!$B$85:$H$113,5,FALSE)*$W38))*IF(G38="",0,VLOOKUP(G38,'⚪设计'!$B$85:$H$113,5,FALSE)),0))</f>
        <v>1</v>
      </c>
      <c r="L38" s="97" t="str">
        <f>IF(VLOOKUP($A38,'⚪设计'!$A$310:$N$333,8,FALSE)="","",VLOOKUP($A38,'⚪设计'!$A$310:$N$333,8,FALSE))</f>
        <v>蝙蝠1</v>
      </c>
      <c r="M38" s="97">
        <f t="shared" si="7"/>
        <v>44</v>
      </c>
      <c r="N38" s="97">
        <f>IF(VLOOKUP($A38,'⚪设计'!$A$310:$N$333,12,FALSE)="","",VLOOKUP($A38,'⚪设计'!$A$310:$N$333,12,FALSE))</f>
        <v>0.4</v>
      </c>
      <c r="O38" s="97">
        <f>IF(L38="","",ROUND($D38*VLOOKUP($A38,'⚪设计'!$A$310:$N$333,4,FALSE)/(IF($G38="",0,VLOOKUP($G38,'⚪设计'!$B$85:$H$113,4,FALSE)*$H38)+IF($L38="",0,VLOOKUP($L38,'⚪设计'!$B$85:$H$113,4,FALSE)*$M38)+IF($Q38="",0,VLOOKUP($Q38,'⚪设计'!$B$85:$H$113,4,FALSE)*$R38)+IF($V38="",0,VLOOKUP($V38,'⚪设计'!$B$85:$H$113,4,FALSE)*$W38))*IF(L38="",0,VLOOKUP(L38,'⚪设计'!$B$85:$H$113,4,FALSE)),0))</f>
        <v>24</v>
      </c>
      <c r="P38" s="97">
        <f>IF(L38="","",ROUND(战斗节奏!$B$14/(IF($G38="",0,VLOOKUP($G38,'⚪设计'!$B$85:$H$113,5,FALSE)*$H38)+IF($L38="",0,VLOOKUP($L38,'⚪设计'!$B$85:$H$113,5,FALSE)*$M38)+IF($Q38="",0,VLOOKUP($Q38,'⚪设计'!$B$85:$H$113,5,FALSE)*$R38)+IF($V38="",0,VLOOKUP($V38,'⚪设计'!$B$85:$H$113,5,FALSE)*$W38))*IF(L38="",0,VLOOKUP(L38,'⚪设计'!$B$85:$H$113,5,FALSE)),0))</f>
        <v>1</v>
      </c>
      <c r="Q38" s="97" t="str">
        <f>IF(VLOOKUP($A38,'⚪设计'!$A$310:$N$333,9,FALSE)="","",VLOOKUP($A38,'⚪设计'!$A$310:$N$333,9,FALSE))</f>
        <v>蜜蜂2</v>
      </c>
      <c r="R38" s="97">
        <f t="shared" si="8"/>
        <v>35</v>
      </c>
      <c r="S38" s="97">
        <f>IF(VLOOKUP($A38,'⚪设计'!$A$310:$N$333,13,FALSE)="","",VLOOKUP($A38,'⚪设计'!$A$310:$N$333,13,FALSE))</f>
        <v>0.5</v>
      </c>
      <c r="T38" s="97">
        <f>IF(Q38="","",ROUND($D38*VLOOKUP($A38,'⚪设计'!$A$310:$N$333,4,FALSE)/(IF($G38="",0,VLOOKUP($G38,'⚪设计'!$B$85:$H$113,4,FALSE)*$H38)+IF($L38="",0,VLOOKUP($L38,'⚪设计'!$B$85:$H$113,4,FALSE)*$M38)+IF($Q38="",0,VLOOKUP($Q38,'⚪设计'!$B$85:$H$113,4,FALSE)*$R38)+IF($V38="",0,VLOOKUP($V38,'⚪设计'!$B$85:$H$113,4,FALSE)*$W38))*IF(Q38="",0,VLOOKUP(Q38,'⚪设计'!$B$85:$H$113,4,FALSE)),0))</f>
        <v>96</v>
      </c>
      <c r="U38" s="97">
        <f>IF(Q38="","",ROUND(战斗节奏!$B$14/(IF($G38="",0,VLOOKUP($G38,'⚪设计'!$B$85:$H$113,5,FALSE)*$H38)+IF($L38="",0,VLOOKUP($L38,'⚪设计'!$B$85:$H$113,5,FALSE)*$M38)+IF($Q38="",0,VLOOKUP($Q38,'⚪设计'!$B$85:$H$113,5,FALSE)*$R38)+IF($V38="",0,VLOOKUP($V38,'⚪设计'!$B$85:$H$113,5,FALSE)*$W38))*IF(Q38="",0,VLOOKUP(Q38,'⚪设计'!$B$85:$H$113,5,FALSE)),0))</f>
        <v>3</v>
      </c>
      <c r="V38" s="97" t="str">
        <f>IF(VLOOKUP($A38,'⚪设计'!$A$310:$N$333,10,FALSE)="","",VLOOKUP($A38,'⚪设计'!$A$310:$N$333,10,FALSE))</f>
        <v>肉1</v>
      </c>
      <c r="W38" s="97">
        <f t="shared" si="9"/>
        <v>18</v>
      </c>
      <c r="X38" s="97">
        <f>IF(VLOOKUP($A38,'⚪设计'!$A$310:$N$333,14,FALSE)="","",VLOOKUP($A38,'⚪设计'!$A$310:$N$333,14,FALSE))</f>
        <v>1</v>
      </c>
      <c r="Y38" s="97">
        <f>IF(V38="","",ROUND($D38*VLOOKUP($A38,'⚪设计'!$A$310:$N$333,4,FALSE)/(IF($G38="",0,VLOOKUP($G38,'⚪设计'!$B$85:$H$113,4,FALSE)*$H38)+IF($L38="",0,VLOOKUP($L38,'⚪设计'!$B$85:$H$113,4,FALSE)*$M38)+IF($Q38="",0,VLOOKUP($Q38,'⚪设计'!$B$85:$H$113,4,FALSE)*$R38)+IF($V38="",0,VLOOKUP($V38,'⚪设计'!$B$85:$H$113,4,FALSE)*$W38))*IF(V38="",0,VLOOKUP(V38,'⚪设计'!$B$85:$H$113,4,FALSE)),0))</f>
        <v>963</v>
      </c>
      <c r="Z38" s="97">
        <f>IF(V38="","",ROUND(战斗节奏!$B$14/(IF($G38="",0,VLOOKUP($G38,'⚪设计'!$B$85:$H$113,5,FALSE)*$H38)+IF($L38="",0,VLOOKUP($L38,'⚪设计'!$B$85:$H$113,5,FALSE)*$M38)+IF($Q38="",0,VLOOKUP($Q38,'⚪设计'!$B$85:$H$113,5,FALSE)*$R38)+IF($V38="",0,VLOOKUP($V38,'⚪设计'!$B$85:$H$113,5,FALSE)*$W38))*IF(V38="",0,VLOOKUP(V38,'⚪设计'!$B$85:$H$113,5,FALSE)),0))</f>
        <v>26</v>
      </c>
    </row>
    <row r="39" spans="1:26" x14ac:dyDescent="0.2">
      <c r="A39" s="2" t="str">
        <f t="shared" si="5"/>
        <v>2_5</v>
      </c>
      <c r="B39" s="2">
        <v>2</v>
      </c>
      <c r="C39" s="2">
        <v>5</v>
      </c>
      <c r="D39" s="97">
        <f>VLOOKUP(C39,无限模式!$A$3:$B$22,2,FALSE)</f>
        <v>5400</v>
      </c>
      <c r="E39" s="98">
        <v>1</v>
      </c>
      <c r="F39" s="97">
        <f>VLOOKUP(A39,'⚪设计'!$A$310:$N$333,6,FALSE)</f>
        <v>20</v>
      </c>
      <c r="G39" s="97" t="str">
        <f>IF(VLOOKUP($A39,'⚪设计'!$A$310:$N$333,7,FALSE)="","",VLOOKUP($A39,'⚪设计'!$A$310:$N$333,7,FALSE))</f>
        <v>蜘蛛1</v>
      </c>
      <c r="H39" s="97">
        <f t="shared" si="6"/>
        <v>67</v>
      </c>
      <c r="I39" s="97">
        <f>IF(VLOOKUP($A39,'⚪设计'!$A$310:$N$333,11,FALSE)="","",VLOOKUP($A39,'⚪设计'!$A$310:$N$333,11,FALSE))</f>
        <v>0.3</v>
      </c>
      <c r="J39" s="97">
        <f>IF(G39="","",ROUND($D39*VLOOKUP($A39,'⚪设计'!$A$310:$N$333,4,FALSE)/(IF($G39="",0,VLOOKUP($G39,'⚪设计'!$B$85:$H$113,4,FALSE)*$H39)+IF($L39="",0,VLOOKUP($L39,'⚪设计'!$B$85:$H$113,4,FALSE)*$M39)+IF($Q39="",0,VLOOKUP($Q39,'⚪设计'!$B$85:$H$113,4,FALSE)*$R39)+IF($V39="",0,VLOOKUP($V39,'⚪设计'!$B$85:$H$113,4,FALSE)*$W39))*IF(G39="",0,VLOOKUP(G39,'⚪设计'!$B$85:$H$113,4,FALSE)),0))</f>
        <v>88</v>
      </c>
      <c r="K39" s="97">
        <f>IF(G39="","",ROUND(战斗节奏!$B$14/(IF($G39="",0,VLOOKUP($G39,'⚪设计'!$B$85:$H$113,5,FALSE)*$H39)+IF($L39="",0,VLOOKUP($L39,'⚪设计'!$B$85:$H$113,5,FALSE)*$M39)+IF($Q39="",0,VLOOKUP($Q39,'⚪设计'!$B$85:$H$113,5,FALSE)*$R39)+IF($V39="",0,VLOOKUP($V39,'⚪设计'!$B$85:$H$113,5,FALSE)*$W39))*IF(G39="",0,VLOOKUP(G39,'⚪设计'!$B$85:$H$113,5,FALSE)),0))</f>
        <v>1</v>
      </c>
      <c r="L39" s="97" t="str">
        <f>IF(VLOOKUP($A39,'⚪设计'!$A$310:$N$333,8,FALSE)="","",VLOOKUP($A39,'⚪设计'!$A$310:$N$333,8,FALSE))</f>
        <v>蝙蝠1</v>
      </c>
      <c r="M39" s="97">
        <f t="shared" si="7"/>
        <v>100</v>
      </c>
      <c r="N39" s="97">
        <f>IF(VLOOKUP($A39,'⚪设计'!$A$310:$N$333,12,FALSE)="","",VLOOKUP($A39,'⚪设计'!$A$310:$N$333,12,FALSE))</f>
        <v>0.2</v>
      </c>
      <c r="O39" s="97">
        <f>IF(L39="","",ROUND($D39*VLOOKUP($A39,'⚪设计'!$A$310:$N$333,4,FALSE)/(IF($G39="",0,VLOOKUP($G39,'⚪设计'!$B$85:$H$113,4,FALSE)*$H39)+IF($L39="",0,VLOOKUP($L39,'⚪设计'!$B$85:$H$113,4,FALSE)*$M39)+IF($Q39="",0,VLOOKUP($Q39,'⚪设计'!$B$85:$H$113,4,FALSE)*$R39)+IF($V39="",0,VLOOKUP($V39,'⚪设计'!$B$85:$H$113,4,FALSE)*$W39))*IF(L39="",0,VLOOKUP(L39,'⚪设计'!$B$85:$H$113,4,FALSE)),0))</f>
        <v>44</v>
      </c>
      <c r="P39" s="97">
        <f>IF(L39="","",ROUND(战斗节奏!$B$14/(IF($G39="",0,VLOOKUP($G39,'⚪设计'!$B$85:$H$113,5,FALSE)*$H39)+IF($L39="",0,VLOOKUP($L39,'⚪设计'!$B$85:$H$113,5,FALSE)*$M39)+IF($Q39="",0,VLOOKUP($Q39,'⚪设计'!$B$85:$H$113,5,FALSE)*$R39)+IF($V39="",0,VLOOKUP($V39,'⚪设计'!$B$85:$H$113,5,FALSE)*$W39))*IF(L39="",0,VLOOKUP(L39,'⚪设计'!$B$85:$H$113,5,FALSE)),0))</f>
        <v>1</v>
      </c>
      <c r="Q39" s="97" t="str">
        <f>IF(VLOOKUP($A39,'⚪设计'!$A$310:$N$333,9,FALSE)="","",VLOOKUP($A39,'⚪设计'!$A$310:$N$333,9,FALSE))</f>
        <v>蜜蜂2</v>
      </c>
      <c r="R39" s="97">
        <f t="shared" si="8"/>
        <v>40</v>
      </c>
      <c r="S39" s="97">
        <f>IF(VLOOKUP($A39,'⚪设计'!$A$310:$N$333,13,FALSE)="","",VLOOKUP($A39,'⚪设计'!$A$310:$N$333,13,FALSE))</f>
        <v>0.5</v>
      </c>
      <c r="T39" s="97">
        <f>IF(Q39="","",ROUND($D39*VLOOKUP($A39,'⚪设计'!$A$310:$N$333,4,FALSE)/(IF($G39="",0,VLOOKUP($G39,'⚪设计'!$B$85:$H$113,4,FALSE)*$H39)+IF($L39="",0,VLOOKUP($L39,'⚪设计'!$B$85:$H$113,4,FALSE)*$M39)+IF($Q39="",0,VLOOKUP($Q39,'⚪设计'!$B$85:$H$113,4,FALSE)*$R39)+IF($V39="",0,VLOOKUP($V39,'⚪设计'!$B$85:$H$113,4,FALSE)*$W39))*IF(Q39="",0,VLOOKUP(Q39,'⚪设计'!$B$85:$H$113,4,FALSE)),0))</f>
        <v>176</v>
      </c>
      <c r="U39" s="97">
        <f>IF(Q39="","",ROUND(战斗节奏!$B$14/(IF($G39="",0,VLOOKUP($G39,'⚪设计'!$B$85:$H$113,5,FALSE)*$H39)+IF($L39="",0,VLOOKUP($L39,'⚪设计'!$B$85:$H$113,5,FALSE)*$M39)+IF($Q39="",0,VLOOKUP($Q39,'⚪设计'!$B$85:$H$113,5,FALSE)*$R39)+IF($V39="",0,VLOOKUP($V39,'⚪设计'!$B$85:$H$113,5,FALSE)*$W39))*IF(Q39="",0,VLOOKUP(Q39,'⚪设计'!$B$85:$H$113,5,FALSE)),0))</f>
        <v>2</v>
      </c>
      <c r="V39" s="97" t="str">
        <f>IF(VLOOKUP($A39,'⚪设计'!$A$310:$N$333,10,FALSE)="","",VLOOKUP($A39,'⚪设计'!$A$310:$N$333,10,FALSE))</f>
        <v>肉1</v>
      </c>
      <c r="W39" s="97">
        <f t="shared" si="9"/>
        <v>20</v>
      </c>
      <c r="X39" s="97">
        <f>IF(VLOOKUP($A39,'⚪设计'!$A$310:$N$333,14,FALSE)="","",VLOOKUP($A39,'⚪设计'!$A$310:$N$333,14,FALSE))</f>
        <v>1</v>
      </c>
      <c r="Y39" s="97">
        <f>IF(V39="","",ROUND($D39*VLOOKUP($A39,'⚪设计'!$A$310:$N$333,4,FALSE)/(IF($G39="",0,VLOOKUP($G39,'⚪设计'!$B$85:$H$113,4,FALSE)*$H39)+IF($L39="",0,VLOOKUP($L39,'⚪设计'!$B$85:$H$113,4,FALSE)*$M39)+IF($Q39="",0,VLOOKUP($Q39,'⚪设计'!$B$85:$H$113,4,FALSE)*$R39)+IF($V39="",0,VLOOKUP($V39,'⚪设计'!$B$85:$H$113,4,FALSE)*$W39))*IF(V39="",0,VLOOKUP(V39,'⚪设计'!$B$85:$H$113,4,FALSE)),0))</f>
        <v>1764</v>
      </c>
      <c r="Z39" s="97">
        <f>IF(V39="","",ROUND(战斗节奏!$B$14/(IF($G39="",0,VLOOKUP($G39,'⚪设计'!$B$85:$H$113,5,FALSE)*$H39)+IF($L39="",0,VLOOKUP($L39,'⚪设计'!$B$85:$H$113,5,FALSE)*$M39)+IF($Q39="",0,VLOOKUP($Q39,'⚪设计'!$B$85:$H$113,5,FALSE)*$R39)+IF($V39="",0,VLOOKUP($V39,'⚪设计'!$B$85:$H$113,5,FALSE)*$W39))*IF(V39="",0,VLOOKUP(V39,'⚪设计'!$B$85:$H$113,5,FALSE)),0))</f>
        <v>20</v>
      </c>
    </row>
    <row r="40" spans="1:26" x14ac:dyDescent="0.2">
      <c r="A40" s="2" t="str">
        <f t="shared" si="5"/>
        <v>3_1</v>
      </c>
      <c r="B40" s="2">
        <v>3</v>
      </c>
      <c r="C40" s="2">
        <v>1</v>
      </c>
      <c r="D40" s="97">
        <f>VLOOKUP(C40,无限模式!$A$3:$B$22,2,FALSE)</f>
        <v>900</v>
      </c>
      <c r="E40" s="98">
        <v>1</v>
      </c>
      <c r="F40" s="97">
        <f>VLOOKUP(A40,'⚪设计'!$A$310:$N$333,6,FALSE)</f>
        <v>10</v>
      </c>
      <c r="G40" s="97" t="str">
        <f>IF(VLOOKUP($A40,'⚪设计'!$A$310:$N$333,7,FALSE)="","",VLOOKUP($A40,'⚪设计'!$A$310:$N$333,7,FALSE))</f>
        <v>种子1</v>
      </c>
      <c r="H40" s="97">
        <f t="shared" si="6"/>
        <v>5</v>
      </c>
      <c r="I40" s="97">
        <f>IF(VLOOKUP($A40,'⚪设计'!$A$310:$N$333,11,FALSE)="","",VLOOKUP($A40,'⚪设计'!$A$310:$N$333,11,FALSE))</f>
        <v>2</v>
      </c>
      <c r="J40" s="97">
        <f>IF(G40="","",ROUND($D40*VLOOKUP($A40,'⚪设计'!$A$310:$N$333,4,FALSE)/(IF($G40="",0,VLOOKUP($G40,'⚪设计'!$B$85:$H$113,4,FALSE)*$H40)+IF($L40="",0,VLOOKUP($L40,'⚪设计'!$B$85:$H$113,4,FALSE)*$M40)+IF($Q40="",0,VLOOKUP($Q40,'⚪设计'!$B$85:$H$113,4,FALSE)*$R40)+IF($V40="",0,VLOOKUP($V40,'⚪设计'!$B$85:$H$113,4,FALSE)*$W40))*IF(G40="",0,VLOOKUP(G40,'⚪设计'!$B$85:$H$113,4,FALSE)),0))</f>
        <v>20</v>
      </c>
      <c r="K40" s="97">
        <f>IF(G40="","",ROUND(战斗节奏!$B$14/(IF($G40="",0,VLOOKUP($G40,'⚪设计'!$B$85:$H$113,5,FALSE)*$H40)+IF($L40="",0,VLOOKUP($L40,'⚪设计'!$B$85:$H$113,5,FALSE)*$M40)+IF($Q40="",0,VLOOKUP($Q40,'⚪设计'!$B$85:$H$113,5,FALSE)*$R40)+IF($V40="",0,VLOOKUP($V40,'⚪设计'!$B$85:$H$113,5,FALSE)*$W40))*IF(G40="",0,VLOOKUP(G40,'⚪设计'!$B$85:$H$113,5,FALSE)),0))</f>
        <v>8</v>
      </c>
      <c r="L40" s="97" t="str">
        <f>IF(VLOOKUP($A40,'⚪设计'!$A$310:$N$333,8,FALSE)="","",VLOOKUP($A40,'⚪设计'!$A$310:$N$333,8,FALSE))</f>
        <v>肉2</v>
      </c>
      <c r="M40" s="97">
        <f t="shared" si="7"/>
        <v>5</v>
      </c>
      <c r="N40" s="97">
        <f>IF(VLOOKUP($A40,'⚪设计'!$A$310:$N$333,12,FALSE)="","",VLOOKUP($A40,'⚪设计'!$A$310:$N$333,12,FALSE))</f>
        <v>2</v>
      </c>
      <c r="O40" s="97">
        <f>IF(L40="","",ROUND($D40*VLOOKUP($A40,'⚪设计'!$A$310:$N$333,4,FALSE)/(IF($G40="",0,VLOOKUP($G40,'⚪设计'!$B$85:$H$113,4,FALSE)*$H40)+IF($L40="",0,VLOOKUP($L40,'⚪设计'!$B$85:$H$113,4,FALSE)*$M40)+IF($Q40="",0,VLOOKUP($Q40,'⚪设计'!$B$85:$H$113,4,FALSE)*$R40)+IF($V40="",0,VLOOKUP($V40,'⚪设计'!$B$85:$H$113,4,FALSE)*$W40))*IF(L40="",0,VLOOKUP(L40,'⚪设计'!$B$85:$H$113,4,FALSE)),0))</f>
        <v>199</v>
      </c>
      <c r="P40" s="97">
        <f>IF(L40="","",ROUND(战斗节奏!$B$14/(IF($G40="",0,VLOOKUP($G40,'⚪设计'!$B$85:$H$113,5,FALSE)*$H40)+IF($L40="",0,VLOOKUP($L40,'⚪设计'!$B$85:$H$113,5,FALSE)*$M40)+IF($Q40="",0,VLOOKUP($Q40,'⚪设计'!$B$85:$H$113,5,FALSE)*$R40)+IF($V40="",0,VLOOKUP($V40,'⚪设计'!$B$85:$H$113,5,FALSE)*$W40))*IF(L40="",0,VLOOKUP(L40,'⚪设计'!$B$85:$H$113,5,FALSE)),0))</f>
        <v>113</v>
      </c>
      <c r="Q40" s="97" t="str">
        <f>IF(VLOOKUP($A40,'⚪设计'!$A$310:$N$333,9,FALSE)="","",VLOOKUP($A40,'⚪设计'!$A$310:$N$333,9,FALSE))</f>
        <v/>
      </c>
      <c r="R40" s="97" t="str">
        <f t="shared" si="8"/>
        <v/>
      </c>
      <c r="S40" s="97" t="str">
        <f>IF(VLOOKUP($A40,'⚪设计'!$A$310:$N$333,13,FALSE)="","",VLOOKUP($A40,'⚪设计'!$A$310:$N$333,13,FALSE))</f>
        <v/>
      </c>
      <c r="T40" s="97" t="str">
        <f>IF(Q40="","",ROUND($D40*VLOOKUP($A40,'⚪设计'!$A$310:$N$333,4,FALSE)/(IF($G40="",0,VLOOKUP($G40,'⚪设计'!$B$85:$H$113,4,FALSE)*$H40)+IF($L40="",0,VLOOKUP($L40,'⚪设计'!$B$85:$H$113,4,FALSE)*$M40)+IF($Q40="",0,VLOOKUP($Q40,'⚪设计'!$B$85:$H$113,4,FALSE)*$R40)+IF($V40="",0,VLOOKUP($V40,'⚪设计'!$B$85:$H$113,4,FALSE)*$W40))*IF(Q40="",0,VLOOKUP(Q40,'⚪设计'!$B$85:$H$113,4,FALSE)),0))</f>
        <v/>
      </c>
      <c r="U40" s="97" t="str">
        <f>IF(Q40="","",ROUND(战斗节奏!$B$14/(IF($G40="",0,VLOOKUP($G40,'⚪设计'!$B$85:$H$113,5,FALSE)*$H40)+IF($L40="",0,VLOOKUP($L40,'⚪设计'!$B$85:$H$113,5,FALSE)*$M40)+IF($Q40="",0,VLOOKUP($Q40,'⚪设计'!$B$85:$H$113,5,FALSE)*$R40)+IF($V40="",0,VLOOKUP($V40,'⚪设计'!$B$85:$H$113,5,FALSE)*$W40))*IF(Q40="",0,VLOOKUP(Q40,'⚪设计'!$B$85:$H$113,5,FALSE)),0))</f>
        <v/>
      </c>
      <c r="V40" s="97" t="str">
        <f>IF(VLOOKUP($A40,'⚪设计'!$A$310:$N$333,10,FALSE)="","",VLOOKUP($A40,'⚪设计'!$A$310:$N$333,10,FALSE))</f>
        <v/>
      </c>
      <c r="W40" s="97" t="str">
        <f t="shared" si="9"/>
        <v/>
      </c>
      <c r="X40" s="97" t="str">
        <f>IF(VLOOKUP($A40,'⚪设计'!$A$310:$N$333,14,FALSE)="","",VLOOKUP($A40,'⚪设计'!$A$310:$N$333,14,FALSE))</f>
        <v/>
      </c>
      <c r="Y40" s="97" t="str">
        <f>IF(V40="","",ROUND($D40*VLOOKUP($A40,'⚪设计'!$A$310:$N$333,4,FALSE)/(IF($G40="",0,VLOOKUP($G40,'⚪设计'!$B$85:$H$113,4,FALSE)*$H40)+IF($L40="",0,VLOOKUP($L40,'⚪设计'!$B$85:$H$113,4,FALSE)*$M40)+IF($Q40="",0,VLOOKUP($Q40,'⚪设计'!$B$85:$H$113,4,FALSE)*$R40)+IF($V40="",0,VLOOKUP($V40,'⚪设计'!$B$85:$H$113,4,FALSE)*$W40))*IF(V40="",0,VLOOKUP(V40,'⚪设计'!$B$85:$H$113,4,FALSE)),0))</f>
        <v/>
      </c>
      <c r="Z40" s="97" t="str">
        <f>IF(V40="","",ROUND(战斗节奏!$B$14/(IF($G40="",0,VLOOKUP($G40,'⚪设计'!$B$85:$H$113,5,FALSE)*$H40)+IF($L40="",0,VLOOKUP($L40,'⚪设计'!$B$85:$H$113,5,FALSE)*$M40)+IF($Q40="",0,VLOOKUP($Q40,'⚪设计'!$B$85:$H$113,5,FALSE)*$R40)+IF($V40="",0,VLOOKUP($V40,'⚪设计'!$B$85:$H$113,5,FALSE)*$W40))*IF(V40="",0,VLOOKUP(V40,'⚪设计'!$B$85:$H$113,5,FALSE)),0))</f>
        <v/>
      </c>
    </row>
    <row r="41" spans="1:26" x14ac:dyDescent="0.2">
      <c r="A41" s="2" t="str">
        <f t="shared" si="5"/>
        <v>3_2</v>
      </c>
      <c r="B41" s="2">
        <v>3</v>
      </c>
      <c r="C41" s="2">
        <v>2</v>
      </c>
      <c r="D41" s="97">
        <f>VLOOKUP(C41,无限模式!$A$3:$B$22,2,FALSE)</f>
        <v>1800</v>
      </c>
      <c r="E41" s="98">
        <v>1</v>
      </c>
      <c r="F41" s="97">
        <f>VLOOKUP(A41,'⚪设计'!$A$310:$N$333,6,FALSE)</f>
        <v>12.5</v>
      </c>
      <c r="G41" s="97" t="str">
        <f>IF(VLOOKUP($A41,'⚪设计'!$A$310:$N$333,7,FALSE)="","",VLOOKUP($A41,'⚪设计'!$A$310:$N$333,7,FALSE))</f>
        <v>种子1</v>
      </c>
      <c r="H41" s="97">
        <f t="shared" si="6"/>
        <v>6</v>
      </c>
      <c r="I41" s="97">
        <f>IF(VLOOKUP($A41,'⚪设计'!$A$310:$N$333,11,FALSE)="","",VLOOKUP($A41,'⚪设计'!$A$310:$N$333,11,FALSE))</f>
        <v>2</v>
      </c>
      <c r="J41" s="97">
        <f>IF(G41="","",ROUND($D41*VLOOKUP($A41,'⚪设计'!$A$310:$N$333,4,FALSE)/(IF($G41="",0,VLOOKUP($G41,'⚪设计'!$B$85:$H$113,4,FALSE)*$H41)+IF($L41="",0,VLOOKUP($L41,'⚪设计'!$B$85:$H$113,4,FALSE)*$M41)+IF($Q41="",0,VLOOKUP($Q41,'⚪设计'!$B$85:$H$113,4,FALSE)*$R41)+IF($V41="",0,VLOOKUP($V41,'⚪设计'!$B$85:$H$113,4,FALSE)*$W41))*IF(G41="",0,VLOOKUP(G41,'⚪设计'!$B$85:$H$113,4,FALSE)),0))</f>
        <v>62</v>
      </c>
      <c r="K41" s="97">
        <f>IF(G41="","",ROUND(战斗节奏!$B$14/(IF($G41="",0,VLOOKUP($G41,'⚪设计'!$B$85:$H$113,5,FALSE)*$H41)+IF($L41="",0,VLOOKUP($L41,'⚪设计'!$B$85:$H$113,5,FALSE)*$M41)+IF($Q41="",0,VLOOKUP($Q41,'⚪设计'!$B$85:$H$113,5,FALSE)*$R41)+IF($V41="",0,VLOOKUP($V41,'⚪设计'!$B$85:$H$113,5,FALSE)*$W41))*IF(G41="",0,VLOOKUP(G41,'⚪设计'!$B$85:$H$113,5,FALSE)),0))</f>
        <v>6</v>
      </c>
      <c r="L41" s="97" t="str">
        <f>IF(VLOOKUP($A41,'⚪设计'!$A$310:$N$333,8,FALSE)="","",VLOOKUP($A41,'⚪设计'!$A$310:$N$333,8,FALSE))</f>
        <v>蜜蜂2</v>
      </c>
      <c r="M41" s="97">
        <f t="shared" si="7"/>
        <v>6</v>
      </c>
      <c r="N41" s="97">
        <f>IF(VLOOKUP($A41,'⚪设计'!$A$310:$N$333,12,FALSE)="","",VLOOKUP($A41,'⚪设计'!$A$310:$N$333,12,FALSE))</f>
        <v>2</v>
      </c>
      <c r="O41" s="97">
        <f>IF(L41="","",ROUND($D41*VLOOKUP($A41,'⚪设计'!$A$310:$N$333,4,FALSE)/(IF($G41="",0,VLOOKUP($G41,'⚪设计'!$B$85:$H$113,4,FALSE)*$H41)+IF($L41="",0,VLOOKUP($L41,'⚪设计'!$B$85:$H$113,4,FALSE)*$M41)+IF($Q41="",0,VLOOKUP($Q41,'⚪设计'!$B$85:$H$113,4,FALSE)*$R41)+IF($V41="",0,VLOOKUP($V41,'⚪设计'!$B$85:$H$113,4,FALSE)*$W41))*IF(L41="",0,VLOOKUP(L41,'⚪设计'!$B$85:$H$113,4,FALSE)),0))</f>
        <v>41</v>
      </c>
      <c r="P41" s="97">
        <f>IF(L41="","",ROUND(战斗节奏!$B$14/(IF($G41="",0,VLOOKUP($G41,'⚪设计'!$B$85:$H$113,5,FALSE)*$H41)+IF($L41="",0,VLOOKUP($L41,'⚪设计'!$B$85:$H$113,5,FALSE)*$M41)+IF($Q41="",0,VLOOKUP($Q41,'⚪设计'!$B$85:$H$113,5,FALSE)*$R41)+IF($V41="",0,VLOOKUP($V41,'⚪设计'!$B$85:$H$113,5,FALSE)*$W41))*IF(L41="",0,VLOOKUP(L41,'⚪设计'!$B$85:$H$113,5,FALSE)),0))</f>
        <v>6</v>
      </c>
      <c r="Q41" s="97" t="str">
        <f>IF(VLOOKUP($A41,'⚪设计'!$A$310:$N$333,9,FALSE)="","",VLOOKUP($A41,'⚪设计'!$A$310:$N$333,9,FALSE))</f>
        <v>肉2</v>
      </c>
      <c r="R41" s="97">
        <f t="shared" si="8"/>
        <v>6</v>
      </c>
      <c r="S41" s="97">
        <f>IF(VLOOKUP($A41,'⚪设计'!$A$310:$N$333,13,FALSE)="","",VLOOKUP($A41,'⚪设计'!$A$310:$N$333,13,FALSE))</f>
        <v>2</v>
      </c>
      <c r="T41" s="97">
        <f>IF(Q41="","",ROUND($D41*VLOOKUP($A41,'⚪设计'!$A$310:$N$333,4,FALSE)/(IF($G41="",0,VLOOKUP($G41,'⚪设计'!$B$85:$H$113,4,FALSE)*$H41)+IF($L41="",0,VLOOKUP($L41,'⚪设计'!$B$85:$H$113,4,FALSE)*$M41)+IF($Q41="",0,VLOOKUP($Q41,'⚪设计'!$B$85:$H$113,4,FALSE)*$R41)+IF($V41="",0,VLOOKUP($V41,'⚪设计'!$B$85:$H$113,4,FALSE)*$W41))*IF(Q41="",0,VLOOKUP(Q41,'⚪设计'!$B$85:$H$113,4,FALSE)),0))</f>
        <v>617</v>
      </c>
      <c r="U41" s="97">
        <f>IF(Q41="","",ROUND(战斗节奏!$B$14/(IF($G41="",0,VLOOKUP($G41,'⚪设计'!$B$85:$H$113,5,FALSE)*$H41)+IF($L41="",0,VLOOKUP($L41,'⚪设计'!$B$85:$H$113,5,FALSE)*$M41)+IF($Q41="",0,VLOOKUP($Q41,'⚪设计'!$B$85:$H$113,5,FALSE)*$R41)+IF($V41="",0,VLOOKUP($V41,'⚪设计'!$B$85:$H$113,5,FALSE)*$W41))*IF(Q41="",0,VLOOKUP(Q41,'⚪设计'!$B$85:$H$113,5,FALSE)),0))</f>
        <v>88</v>
      </c>
      <c r="V41" s="97" t="str">
        <f>IF(VLOOKUP($A41,'⚪设计'!$A$310:$N$333,10,FALSE)="","",VLOOKUP($A41,'⚪设计'!$A$310:$N$333,10,FALSE))</f>
        <v/>
      </c>
      <c r="W41" s="97" t="str">
        <f t="shared" si="9"/>
        <v/>
      </c>
      <c r="X41" s="97" t="str">
        <f>IF(VLOOKUP($A41,'⚪设计'!$A$310:$N$333,14,FALSE)="","",VLOOKUP($A41,'⚪设计'!$A$310:$N$333,14,FALSE))</f>
        <v/>
      </c>
      <c r="Y41" s="97" t="str">
        <f>IF(V41="","",ROUND($D41*VLOOKUP($A41,'⚪设计'!$A$310:$N$333,4,FALSE)/(IF($G41="",0,VLOOKUP($G41,'⚪设计'!$B$85:$H$113,4,FALSE)*$H41)+IF($L41="",0,VLOOKUP($L41,'⚪设计'!$B$85:$H$113,4,FALSE)*$M41)+IF($Q41="",0,VLOOKUP($Q41,'⚪设计'!$B$85:$H$113,4,FALSE)*$R41)+IF($V41="",0,VLOOKUP($V41,'⚪设计'!$B$85:$H$113,4,FALSE)*$W41))*IF(V41="",0,VLOOKUP(V41,'⚪设计'!$B$85:$H$113,4,FALSE)),0))</f>
        <v/>
      </c>
      <c r="Z41" s="97" t="str">
        <f>IF(V41="","",ROUND(战斗节奏!$B$14/(IF($G41="",0,VLOOKUP($G41,'⚪设计'!$B$85:$H$113,5,FALSE)*$H41)+IF($L41="",0,VLOOKUP($L41,'⚪设计'!$B$85:$H$113,5,FALSE)*$M41)+IF($Q41="",0,VLOOKUP($Q41,'⚪设计'!$B$85:$H$113,5,FALSE)*$R41)+IF($V41="",0,VLOOKUP($V41,'⚪设计'!$B$85:$H$113,5,FALSE)*$W41))*IF(V41="",0,VLOOKUP(V41,'⚪设计'!$B$85:$H$113,5,FALSE)),0))</f>
        <v/>
      </c>
    </row>
    <row r="42" spans="1:26" x14ac:dyDescent="0.2">
      <c r="A42" s="2" t="str">
        <f t="shared" si="5"/>
        <v>3_3</v>
      </c>
      <c r="B42" s="2">
        <v>3</v>
      </c>
      <c r="C42" s="2">
        <v>3</v>
      </c>
      <c r="D42" s="97">
        <f>VLOOKUP(C42,无限模式!$A$3:$B$22,2,FALSE)</f>
        <v>3600</v>
      </c>
      <c r="E42" s="98">
        <v>1</v>
      </c>
      <c r="F42" s="97">
        <f>VLOOKUP(A42,'⚪设计'!$A$310:$N$333,6,FALSE)</f>
        <v>15</v>
      </c>
      <c r="G42" s="97" t="str">
        <f>IF(VLOOKUP($A42,'⚪设计'!$A$310:$N$333,7,FALSE)="","",VLOOKUP($A42,'⚪设计'!$A$310:$N$333,7,FALSE))</f>
        <v>种子1</v>
      </c>
      <c r="H42" s="97">
        <f t="shared" si="6"/>
        <v>8</v>
      </c>
      <c r="I42" s="97">
        <f>IF(VLOOKUP($A42,'⚪设计'!$A$310:$N$333,11,FALSE)="","",VLOOKUP($A42,'⚪设计'!$A$310:$N$333,11,FALSE))</f>
        <v>2</v>
      </c>
      <c r="J42" s="97">
        <f>IF(G42="","",ROUND($D42*VLOOKUP($A42,'⚪设计'!$A$310:$N$333,4,FALSE)/(IF($G42="",0,VLOOKUP($G42,'⚪设计'!$B$85:$H$113,4,FALSE)*$H42)+IF($L42="",0,VLOOKUP($L42,'⚪设计'!$B$85:$H$113,4,FALSE)*$M42)+IF($Q42="",0,VLOOKUP($Q42,'⚪设计'!$B$85:$H$113,4,FALSE)*$R42)+IF($V42="",0,VLOOKUP($V42,'⚪设计'!$B$85:$H$113,4,FALSE)*$W42))*IF(G42="",0,VLOOKUP(G42,'⚪设计'!$B$85:$H$113,4,FALSE)),0))</f>
        <v>239</v>
      </c>
      <c r="K42" s="97">
        <f>IF(G42="","",ROUND(战斗节奏!$B$14/(IF($G42="",0,VLOOKUP($G42,'⚪设计'!$B$85:$H$113,5,FALSE)*$H42)+IF($L42="",0,VLOOKUP($L42,'⚪设计'!$B$85:$H$113,5,FALSE)*$M42)+IF($Q42="",0,VLOOKUP($Q42,'⚪设计'!$B$85:$H$113,5,FALSE)*$R42)+IF($V42="",0,VLOOKUP($V42,'⚪设计'!$B$85:$H$113,5,FALSE)*$W42))*IF(G42="",0,VLOOKUP(G42,'⚪设计'!$B$85:$H$113,5,FALSE)),0))</f>
        <v>5</v>
      </c>
      <c r="L42" s="97" t="str">
        <f>IF(VLOOKUP($A42,'⚪设计'!$A$310:$N$333,8,FALSE)="","",VLOOKUP($A42,'⚪设计'!$A$310:$N$333,8,FALSE))</f>
        <v>蝙蝠1</v>
      </c>
      <c r="M42" s="97">
        <f t="shared" si="7"/>
        <v>15</v>
      </c>
      <c r="N42" s="97">
        <f>IF(VLOOKUP($A42,'⚪设计'!$A$310:$N$333,12,FALSE)="","",VLOOKUP($A42,'⚪设计'!$A$310:$N$333,12,FALSE))</f>
        <v>1</v>
      </c>
      <c r="O42" s="97">
        <f>IF(L42="","",ROUND($D42*VLOOKUP($A42,'⚪设计'!$A$310:$N$333,4,FALSE)/(IF($G42="",0,VLOOKUP($G42,'⚪设计'!$B$85:$H$113,4,FALSE)*$H42)+IF($L42="",0,VLOOKUP($L42,'⚪设计'!$B$85:$H$113,4,FALSE)*$M42)+IF($Q42="",0,VLOOKUP($Q42,'⚪设计'!$B$85:$H$113,4,FALSE)*$R42)+IF($V42="",0,VLOOKUP($V42,'⚪设计'!$B$85:$H$113,4,FALSE)*$W42))*IF(L42="",0,VLOOKUP(L42,'⚪设计'!$B$85:$H$113,4,FALSE)),0))</f>
        <v>40</v>
      </c>
      <c r="P42" s="97">
        <f>IF(L42="","",ROUND(战斗节奏!$B$14/(IF($G42="",0,VLOOKUP($G42,'⚪设计'!$B$85:$H$113,5,FALSE)*$H42)+IF($L42="",0,VLOOKUP($L42,'⚪设计'!$B$85:$H$113,5,FALSE)*$M42)+IF($Q42="",0,VLOOKUP($Q42,'⚪设计'!$B$85:$H$113,5,FALSE)*$R42)+IF($V42="",0,VLOOKUP($V42,'⚪设计'!$B$85:$H$113,5,FALSE)*$W42))*IF(L42="",0,VLOOKUP(L42,'⚪设计'!$B$85:$H$113,5,FALSE)),0))</f>
        <v>1</v>
      </c>
      <c r="Q42" s="97" t="str">
        <f>IF(VLOOKUP($A42,'⚪设计'!$A$310:$N$333,9,FALSE)="","",VLOOKUP($A42,'⚪设计'!$A$310:$N$333,9,FALSE))</f>
        <v>肉2</v>
      </c>
      <c r="R42" s="97">
        <f t="shared" si="8"/>
        <v>8</v>
      </c>
      <c r="S42" s="97">
        <f>IF(VLOOKUP($A42,'⚪设计'!$A$310:$N$333,13,FALSE)="","",VLOOKUP($A42,'⚪设计'!$A$310:$N$333,13,FALSE))</f>
        <v>2</v>
      </c>
      <c r="T42" s="97">
        <f>IF(Q42="","",ROUND($D42*VLOOKUP($A42,'⚪设计'!$A$310:$N$333,4,FALSE)/(IF($G42="",0,VLOOKUP($G42,'⚪设计'!$B$85:$H$113,4,FALSE)*$H42)+IF($L42="",0,VLOOKUP($L42,'⚪设计'!$B$85:$H$113,4,FALSE)*$M42)+IF($Q42="",0,VLOOKUP($Q42,'⚪设计'!$B$85:$H$113,4,FALSE)*$R42)+IF($V42="",0,VLOOKUP($V42,'⚪设计'!$B$85:$H$113,4,FALSE)*$W42))*IF(Q42="",0,VLOOKUP(Q42,'⚪设计'!$B$85:$H$113,4,FALSE)),0))</f>
        <v>2387</v>
      </c>
      <c r="U42" s="97">
        <f>IF(Q42="","",ROUND(战斗节奏!$B$14/(IF($G42="",0,VLOOKUP($G42,'⚪设计'!$B$85:$H$113,5,FALSE)*$H42)+IF($L42="",0,VLOOKUP($L42,'⚪设计'!$B$85:$H$113,5,FALSE)*$M42)+IF($Q42="",0,VLOOKUP($Q42,'⚪设计'!$B$85:$H$113,5,FALSE)*$R42)+IF($V42="",0,VLOOKUP($V42,'⚪设计'!$B$85:$H$113,5,FALSE)*$W42))*IF(Q42="",0,VLOOKUP(Q42,'⚪设计'!$B$85:$H$113,5,FALSE)),0))</f>
        <v>68</v>
      </c>
      <c r="V42" s="97" t="str">
        <f>IF(VLOOKUP($A42,'⚪设计'!$A$310:$N$333,10,FALSE)="","",VLOOKUP($A42,'⚪设计'!$A$310:$N$333,10,FALSE))</f>
        <v/>
      </c>
      <c r="W42" s="97" t="str">
        <f t="shared" si="9"/>
        <v/>
      </c>
      <c r="X42" s="97" t="str">
        <f>IF(VLOOKUP($A42,'⚪设计'!$A$310:$N$333,14,FALSE)="","",VLOOKUP($A42,'⚪设计'!$A$310:$N$333,14,FALSE))</f>
        <v/>
      </c>
      <c r="Y42" s="97" t="str">
        <f>IF(V42="","",ROUND($D42*VLOOKUP($A42,'⚪设计'!$A$310:$N$333,4,FALSE)/(IF($G42="",0,VLOOKUP($G42,'⚪设计'!$B$85:$H$113,4,FALSE)*$H42)+IF($L42="",0,VLOOKUP($L42,'⚪设计'!$B$85:$H$113,4,FALSE)*$M42)+IF($Q42="",0,VLOOKUP($Q42,'⚪设计'!$B$85:$H$113,4,FALSE)*$R42)+IF($V42="",0,VLOOKUP($V42,'⚪设计'!$B$85:$H$113,4,FALSE)*$W42))*IF(V42="",0,VLOOKUP(V42,'⚪设计'!$B$85:$H$113,4,FALSE)),0))</f>
        <v/>
      </c>
      <c r="Z42" s="97" t="str">
        <f>IF(V42="","",ROUND(战斗节奏!$B$14/(IF($G42="",0,VLOOKUP($G42,'⚪设计'!$B$85:$H$113,5,FALSE)*$H42)+IF($L42="",0,VLOOKUP($L42,'⚪设计'!$B$85:$H$113,5,FALSE)*$M42)+IF($Q42="",0,VLOOKUP($Q42,'⚪设计'!$B$85:$H$113,5,FALSE)*$R42)+IF($V42="",0,VLOOKUP($V42,'⚪设计'!$B$85:$H$113,5,FALSE)*$W42))*IF(V42="",0,VLOOKUP(V42,'⚪设计'!$B$85:$H$113,5,FALSE)),0))</f>
        <v/>
      </c>
    </row>
    <row r="43" spans="1:26" x14ac:dyDescent="0.2">
      <c r="A43" s="2" t="str">
        <f t="shared" si="5"/>
        <v>4_1</v>
      </c>
      <c r="B43" s="2">
        <v>4</v>
      </c>
      <c r="C43" s="2">
        <v>1</v>
      </c>
      <c r="D43" s="97">
        <f>VLOOKUP(C43,无限模式!$A$3:$B$22,2,FALSE)</f>
        <v>900</v>
      </c>
      <c r="E43" s="98">
        <v>1</v>
      </c>
      <c r="F43" s="97">
        <f>VLOOKUP(A43,'⚪设计'!$A$310:$N$333,6,FALSE)</f>
        <v>10</v>
      </c>
      <c r="G43" s="97" t="str">
        <f>IF(VLOOKUP($A43,'⚪设计'!$A$310:$N$333,7,FALSE)="","",VLOOKUP($A43,'⚪设计'!$A$310:$N$333,7,FALSE))</f>
        <v>鬼1</v>
      </c>
      <c r="H43" s="97">
        <f t="shared" si="6"/>
        <v>7</v>
      </c>
      <c r="I43" s="97">
        <f>IF(VLOOKUP($A43,'⚪设计'!$A$310:$N$333,11,FALSE)="","",VLOOKUP($A43,'⚪设计'!$A$310:$N$333,11,FALSE))</f>
        <v>1.5</v>
      </c>
      <c r="J43" s="97">
        <f>IF(G43="","",ROUND($D43*VLOOKUP($A43,'⚪设计'!$A$310:$N$333,4,FALSE)/(IF($G43="",0,VLOOKUP($G43,'⚪设计'!$B$85:$H$113,4,FALSE)*$H43)+IF($L43="",0,VLOOKUP($L43,'⚪设计'!$B$85:$H$113,4,FALSE)*$M43)+IF($Q43="",0,VLOOKUP($Q43,'⚪设计'!$B$85:$H$113,4,FALSE)*$R43)+IF($V43="",0,VLOOKUP($V43,'⚪设计'!$B$85:$H$113,4,FALSE)*$W43))*IF(G43="",0,VLOOKUP(G43,'⚪设计'!$B$85:$H$113,4,FALSE)),0))</f>
        <v>14</v>
      </c>
      <c r="K43" s="97">
        <f>IF(G43="","",ROUND(战斗节奏!$B$14/(IF($G43="",0,VLOOKUP($G43,'⚪设计'!$B$85:$H$113,5,FALSE)*$H43)+IF($L43="",0,VLOOKUP($L43,'⚪设计'!$B$85:$H$113,5,FALSE)*$M43)+IF($Q43="",0,VLOOKUP($Q43,'⚪设计'!$B$85:$H$113,5,FALSE)*$R43)+IF($V43="",0,VLOOKUP($V43,'⚪设计'!$B$85:$H$113,5,FALSE)*$W43))*IF(G43="",0,VLOOKUP(G43,'⚪设计'!$B$85:$H$113,5,FALSE)),0))</f>
        <v>4</v>
      </c>
      <c r="L43" s="97" t="str">
        <f>IF(VLOOKUP($A43,'⚪设计'!$A$310:$N$333,8,FALSE)="","",VLOOKUP($A43,'⚪设计'!$A$310:$N$333,8,FALSE))</f>
        <v>肉2</v>
      </c>
      <c r="M43" s="97">
        <f t="shared" si="7"/>
        <v>5</v>
      </c>
      <c r="N43" s="97">
        <f>IF(VLOOKUP($A43,'⚪设计'!$A$310:$N$333,12,FALSE)="","",VLOOKUP($A43,'⚪设计'!$A$310:$N$333,12,FALSE))</f>
        <v>2</v>
      </c>
      <c r="O43" s="97">
        <f>IF(L43="","",ROUND($D43*VLOOKUP($A43,'⚪设计'!$A$310:$N$333,4,FALSE)/(IF($G43="",0,VLOOKUP($G43,'⚪设计'!$B$85:$H$113,4,FALSE)*$H43)+IF($L43="",0,VLOOKUP($L43,'⚪设计'!$B$85:$H$113,4,FALSE)*$M43)+IF($Q43="",0,VLOOKUP($Q43,'⚪设计'!$B$85:$H$113,4,FALSE)*$R43)+IF($V43="",0,VLOOKUP($V43,'⚪设计'!$B$85:$H$113,4,FALSE)*$W43))*IF(L43="",0,VLOOKUP(L43,'⚪设计'!$B$85:$H$113,4,FALSE)),0))</f>
        <v>430</v>
      </c>
      <c r="P43" s="97">
        <f>IF(L43="","",ROUND(战斗节奏!$B$14/(IF($G43="",0,VLOOKUP($G43,'⚪设计'!$B$85:$H$113,5,FALSE)*$H43)+IF($L43="",0,VLOOKUP($L43,'⚪设计'!$B$85:$H$113,5,FALSE)*$M43)+IF($Q43="",0,VLOOKUP($Q43,'⚪设计'!$B$85:$H$113,5,FALSE)*$R43)+IF($V43="",0,VLOOKUP($V43,'⚪设计'!$B$85:$H$113,5,FALSE)*$W43))*IF(L43="",0,VLOOKUP(L43,'⚪设计'!$B$85:$H$113,5,FALSE)),0))</f>
        <v>115</v>
      </c>
      <c r="Q43" s="97" t="str">
        <f>IF(VLOOKUP($A43,'⚪设计'!$A$310:$N$333,9,FALSE)="","",VLOOKUP($A43,'⚪设计'!$A$310:$N$333,9,FALSE))</f>
        <v/>
      </c>
      <c r="R43" s="97" t="str">
        <f t="shared" si="8"/>
        <v/>
      </c>
      <c r="S43" s="97" t="str">
        <f>IF(VLOOKUP($A43,'⚪设计'!$A$310:$N$333,13,FALSE)="","",VLOOKUP($A43,'⚪设计'!$A$310:$N$333,13,FALSE))</f>
        <v/>
      </c>
      <c r="T43" s="97" t="str">
        <f>IF(Q43="","",ROUND($D43*VLOOKUP($A43,'⚪设计'!$A$310:$N$333,4,FALSE)/(IF($G43="",0,VLOOKUP($G43,'⚪设计'!$B$85:$H$113,4,FALSE)*$H43)+IF($L43="",0,VLOOKUP($L43,'⚪设计'!$B$85:$H$113,4,FALSE)*$M43)+IF($Q43="",0,VLOOKUP($Q43,'⚪设计'!$B$85:$H$113,4,FALSE)*$R43)+IF($V43="",0,VLOOKUP($V43,'⚪设计'!$B$85:$H$113,4,FALSE)*$W43))*IF(Q43="",0,VLOOKUP(Q43,'⚪设计'!$B$85:$H$113,4,FALSE)),0))</f>
        <v/>
      </c>
      <c r="U43" s="97" t="str">
        <f>IF(Q43="","",ROUND(战斗节奏!$B$14/(IF($G43="",0,VLOOKUP($G43,'⚪设计'!$B$85:$H$113,5,FALSE)*$H43)+IF($L43="",0,VLOOKUP($L43,'⚪设计'!$B$85:$H$113,5,FALSE)*$M43)+IF($Q43="",0,VLOOKUP($Q43,'⚪设计'!$B$85:$H$113,5,FALSE)*$R43)+IF($V43="",0,VLOOKUP($V43,'⚪设计'!$B$85:$H$113,5,FALSE)*$W43))*IF(Q43="",0,VLOOKUP(Q43,'⚪设计'!$B$85:$H$113,5,FALSE)),0))</f>
        <v/>
      </c>
      <c r="V43" s="97" t="str">
        <f>IF(VLOOKUP($A43,'⚪设计'!$A$310:$N$333,10,FALSE)="","",VLOOKUP($A43,'⚪设计'!$A$310:$N$333,10,FALSE))</f>
        <v/>
      </c>
      <c r="W43" s="97" t="str">
        <f t="shared" si="9"/>
        <v/>
      </c>
      <c r="X43" s="97" t="str">
        <f>IF(VLOOKUP($A43,'⚪设计'!$A$310:$N$333,14,FALSE)="","",VLOOKUP($A43,'⚪设计'!$A$310:$N$333,14,FALSE))</f>
        <v/>
      </c>
      <c r="Y43" s="97" t="str">
        <f>IF(V43="","",ROUND($D43*VLOOKUP($A43,'⚪设计'!$A$310:$N$333,4,FALSE)/(IF($G43="",0,VLOOKUP($G43,'⚪设计'!$B$85:$H$113,4,FALSE)*$H43)+IF($L43="",0,VLOOKUP($L43,'⚪设计'!$B$85:$H$113,4,FALSE)*$M43)+IF($Q43="",0,VLOOKUP($Q43,'⚪设计'!$B$85:$H$113,4,FALSE)*$R43)+IF($V43="",0,VLOOKUP($V43,'⚪设计'!$B$85:$H$113,4,FALSE)*$W43))*IF(V43="",0,VLOOKUP(V43,'⚪设计'!$B$85:$H$113,4,FALSE)),0))</f>
        <v/>
      </c>
      <c r="Z43" s="97" t="str">
        <f>IF(V43="","",ROUND(战斗节奏!$B$14/(IF($G43="",0,VLOOKUP($G43,'⚪设计'!$B$85:$H$113,5,FALSE)*$H43)+IF($L43="",0,VLOOKUP($L43,'⚪设计'!$B$85:$H$113,5,FALSE)*$M43)+IF($Q43="",0,VLOOKUP($Q43,'⚪设计'!$B$85:$H$113,5,FALSE)*$R43)+IF($V43="",0,VLOOKUP($V43,'⚪设计'!$B$85:$H$113,5,FALSE)*$W43))*IF(V43="",0,VLOOKUP(V43,'⚪设计'!$B$85:$H$113,5,FALSE)),0))</f>
        <v/>
      </c>
    </row>
    <row r="44" spans="1:26" x14ac:dyDescent="0.2">
      <c r="A44" s="2" t="str">
        <f t="shared" si="5"/>
        <v>4_2</v>
      </c>
      <c r="B44" s="2">
        <v>4</v>
      </c>
      <c r="C44" s="2">
        <v>2</v>
      </c>
      <c r="D44" s="97">
        <f>VLOOKUP(C44,无限模式!$A$3:$B$22,2,FALSE)</f>
        <v>1800</v>
      </c>
      <c r="E44" s="98">
        <v>1</v>
      </c>
      <c r="F44" s="97">
        <f>VLOOKUP(A44,'⚪设计'!$A$310:$N$333,6,FALSE)</f>
        <v>12.5</v>
      </c>
      <c r="G44" s="97" t="str">
        <f>IF(VLOOKUP($A44,'⚪设计'!$A$310:$N$333,7,FALSE)="","",VLOOKUP($A44,'⚪设计'!$A$310:$N$333,7,FALSE))</f>
        <v>鬼1</v>
      </c>
      <c r="H44" s="97">
        <f t="shared" si="6"/>
        <v>8</v>
      </c>
      <c r="I44" s="97">
        <f>IF(VLOOKUP($A44,'⚪设计'!$A$310:$N$333,11,FALSE)="","",VLOOKUP($A44,'⚪设计'!$A$310:$N$333,11,FALSE))</f>
        <v>1.5</v>
      </c>
      <c r="J44" s="97">
        <f>IF(G44="","",ROUND($D44*VLOOKUP($A44,'⚪设计'!$A$310:$N$333,4,FALSE)/(IF($G44="",0,VLOOKUP($G44,'⚪设计'!$B$85:$H$113,4,FALSE)*$H44)+IF($L44="",0,VLOOKUP($L44,'⚪设计'!$B$85:$H$113,4,FALSE)*$M44)+IF($Q44="",0,VLOOKUP($Q44,'⚪设计'!$B$85:$H$113,4,FALSE)*$R44)+IF($V44="",0,VLOOKUP($V44,'⚪设计'!$B$85:$H$113,4,FALSE)*$W44))*IF(G44="",0,VLOOKUP(G44,'⚪设计'!$B$85:$H$113,4,FALSE)),0))</f>
        <v>76</v>
      </c>
      <c r="K44" s="97">
        <f>IF(G44="","",ROUND(战斗节奏!$B$14/(IF($G44="",0,VLOOKUP($G44,'⚪设计'!$B$85:$H$113,5,FALSE)*$H44)+IF($L44="",0,VLOOKUP($L44,'⚪设计'!$B$85:$H$113,5,FALSE)*$M44)+IF($Q44="",0,VLOOKUP($Q44,'⚪设计'!$B$85:$H$113,5,FALSE)*$R44)+IF($V44="",0,VLOOKUP($V44,'⚪设计'!$B$85:$H$113,5,FALSE)*$W44))*IF(G44="",0,VLOOKUP(G44,'⚪设计'!$B$85:$H$113,5,FALSE)),0))</f>
        <v>3</v>
      </c>
      <c r="L44" s="97" t="str">
        <f>IF(VLOOKUP($A44,'⚪设计'!$A$310:$N$333,8,FALSE)="","",VLOOKUP($A44,'⚪设计'!$A$310:$N$333,8,FALSE))</f>
        <v>蜜蜂2</v>
      </c>
      <c r="M44" s="97">
        <f t="shared" si="7"/>
        <v>25</v>
      </c>
      <c r="N44" s="97">
        <f>IF(VLOOKUP($A44,'⚪设计'!$A$310:$N$333,12,FALSE)="","",VLOOKUP($A44,'⚪设计'!$A$310:$N$333,12,FALSE))</f>
        <v>0.5</v>
      </c>
      <c r="O44" s="97">
        <f>IF(L44="","",ROUND($D44*VLOOKUP($A44,'⚪设计'!$A$310:$N$333,4,FALSE)/(IF($G44="",0,VLOOKUP($G44,'⚪设计'!$B$85:$H$113,4,FALSE)*$H44)+IF($L44="",0,VLOOKUP($L44,'⚪设计'!$B$85:$H$113,4,FALSE)*$M44)+IF($Q44="",0,VLOOKUP($Q44,'⚪设计'!$B$85:$H$113,4,FALSE)*$R44)+IF($V44="",0,VLOOKUP($V44,'⚪设计'!$B$85:$H$113,4,FALSE)*$W44))*IF(L44="",0,VLOOKUP(L44,'⚪设计'!$B$85:$H$113,4,FALSE)),0))</f>
        <v>151</v>
      </c>
      <c r="P44" s="97">
        <f>IF(L44="","",ROUND(战斗节奏!$B$14/(IF($G44="",0,VLOOKUP($G44,'⚪设计'!$B$85:$H$113,5,FALSE)*$H44)+IF($L44="",0,VLOOKUP($L44,'⚪设计'!$B$85:$H$113,5,FALSE)*$M44)+IF($Q44="",0,VLOOKUP($Q44,'⚪设计'!$B$85:$H$113,5,FALSE)*$R44)+IF($V44="",0,VLOOKUP($V44,'⚪设计'!$B$85:$H$113,5,FALSE)*$W44))*IF(L44="",0,VLOOKUP(L44,'⚪设计'!$B$85:$H$113,5,FALSE)),0))</f>
        <v>5</v>
      </c>
      <c r="Q44" s="97" t="str">
        <f>IF(VLOOKUP($A44,'⚪设计'!$A$310:$N$333,9,FALSE)="","",VLOOKUP($A44,'⚪设计'!$A$310:$N$333,9,FALSE))</f>
        <v>肉2</v>
      </c>
      <c r="R44" s="97">
        <f t="shared" si="8"/>
        <v>6</v>
      </c>
      <c r="S44" s="97">
        <f>IF(VLOOKUP($A44,'⚪设计'!$A$310:$N$333,13,FALSE)="","",VLOOKUP($A44,'⚪设计'!$A$310:$N$333,13,FALSE))</f>
        <v>2</v>
      </c>
      <c r="T44" s="97">
        <f>IF(Q44="","",ROUND($D44*VLOOKUP($A44,'⚪设计'!$A$310:$N$333,4,FALSE)/(IF($G44="",0,VLOOKUP($G44,'⚪设计'!$B$85:$H$113,4,FALSE)*$H44)+IF($L44="",0,VLOOKUP($L44,'⚪设计'!$B$85:$H$113,4,FALSE)*$M44)+IF($Q44="",0,VLOOKUP($Q44,'⚪设计'!$B$85:$H$113,4,FALSE)*$R44)+IF($V44="",0,VLOOKUP($V44,'⚪设计'!$B$85:$H$113,4,FALSE)*$W44))*IF(Q44="",0,VLOOKUP(Q44,'⚪设计'!$B$85:$H$113,4,FALSE)),0))</f>
        <v>2269</v>
      </c>
      <c r="U44" s="97">
        <f>IF(Q44="","",ROUND(战斗节奏!$B$14/(IF($G44="",0,VLOOKUP($G44,'⚪设计'!$B$85:$H$113,5,FALSE)*$H44)+IF($L44="",0,VLOOKUP($L44,'⚪设计'!$B$85:$H$113,5,FALSE)*$M44)+IF($Q44="",0,VLOOKUP($Q44,'⚪设计'!$B$85:$H$113,5,FALSE)*$R44)+IF($V44="",0,VLOOKUP($V44,'⚪设计'!$B$85:$H$113,5,FALSE)*$W44))*IF(Q44="",0,VLOOKUP(Q44,'⚪设计'!$B$85:$H$113,5,FALSE)),0))</f>
        <v>76</v>
      </c>
      <c r="V44" s="97" t="str">
        <f>IF(VLOOKUP($A44,'⚪设计'!$A$310:$N$333,10,FALSE)="","",VLOOKUP($A44,'⚪设计'!$A$310:$N$333,10,FALSE))</f>
        <v/>
      </c>
      <c r="W44" s="97" t="str">
        <f t="shared" si="9"/>
        <v/>
      </c>
      <c r="X44" s="97" t="str">
        <f>IF(VLOOKUP($A44,'⚪设计'!$A$310:$N$333,14,FALSE)="","",VLOOKUP($A44,'⚪设计'!$A$310:$N$333,14,FALSE))</f>
        <v/>
      </c>
      <c r="Y44" s="97" t="str">
        <f>IF(V44="","",ROUND($D44*VLOOKUP($A44,'⚪设计'!$A$310:$N$333,4,FALSE)/(IF($G44="",0,VLOOKUP($G44,'⚪设计'!$B$85:$H$113,4,FALSE)*$H44)+IF($L44="",0,VLOOKUP($L44,'⚪设计'!$B$85:$H$113,4,FALSE)*$M44)+IF($Q44="",0,VLOOKUP($Q44,'⚪设计'!$B$85:$H$113,4,FALSE)*$R44)+IF($V44="",0,VLOOKUP($V44,'⚪设计'!$B$85:$H$113,4,FALSE)*$W44))*IF(V44="",0,VLOOKUP(V44,'⚪设计'!$B$85:$H$113,4,FALSE)),0))</f>
        <v/>
      </c>
      <c r="Z44" s="97" t="str">
        <f>IF(V44="","",ROUND(战斗节奏!$B$14/(IF($G44="",0,VLOOKUP($G44,'⚪设计'!$B$85:$H$113,5,FALSE)*$H44)+IF($L44="",0,VLOOKUP($L44,'⚪设计'!$B$85:$H$113,5,FALSE)*$M44)+IF($Q44="",0,VLOOKUP($Q44,'⚪设计'!$B$85:$H$113,5,FALSE)*$R44)+IF($V44="",0,VLOOKUP($V44,'⚪设计'!$B$85:$H$113,5,FALSE)*$W44))*IF(V44="",0,VLOOKUP(V44,'⚪设计'!$B$85:$H$113,5,FALSE)),0))</f>
        <v/>
      </c>
    </row>
    <row r="45" spans="1:26" x14ac:dyDescent="0.2">
      <c r="A45" s="2" t="str">
        <f t="shared" si="5"/>
        <v>4_3</v>
      </c>
      <c r="B45" s="2">
        <v>4</v>
      </c>
      <c r="C45" s="2">
        <v>3</v>
      </c>
      <c r="D45" s="97">
        <f>VLOOKUP(C45,无限模式!$A$3:$B$22,2,FALSE)</f>
        <v>3600</v>
      </c>
      <c r="E45" s="98">
        <v>1</v>
      </c>
      <c r="F45" s="97">
        <f>VLOOKUP(A45,'⚪设计'!$A$310:$N$333,6,FALSE)</f>
        <v>15</v>
      </c>
      <c r="G45" s="97" t="str">
        <f>IF(VLOOKUP($A45,'⚪设计'!$A$310:$N$333,7,FALSE)="","",VLOOKUP($A45,'⚪设计'!$A$310:$N$333,7,FALSE))</f>
        <v>鬼1</v>
      </c>
      <c r="H45" s="97">
        <f t="shared" si="6"/>
        <v>10</v>
      </c>
      <c r="I45" s="97">
        <f>IF(VLOOKUP($A45,'⚪设计'!$A$310:$N$333,11,FALSE)="","",VLOOKUP($A45,'⚪设计'!$A$310:$N$333,11,FALSE))</f>
        <v>1.5</v>
      </c>
      <c r="J45" s="97">
        <f>IF(G45="","",ROUND($D45*VLOOKUP($A45,'⚪设计'!$A$310:$N$333,4,FALSE)/(IF($G45="",0,VLOOKUP($G45,'⚪设计'!$B$85:$H$113,4,FALSE)*$H45)+IF($L45="",0,VLOOKUP($L45,'⚪设计'!$B$85:$H$113,4,FALSE)*$M45)+IF($Q45="",0,VLOOKUP($Q45,'⚪设计'!$B$85:$H$113,4,FALSE)*$R45)+IF($V45="",0,VLOOKUP($V45,'⚪设计'!$B$85:$H$113,4,FALSE)*$W45))*IF(G45="",0,VLOOKUP(G45,'⚪设计'!$B$85:$H$113,4,FALSE)),0))</f>
        <v>225</v>
      </c>
      <c r="K45" s="97">
        <f>IF(G45="","",ROUND(战斗节奏!$B$14/(IF($G45="",0,VLOOKUP($G45,'⚪设计'!$B$85:$H$113,5,FALSE)*$H45)+IF($L45="",0,VLOOKUP($L45,'⚪设计'!$B$85:$H$113,5,FALSE)*$M45)+IF($Q45="",0,VLOOKUP($Q45,'⚪设计'!$B$85:$H$113,5,FALSE)*$R45)+IF($V45="",0,VLOOKUP($V45,'⚪设计'!$B$85:$H$113,5,FALSE)*$W45))*IF(G45="",0,VLOOKUP(G45,'⚪设计'!$B$85:$H$113,5,FALSE)),0))</f>
        <v>2</v>
      </c>
      <c r="L45" s="97" t="str">
        <f>IF(VLOOKUP($A45,'⚪设计'!$A$310:$N$333,8,FALSE)="","",VLOOKUP($A45,'⚪设计'!$A$310:$N$333,8,FALSE))</f>
        <v>蝙蝠1</v>
      </c>
      <c r="M45" s="97">
        <f t="shared" si="7"/>
        <v>75</v>
      </c>
      <c r="N45" s="97">
        <f>IF(VLOOKUP($A45,'⚪设计'!$A$310:$N$333,12,FALSE)="","",VLOOKUP($A45,'⚪设计'!$A$310:$N$333,12,FALSE))</f>
        <v>0.2</v>
      </c>
      <c r="O45" s="97">
        <f>IF(L45="","",ROUND($D45*VLOOKUP($A45,'⚪设计'!$A$310:$N$333,4,FALSE)/(IF($G45="",0,VLOOKUP($G45,'⚪设计'!$B$85:$H$113,4,FALSE)*$H45)+IF($L45="",0,VLOOKUP($L45,'⚪设计'!$B$85:$H$113,4,FALSE)*$M45)+IF($Q45="",0,VLOOKUP($Q45,'⚪设计'!$B$85:$H$113,4,FALSE)*$R45)+IF($V45="",0,VLOOKUP($V45,'⚪设计'!$B$85:$H$113,4,FALSE)*$W45))*IF(L45="",0,VLOOKUP(L45,'⚪设计'!$B$85:$H$113,4,FALSE)),0))</f>
        <v>113</v>
      </c>
      <c r="P45" s="97">
        <f>IF(L45="","",ROUND(战斗节奏!$B$14/(IF($G45="",0,VLOOKUP($G45,'⚪设计'!$B$85:$H$113,5,FALSE)*$H45)+IF($L45="",0,VLOOKUP($L45,'⚪设计'!$B$85:$H$113,5,FALSE)*$M45)+IF($Q45="",0,VLOOKUP($Q45,'⚪设计'!$B$85:$H$113,5,FALSE)*$R45)+IF($V45="",0,VLOOKUP($V45,'⚪设计'!$B$85:$H$113,5,FALSE)*$W45))*IF(L45="",0,VLOOKUP(L45,'⚪设计'!$B$85:$H$113,5,FALSE)),0))</f>
        <v>1</v>
      </c>
      <c r="Q45" s="97" t="str">
        <f>IF(VLOOKUP($A45,'⚪设计'!$A$310:$N$333,9,FALSE)="","",VLOOKUP($A45,'⚪设计'!$A$310:$N$333,9,FALSE))</f>
        <v>肉2</v>
      </c>
      <c r="R45" s="97">
        <f t="shared" si="8"/>
        <v>8</v>
      </c>
      <c r="S45" s="97">
        <f>IF(VLOOKUP($A45,'⚪设计'!$A$310:$N$333,13,FALSE)="","",VLOOKUP($A45,'⚪设计'!$A$310:$N$333,13,FALSE))</f>
        <v>2</v>
      </c>
      <c r="T45" s="97">
        <f>IF(Q45="","",ROUND($D45*VLOOKUP($A45,'⚪设计'!$A$310:$N$333,4,FALSE)/(IF($G45="",0,VLOOKUP($G45,'⚪设计'!$B$85:$H$113,4,FALSE)*$H45)+IF($L45="",0,VLOOKUP($L45,'⚪设计'!$B$85:$H$113,4,FALSE)*$M45)+IF($Q45="",0,VLOOKUP($Q45,'⚪设计'!$B$85:$H$113,4,FALSE)*$R45)+IF($V45="",0,VLOOKUP($V45,'⚪设计'!$B$85:$H$113,4,FALSE)*$W45))*IF(Q45="",0,VLOOKUP(Q45,'⚪设计'!$B$85:$H$113,4,FALSE)),0))</f>
        <v>6762</v>
      </c>
      <c r="U45" s="97">
        <f>IF(Q45="","",ROUND(战斗节奏!$B$14/(IF($G45="",0,VLOOKUP($G45,'⚪设计'!$B$85:$H$113,5,FALSE)*$H45)+IF($L45="",0,VLOOKUP($L45,'⚪设计'!$B$85:$H$113,5,FALSE)*$M45)+IF($Q45="",0,VLOOKUP($Q45,'⚪设计'!$B$85:$H$113,5,FALSE)*$R45)+IF($V45="",0,VLOOKUP($V45,'⚪设计'!$B$85:$H$113,5,FALSE)*$W45))*IF(Q45="",0,VLOOKUP(Q45,'⚪设计'!$B$85:$H$113,5,FALSE)),0))</f>
        <v>63</v>
      </c>
      <c r="V45" s="97" t="str">
        <f>IF(VLOOKUP($A45,'⚪设计'!$A$310:$N$333,10,FALSE)="","",VLOOKUP($A45,'⚪设计'!$A$310:$N$333,10,FALSE))</f>
        <v/>
      </c>
      <c r="W45" s="97" t="str">
        <f t="shared" si="9"/>
        <v/>
      </c>
      <c r="X45" s="97" t="str">
        <f>IF(VLOOKUP($A45,'⚪设计'!$A$310:$N$333,14,FALSE)="","",VLOOKUP($A45,'⚪设计'!$A$310:$N$333,14,FALSE))</f>
        <v/>
      </c>
      <c r="Y45" s="97" t="str">
        <f>IF(V45="","",ROUND($D45*VLOOKUP($A45,'⚪设计'!$A$310:$N$333,4,FALSE)/(IF($G45="",0,VLOOKUP($G45,'⚪设计'!$B$85:$H$113,4,FALSE)*$H45)+IF($L45="",0,VLOOKUP($L45,'⚪设计'!$B$85:$H$113,4,FALSE)*$M45)+IF($Q45="",0,VLOOKUP($Q45,'⚪设计'!$B$85:$H$113,4,FALSE)*$R45)+IF($V45="",0,VLOOKUP($V45,'⚪设计'!$B$85:$H$113,4,FALSE)*$W45))*IF(V45="",0,VLOOKUP(V45,'⚪设计'!$B$85:$H$113,4,FALSE)),0))</f>
        <v/>
      </c>
      <c r="Z45" s="97" t="str">
        <f>IF(V45="","",ROUND(战斗节奏!$B$14/(IF($G45="",0,VLOOKUP($G45,'⚪设计'!$B$85:$H$113,5,FALSE)*$H45)+IF($L45="",0,VLOOKUP($L45,'⚪设计'!$B$85:$H$113,5,FALSE)*$M45)+IF($Q45="",0,VLOOKUP($Q45,'⚪设计'!$B$85:$H$113,5,FALSE)*$R45)+IF($V45="",0,VLOOKUP($V45,'⚪设计'!$B$85:$H$113,5,FALSE)*$W45))*IF(V45="",0,VLOOKUP(V45,'⚪设计'!$B$85:$H$113,5,FALSE)),0))</f>
        <v/>
      </c>
    </row>
    <row r="46" spans="1:26" x14ac:dyDescent="0.2">
      <c r="A46" s="2" t="str">
        <f t="shared" si="5"/>
        <v>4_4</v>
      </c>
      <c r="B46" s="2">
        <v>4</v>
      </c>
      <c r="C46" s="2">
        <v>4</v>
      </c>
      <c r="D46" s="97">
        <f>VLOOKUP(C46,无限模式!$A$3:$B$22,2,FALSE)</f>
        <v>4500</v>
      </c>
      <c r="E46" s="98">
        <v>1</v>
      </c>
      <c r="F46" s="97">
        <f>VLOOKUP(A46,'⚪设计'!$A$310:$N$333,6,FALSE)</f>
        <v>17.5</v>
      </c>
      <c r="G46" s="97" t="str">
        <f>IF(VLOOKUP($A46,'⚪设计'!$A$310:$N$333,7,FALSE)="","",VLOOKUP($A46,'⚪设计'!$A$310:$N$333,7,FALSE))</f>
        <v>鬼1</v>
      </c>
      <c r="H46" s="97">
        <f t="shared" si="6"/>
        <v>12</v>
      </c>
      <c r="I46" s="97">
        <f>IF(VLOOKUP($A46,'⚪设计'!$A$310:$N$333,11,FALSE)="","",VLOOKUP($A46,'⚪设计'!$A$310:$N$333,11,FALSE))</f>
        <v>1.5</v>
      </c>
      <c r="J46" s="97">
        <f>IF(G46="","",ROUND($D46*VLOOKUP($A46,'⚪设计'!$A$310:$N$333,4,FALSE)/(IF($G46="",0,VLOOKUP($G46,'⚪设计'!$B$85:$H$113,4,FALSE)*$H46)+IF($L46="",0,VLOOKUP($L46,'⚪设计'!$B$85:$H$113,4,FALSE)*$M46)+IF($Q46="",0,VLOOKUP($Q46,'⚪设计'!$B$85:$H$113,4,FALSE)*$R46)+IF($V46="",0,VLOOKUP($V46,'⚪设计'!$B$85:$H$113,4,FALSE)*$W46))*IF(G46="",0,VLOOKUP(G46,'⚪设计'!$B$85:$H$113,4,FALSE)),0))</f>
        <v>23</v>
      </c>
      <c r="K46" s="97">
        <f>IF(G46="","",ROUND(战斗节奏!$B$14/(IF($G46="",0,VLOOKUP($G46,'⚪设计'!$B$85:$H$113,5,FALSE)*$H46)+IF($L46="",0,VLOOKUP($L46,'⚪设计'!$B$85:$H$113,5,FALSE)*$M46)+IF($Q46="",0,VLOOKUP($Q46,'⚪设计'!$B$85:$H$113,5,FALSE)*$R46)+IF($V46="",0,VLOOKUP($V46,'⚪设计'!$B$85:$H$113,5,FALSE)*$W46))*IF(G46="",0,VLOOKUP(G46,'⚪设计'!$B$85:$H$113,5,FALSE)),0))</f>
        <v>1</v>
      </c>
      <c r="L46" s="97" t="str">
        <f>IF(VLOOKUP($A46,'⚪设计'!$A$310:$N$333,8,FALSE)="","",VLOOKUP($A46,'⚪设计'!$A$310:$N$333,8,FALSE))</f>
        <v>蜘蛛1</v>
      </c>
      <c r="M46" s="97">
        <f t="shared" si="7"/>
        <v>44</v>
      </c>
      <c r="N46" s="97">
        <f>IF(VLOOKUP($A46,'⚪设计'!$A$310:$N$333,12,FALSE)="","",VLOOKUP($A46,'⚪设计'!$A$310:$N$333,12,FALSE))</f>
        <v>0.4</v>
      </c>
      <c r="O46" s="97">
        <f>IF(L46="","",ROUND($D46*VLOOKUP($A46,'⚪设计'!$A$310:$N$333,4,FALSE)/(IF($G46="",0,VLOOKUP($G46,'⚪设计'!$B$85:$H$113,4,FALSE)*$H46)+IF($L46="",0,VLOOKUP($L46,'⚪设计'!$B$85:$H$113,4,FALSE)*$M46)+IF($Q46="",0,VLOOKUP($Q46,'⚪设计'!$B$85:$H$113,4,FALSE)*$R46)+IF($V46="",0,VLOOKUP($V46,'⚪设计'!$B$85:$H$113,4,FALSE)*$W46))*IF(L46="",0,VLOOKUP(L46,'⚪设计'!$B$85:$H$113,4,FALSE)),0))</f>
        <v>23</v>
      </c>
      <c r="P46" s="97">
        <f>IF(L46="","",ROUND(战斗节奏!$B$14/(IF($G46="",0,VLOOKUP($G46,'⚪设计'!$B$85:$H$113,5,FALSE)*$H46)+IF($L46="",0,VLOOKUP($L46,'⚪设计'!$B$85:$H$113,5,FALSE)*$M46)+IF($Q46="",0,VLOOKUP($Q46,'⚪设计'!$B$85:$H$113,5,FALSE)*$R46)+IF($V46="",0,VLOOKUP($V46,'⚪设计'!$B$85:$H$113,5,FALSE)*$W46))*IF(L46="",0,VLOOKUP(L46,'⚪设计'!$B$85:$H$113,5,FALSE)),0))</f>
        <v>1</v>
      </c>
      <c r="Q46" s="97" t="str">
        <f>IF(VLOOKUP($A46,'⚪设计'!$A$310:$N$333,9,FALSE)="","",VLOOKUP($A46,'⚪设计'!$A$310:$N$333,9,FALSE))</f>
        <v>肉2</v>
      </c>
      <c r="R46" s="97">
        <f t="shared" si="8"/>
        <v>18</v>
      </c>
      <c r="S46" s="97">
        <f>IF(VLOOKUP($A46,'⚪设计'!$A$310:$N$333,13,FALSE)="","",VLOOKUP($A46,'⚪设计'!$A$310:$N$333,13,FALSE))</f>
        <v>1</v>
      </c>
      <c r="T46" s="97">
        <f>IF(Q46="","",ROUND($D46*VLOOKUP($A46,'⚪设计'!$A$310:$N$333,4,FALSE)/(IF($G46="",0,VLOOKUP($G46,'⚪设计'!$B$85:$H$113,4,FALSE)*$H46)+IF($L46="",0,VLOOKUP($L46,'⚪设计'!$B$85:$H$113,4,FALSE)*$M46)+IF($Q46="",0,VLOOKUP($Q46,'⚪设计'!$B$85:$H$113,4,FALSE)*$R46)+IF($V46="",0,VLOOKUP($V46,'⚪设计'!$B$85:$H$113,4,FALSE)*$W46))*IF(Q46="",0,VLOOKUP(Q46,'⚪设计'!$B$85:$H$113,4,FALSE)),0))</f>
        <v>680</v>
      </c>
      <c r="U46" s="97">
        <f>IF(Q46="","",ROUND(战斗节奏!$B$14/(IF($G46="",0,VLOOKUP($G46,'⚪设计'!$B$85:$H$113,5,FALSE)*$H46)+IF($L46="",0,VLOOKUP($L46,'⚪设计'!$B$85:$H$113,5,FALSE)*$M46)+IF($Q46="",0,VLOOKUP($Q46,'⚪设计'!$B$85:$H$113,5,FALSE)*$R46)+IF($V46="",0,VLOOKUP($V46,'⚪设计'!$B$85:$H$113,5,FALSE)*$W46))*IF(Q46="",0,VLOOKUP(Q46,'⚪设计'!$B$85:$H$113,5,FALSE)),0))</f>
        <v>30</v>
      </c>
      <c r="V46" s="97" t="str">
        <f>IF(VLOOKUP($A46,'⚪设计'!$A$310:$N$333,10,FALSE)="","",VLOOKUP($A46,'⚪设计'!$A$310:$N$333,10,FALSE))</f>
        <v/>
      </c>
      <c r="W46" s="97" t="str">
        <f t="shared" si="9"/>
        <v/>
      </c>
      <c r="X46" s="97" t="str">
        <f>IF(VLOOKUP($A46,'⚪设计'!$A$310:$N$333,14,FALSE)="","",VLOOKUP($A46,'⚪设计'!$A$310:$N$333,14,FALSE))</f>
        <v/>
      </c>
      <c r="Y46" s="97" t="str">
        <f>IF(V46="","",ROUND($D46*VLOOKUP($A46,'⚪设计'!$A$310:$N$333,4,FALSE)/(IF($G46="",0,VLOOKUP($G46,'⚪设计'!$B$85:$H$113,4,FALSE)*$H46)+IF($L46="",0,VLOOKUP($L46,'⚪设计'!$B$85:$H$113,4,FALSE)*$M46)+IF($Q46="",0,VLOOKUP($Q46,'⚪设计'!$B$85:$H$113,4,FALSE)*$R46)+IF($V46="",0,VLOOKUP($V46,'⚪设计'!$B$85:$H$113,4,FALSE)*$W46))*IF(V46="",0,VLOOKUP(V46,'⚪设计'!$B$85:$H$113,4,FALSE)),0))</f>
        <v/>
      </c>
      <c r="Z46" s="97" t="str">
        <f>IF(V46="","",ROUND(战斗节奏!$B$14/(IF($G46="",0,VLOOKUP($G46,'⚪设计'!$B$85:$H$113,5,FALSE)*$H46)+IF($L46="",0,VLOOKUP($L46,'⚪设计'!$B$85:$H$113,5,FALSE)*$M46)+IF($Q46="",0,VLOOKUP($Q46,'⚪设计'!$B$85:$H$113,5,FALSE)*$R46)+IF($V46="",0,VLOOKUP($V46,'⚪设计'!$B$85:$H$113,5,FALSE)*$W46))*IF(V46="",0,VLOOKUP(V46,'⚪设计'!$B$85:$H$113,5,FALSE)),0))</f>
        <v/>
      </c>
    </row>
    <row r="47" spans="1:26" x14ac:dyDescent="0.2">
      <c r="A47" s="2" t="str">
        <f t="shared" si="5"/>
        <v>4_5</v>
      </c>
      <c r="B47" s="2">
        <v>4</v>
      </c>
      <c r="C47" s="2">
        <v>5</v>
      </c>
      <c r="D47" s="97">
        <f>VLOOKUP(C47,无限模式!$A$3:$B$22,2,FALSE)</f>
        <v>5400</v>
      </c>
      <c r="E47" s="98">
        <v>1</v>
      </c>
      <c r="F47" s="97">
        <f>VLOOKUP(A47,'⚪设计'!$A$310:$N$333,6,FALSE)</f>
        <v>20</v>
      </c>
      <c r="G47" s="97" t="str">
        <f>IF(VLOOKUP($A47,'⚪设计'!$A$310:$N$333,7,FALSE)="","",VLOOKUP($A47,'⚪设计'!$A$310:$N$333,7,FALSE))</f>
        <v>鬼1</v>
      </c>
      <c r="H47" s="97">
        <f t="shared" si="6"/>
        <v>40</v>
      </c>
      <c r="I47" s="97">
        <f>IF(VLOOKUP($A47,'⚪设计'!$A$310:$N$333,11,FALSE)="","",VLOOKUP($A47,'⚪设计'!$A$310:$N$333,11,FALSE))</f>
        <v>0.5</v>
      </c>
      <c r="J47" s="97">
        <f>IF(G47="","",ROUND($D47*VLOOKUP($A47,'⚪设计'!$A$310:$N$333,4,FALSE)/(IF($G47="",0,VLOOKUP($G47,'⚪设计'!$B$85:$H$113,4,FALSE)*$H47)+IF($L47="",0,VLOOKUP($L47,'⚪设计'!$B$85:$H$113,4,FALSE)*$M47)+IF($Q47="",0,VLOOKUP($Q47,'⚪设计'!$B$85:$H$113,4,FALSE)*$R47)+IF($V47="",0,VLOOKUP($V47,'⚪设计'!$B$85:$H$113,4,FALSE)*$W47))*IF(G47="",0,VLOOKUP(G47,'⚪设计'!$B$85:$H$113,4,FALSE)),0))</f>
        <v>24</v>
      </c>
      <c r="K47" s="97">
        <f>IF(G47="","",ROUND(战斗节奏!$B$14/(IF($G47="",0,VLOOKUP($G47,'⚪设计'!$B$85:$H$113,5,FALSE)*$H47)+IF($L47="",0,VLOOKUP($L47,'⚪设计'!$B$85:$H$113,5,FALSE)*$M47)+IF($Q47="",0,VLOOKUP($Q47,'⚪设计'!$B$85:$H$113,5,FALSE)*$R47)+IF($V47="",0,VLOOKUP($V47,'⚪设计'!$B$85:$H$113,5,FALSE)*$W47))*IF(G47="",0,VLOOKUP(G47,'⚪设计'!$B$85:$H$113,5,FALSE)),0))</f>
        <v>1</v>
      </c>
      <c r="L47" s="97" t="str">
        <f>IF(VLOOKUP($A47,'⚪设计'!$A$310:$N$333,8,FALSE)="","",VLOOKUP($A47,'⚪设计'!$A$310:$N$333,8,FALSE))</f>
        <v>种子1</v>
      </c>
      <c r="M47" s="97">
        <f t="shared" si="7"/>
        <v>10</v>
      </c>
      <c r="N47" s="97">
        <f>IF(VLOOKUP($A47,'⚪设计'!$A$310:$N$333,12,FALSE)="","",VLOOKUP($A47,'⚪设计'!$A$310:$N$333,12,FALSE))</f>
        <v>2</v>
      </c>
      <c r="O47" s="97">
        <f>IF(L47="","",ROUND($D47*VLOOKUP($A47,'⚪设计'!$A$310:$N$333,4,FALSE)/(IF($G47="",0,VLOOKUP($G47,'⚪设计'!$B$85:$H$113,4,FALSE)*$H47)+IF($L47="",0,VLOOKUP($L47,'⚪设计'!$B$85:$H$113,4,FALSE)*$M47)+IF($Q47="",0,VLOOKUP($Q47,'⚪设计'!$B$85:$H$113,4,FALSE)*$R47)+IF($V47="",0,VLOOKUP($V47,'⚪设计'!$B$85:$H$113,4,FALSE)*$W47))*IF(L47="",0,VLOOKUP(L47,'⚪设计'!$B$85:$H$113,4,FALSE)),0))</f>
        <v>73</v>
      </c>
      <c r="P47" s="97">
        <f>IF(L47="","",ROUND(战斗节奏!$B$14/(IF($G47="",0,VLOOKUP($G47,'⚪设计'!$B$85:$H$113,5,FALSE)*$H47)+IF($L47="",0,VLOOKUP($L47,'⚪设计'!$B$85:$H$113,5,FALSE)*$M47)+IF($Q47="",0,VLOOKUP($Q47,'⚪设计'!$B$85:$H$113,5,FALSE)*$R47)+IF($V47="",0,VLOOKUP($V47,'⚪设计'!$B$85:$H$113,5,FALSE)*$W47))*IF(L47="",0,VLOOKUP(L47,'⚪设计'!$B$85:$H$113,5,FALSE)),0))</f>
        <v>2</v>
      </c>
      <c r="Q47" s="97" t="str">
        <f>IF(VLOOKUP($A47,'⚪设计'!$A$310:$N$333,9,FALSE)="","",VLOOKUP($A47,'⚪设计'!$A$310:$N$333,9,FALSE))</f>
        <v>肉2</v>
      </c>
      <c r="R47" s="97">
        <f t="shared" si="8"/>
        <v>20</v>
      </c>
      <c r="S47" s="97">
        <f>IF(VLOOKUP($A47,'⚪设计'!$A$310:$N$333,13,FALSE)="","",VLOOKUP($A47,'⚪设计'!$A$310:$N$333,13,FALSE))</f>
        <v>1</v>
      </c>
      <c r="T47" s="97">
        <f>IF(Q47="","",ROUND($D47*VLOOKUP($A47,'⚪设计'!$A$310:$N$333,4,FALSE)/(IF($G47="",0,VLOOKUP($G47,'⚪设计'!$B$85:$H$113,4,FALSE)*$H47)+IF($L47="",0,VLOOKUP($L47,'⚪设计'!$B$85:$H$113,4,FALSE)*$M47)+IF($Q47="",0,VLOOKUP($Q47,'⚪设计'!$B$85:$H$113,4,FALSE)*$R47)+IF($V47="",0,VLOOKUP($V47,'⚪设计'!$B$85:$H$113,4,FALSE)*$W47))*IF(Q47="",0,VLOOKUP(Q47,'⚪设计'!$B$85:$H$113,4,FALSE)),0))</f>
        <v>725</v>
      </c>
      <c r="U47" s="97">
        <f>IF(Q47="","",ROUND(战斗节奏!$B$14/(IF($G47="",0,VLOOKUP($G47,'⚪设计'!$B$85:$H$113,5,FALSE)*$H47)+IF($L47="",0,VLOOKUP($L47,'⚪设计'!$B$85:$H$113,5,FALSE)*$M47)+IF($Q47="",0,VLOOKUP($Q47,'⚪设计'!$B$85:$H$113,5,FALSE)*$R47)+IF($V47="",0,VLOOKUP($V47,'⚪设计'!$B$85:$H$113,5,FALSE)*$W47))*IF(Q47="",0,VLOOKUP(Q47,'⚪设计'!$B$85:$H$113,5,FALSE)),0))</f>
        <v>27</v>
      </c>
      <c r="V47" s="97" t="str">
        <f>IF(VLOOKUP($A47,'⚪设计'!$A$310:$N$333,10,FALSE)="","",VLOOKUP($A47,'⚪设计'!$A$310:$N$333,10,FALSE))</f>
        <v/>
      </c>
      <c r="W47" s="97" t="str">
        <f t="shared" si="9"/>
        <v/>
      </c>
      <c r="X47" s="97" t="str">
        <f>IF(VLOOKUP($A47,'⚪设计'!$A$310:$N$333,14,FALSE)="","",VLOOKUP($A47,'⚪设计'!$A$310:$N$333,14,FALSE))</f>
        <v/>
      </c>
      <c r="Y47" s="97" t="str">
        <f>IF(V47="","",ROUND($D47*VLOOKUP($A47,'⚪设计'!$A$310:$N$333,4,FALSE)/(IF($G47="",0,VLOOKUP($G47,'⚪设计'!$B$85:$H$113,4,FALSE)*$H47)+IF($L47="",0,VLOOKUP($L47,'⚪设计'!$B$85:$H$113,4,FALSE)*$M47)+IF($Q47="",0,VLOOKUP($Q47,'⚪设计'!$B$85:$H$113,4,FALSE)*$R47)+IF($V47="",0,VLOOKUP($V47,'⚪设计'!$B$85:$H$113,4,FALSE)*$W47))*IF(V47="",0,VLOOKUP(V47,'⚪设计'!$B$85:$H$113,4,FALSE)),0))</f>
        <v/>
      </c>
      <c r="Z47" s="97" t="str">
        <f>IF(V47="","",ROUND(战斗节奏!$B$14/(IF($G47="",0,VLOOKUP($G47,'⚪设计'!$B$85:$H$113,5,FALSE)*$H47)+IF($L47="",0,VLOOKUP($L47,'⚪设计'!$B$85:$H$113,5,FALSE)*$M47)+IF($Q47="",0,VLOOKUP($Q47,'⚪设计'!$B$85:$H$113,5,FALSE)*$R47)+IF($V47="",0,VLOOKUP($V47,'⚪设计'!$B$85:$H$113,5,FALSE)*$W47))*IF(V47="",0,VLOOKUP(V47,'⚪设计'!$B$85:$H$113,5,FALSE)),0))</f>
        <v/>
      </c>
    </row>
    <row r="48" spans="1:26" x14ac:dyDescent="0.2">
      <c r="A48" s="2" t="str">
        <f t="shared" si="5"/>
        <v>5_1</v>
      </c>
      <c r="B48" s="2">
        <v>5</v>
      </c>
      <c r="C48" s="2">
        <v>1</v>
      </c>
      <c r="D48" s="97">
        <f>VLOOKUP(C48,无限模式!$A$3:$B$22,2,FALSE)</f>
        <v>900</v>
      </c>
      <c r="E48" s="98">
        <v>1</v>
      </c>
      <c r="F48" s="97">
        <f>VLOOKUP(A48,'⚪设计'!$A$310:$N$333,6,FALSE)</f>
        <v>10</v>
      </c>
      <c r="G48" s="97" t="str">
        <f>IF(VLOOKUP($A48,'⚪设计'!$A$310:$N$333,7,FALSE)="","",VLOOKUP($A48,'⚪设计'!$A$310:$N$333,7,FALSE))</f>
        <v>蛋2</v>
      </c>
      <c r="H48" s="97">
        <f t="shared" si="6"/>
        <v>7</v>
      </c>
      <c r="I48" s="97">
        <f>IF(VLOOKUP($A48,'⚪设计'!$A$310:$N$333,11,FALSE)="","",VLOOKUP($A48,'⚪设计'!$A$310:$N$333,11,FALSE))</f>
        <v>1.5</v>
      </c>
      <c r="J48" s="97">
        <f>IF(G48="","",ROUND($D48*VLOOKUP($A48,'⚪设计'!$A$310:$N$333,4,FALSE)/(IF($G48="",0,VLOOKUP($G48,'⚪设计'!$B$85:$H$113,4,FALSE)*$H48)+IF($L48="",0,VLOOKUP($L48,'⚪设计'!$B$85:$H$113,4,FALSE)*$M48)+IF($Q48="",0,VLOOKUP($Q48,'⚪设计'!$B$85:$H$113,4,FALSE)*$R48)+IF($V48="",0,VLOOKUP($V48,'⚪设计'!$B$85:$H$113,4,FALSE)*$W48))*IF(G48="",0,VLOOKUP(G48,'⚪设计'!$B$85:$H$113,4,FALSE)),0))</f>
        <v>97</v>
      </c>
      <c r="K48" s="97">
        <f>IF(G48="","",ROUND(战斗节奏!$B$14/(IF($G48="",0,VLOOKUP($G48,'⚪设计'!$B$85:$H$113,5,FALSE)*$H48)+IF($L48="",0,VLOOKUP($L48,'⚪设计'!$B$85:$H$113,5,FALSE)*$M48)+IF($Q48="",0,VLOOKUP($Q48,'⚪设计'!$B$85:$H$113,5,FALSE)*$R48)+IF($V48="",0,VLOOKUP($V48,'⚪设计'!$B$85:$H$113,5,FALSE)*$W48))*IF(G48="",0,VLOOKUP(G48,'⚪设计'!$B$85:$H$113,5,FALSE)),0))</f>
        <v>7</v>
      </c>
      <c r="L48" s="97" t="str">
        <f>IF(VLOOKUP($A48,'⚪设计'!$A$310:$N$333,8,FALSE)="","",VLOOKUP($A48,'⚪设计'!$A$310:$N$333,8,FALSE))</f>
        <v>肉2</v>
      </c>
      <c r="M48" s="97">
        <f t="shared" si="7"/>
        <v>5</v>
      </c>
      <c r="N48" s="97">
        <f>IF(VLOOKUP($A48,'⚪设计'!$A$310:$N$333,12,FALSE)="","",VLOOKUP($A48,'⚪设计'!$A$310:$N$333,12,FALSE))</f>
        <v>2</v>
      </c>
      <c r="O48" s="97">
        <f>IF(L48="","",ROUND($D48*VLOOKUP($A48,'⚪设计'!$A$310:$N$333,4,FALSE)/(IF($G48="",0,VLOOKUP($G48,'⚪设计'!$B$85:$H$113,4,FALSE)*$H48)+IF($L48="",0,VLOOKUP($L48,'⚪设计'!$B$85:$H$113,4,FALSE)*$M48)+IF($Q48="",0,VLOOKUP($Q48,'⚪设计'!$B$85:$H$113,4,FALSE)*$R48)+IF($V48="",0,VLOOKUP($V48,'⚪设计'!$B$85:$H$113,4,FALSE)*$W48))*IF(L48="",0,VLOOKUP(L48,'⚪设计'!$B$85:$H$113,4,FALSE)),0))</f>
        <v>728</v>
      </c>
      <c r="P48" s="97">
        <f>IF(L48="","",ROUND(战斗节奏!$B$14/(IF($G48="",0,VLOOKUP($G48,'⚪设计'!$B$85:$H$113,5,FALSE)*$H48)+IF($L48="",0,VLOOKUP($L48,'⚪设计'!$B$85:$H$113,5,FALSE)*$M48)+IF($Q48="",0,VLOOKUP($Q48,'⚪设计'!$B$85:$H$113,5,FALSE)*$R48)+IF($V48="",0,VLOOKUP($V48,'⚪设计'!$B$85:$H$113,5,FALSE)*$W48))*IF(L48="",0,VLOOKUP(L48,'⚪设计'!$B$85:$H$113,5,FALSE)),0))</f>
        <v>110</v>
      </c>
      <c r="Q48" s="97" t="str">
        <f>IF(VLOOKUP($A48,'⚪设计'!$A$310:$N$333,9,FALSE)="","",VLOOKUP($A48,'⚪设计'!$A$310:$N$333,9,FALSE))</f>
        <v/>
      </c>
      <c r="R48" s="97" t="str">
        <f t="shared" si="8"/>
        <v/>
      </c>
      <c r="S48" s="97" t="str">
        <f>IF(VLOOKUP($A48,'⚪设计'!$A$310:$N$333,13,FALSE)="","",VLOOKUP($A48,'⚪设计'!$A$310:$N$333,13,FALSE))</f>
        <v/>
      </c>
      <c r="T48" s="97" t="str">
        <f>IF(Q48="","",ROUND($D48*VLOOKUP($A48,'⚪设计'!$A$310:$N$333,4,FALSE)/(IF($G48="",0,VLOOKUP($G48,'⚪设计'!$B$85:$H$113,4,FALSE)*$H48)+IF($L48="",0,VLOOKUP($L48,'⚪设计'!$B$85:$H$113,4,FALSE)*$M48)+IF($Q48="",0,VLOOKUP($Q48,'⚪设计'!$B$85:$H$113,4,FALSE)*$R48)+IF($V48="",0,VLOOKUP($V48,'⚪设计'!$B$85:$H$113,4,FALSE)*$W48))*IF(Q48="",0,VLOOKUP(Q48,'⚪设计'!$B$85:$H$113,4,FALSE)),0))</f>
        <v/>
      </c>
      <c r="U48" s="97" t="str">
        <f>IF(Q48="","",ROUND(战斗节奏!$B$14/(IF($G48="",0,VLOOKUP($G48,'⚪设计'!$B$85:$H$113,5,FALSE)*$H48)+IF($L48="",0,VLOOKUP($L48,'⚪设计'!$B$85:$H$113,5,FALSE)*$M48)+IF($Q48="",0,VLOOKUP($Q48,'⚪设计'!$B$85:$H$113,5,FALSE)*$R48)+IF($V48="",0,VLOOKUP($V48,'⚪设计'!$B$85:$H$113,5,FALSE)*$W48))*IF(Q48="",0,VLOOKUP(Q48,'⚪设计'!$B$85:$H$113,5,FALSE)),0))</f>
        <v/>
      </c>
      <c r="V48" s="97" t="str">
        <f>IF(VLOOKUP($A48,'⚪设计'!$A$310:$N$333,10,FALSE)="","",VLOOKUP($A48,'⚪设计'!$A$310:$N$333,10,FALSE))</f>
        <v/>
      </c>
      <c r="W48" s="97" t="str">
        <f t="shared" si="9"/>
        <v/>
      </c>
      <c r="X48" s="97" t="str">
        <f>IF(VLOOKUP($A48,'⚪设计'!$A$310:$N$333,14,FALSE)="","",VLOOKUP($A48,'⚪设计'!$A$310:$N$333,14,FALSE))</f>
        <v/>
      </c>
      <c r="Y48" s="97" t="str">
        <f>IF(V48="","",ROUND($D48*VLOOKUP($A48,'⚪设计'!$A$310:$N$333,4,FALSE)/(IF($G48="",0,VLOOKUP($G48,'⚪设计'!$B$85:$H$113,4,FALSE)*$H48)+IF($L48="",0,VLOOKUP($L48,'⚪设计'!$B$85:$H$113,4,FALSE)*$M48)+IF($Q48="",0,VLOOKUP($Q48,'⚪设计'!$B$85:$H$113,4,FALSE)*$R48)+IF($V48="",0,VLOOKUP($V48,'⚪设计'!$B$85:$H$113,4,FALSE)*$W48))*IF(V48="",0,VLOOKUP(V48,'⚪设计'!$B$85:$H$113,4,FALSE)),0))</f>
        <v/>
      </c>
      <c r="Z48" s="97" t="str">
        <f>IF(V48="","",ROUND(战斗节奏!$B$14/(IF($G48="",0,VLOOKUP($G48,'⚪设计'!$B$85:$H$113,5,FALSE)*$H48)+IF($L48="",0,VLOOKUP($L48,'⚪设计'!$B$85:$H$113,5,FALSE)*$M48)+IF($Q48="",0,VLOOKUP($Q48,'⚪设计'!$B$85:$H$113,5,FALSE)*$R48)+IF($V48="",0,VLOOKUP($V48,'⚪设计'!$B$85:$H$113,5,FALSE)*$W48))*IF(V48="",0,VLOOKUP(V48,'⚪设计'!$B$85:$H$113,5,FALSE)),0))</f>
        <v/>
      </c>
    </row>
    <row r="49" spans="1:26" x14ac:dyDescent="0.2">
      <c r="A49" s="2" t="str">
        <f t="shared" si="5"/>
        <v>5_2</v>
      </c>
      <c r="B49" s="2">
        <v>5</v>
      </c>
      <c r="C49" s="2">
        <v>2</v>
      </c>
      <c r="D49" s="97">
        <f>VLOOKUP(C49,无限模式!$A$3:$B$22,2,FALSE)</f>
        <v>1800</v>
      </c>
      <c r="E49" s="98">
        <v>1</v>
      </c>
      <c r="F49" s="97">
        <f>VLOOKUP(A49,'⚪设计'!$A$310:$N$333,6,FALSE)</f>
        <v>12.5</v>
      </c>
      <c r="G49" s="97" t="str">
        <f>IF(VLOOKUP($A49,'⚪设计'!$A$310:$N$333,7,FALSE)="","",VLOOKUP($A49,'⚪设计'!$A$310:$N$333,7,FALSE))</f>
        <v>蛋2</v>
      </c>
      <c r="H49" s="97">
        <f t="shared" si="6"/>
        <v>8</v>
      </c>
      <c r="I49" s="97">
        <f>IF(VLOOKUP($A49,'⚪设计'!$A$310:$N$333,11,FALSE)="","",VLOOKUP($A49,'⚪设计'!$A$310:$N$333,11,FALSE))</f>
        <v>1.5</v>
      </c>
      <c r="J49" s="97">
        <f>IF(G49="","",ROUND($D49*VLOOKUP($A49,'⚪设计'!$A$310:$N$333,4,FALSE)/(IF($G49="",0,VLOOKUP($G49,'⚪设计'!$B$85:$H$113,4,FALSE)*$H49)+IF($L49="",0,VLOOKUP($L49,'⚪设计'!$B$85:$H$113,4,FALSE)*$M49)+IF($Q49="",0,VLOOKUP($Q49,'⚪设计'!$B$85:$H$113,4,FALSE)*$R49)+IF($V49="",0,VLOOKUP($V49,'⚪设计'!$B$85:$H$113,4,FALSE)*$W49))*IF(G49="",0,VLOOKUP(G49,'⚪设计'!$B$85:$H$113,4,FALSE)),0))</f>
        <v>296</v>
      </c>
      <c r="K49" s="97">
        <f>IF(G49="","",ROUND(战斗节奏!$B$14/(IF($G49="",0,VLOOKUP($G49,'⚪设计'!$B$85:$H$113,5,FALSE)*$H49)+IF($L49="",0,VLOOKUP($L49,'⚪设计'!$B$85:$H$113,5,FALSE)*$M49)+IF($Q49="",0,VLOOKUP($Q49,'⚪设计'!$B$85:$H$113,5,FALSE)*$R49)+IF($V49="",0,VLOOKUP($V49,'⚪设计'!$B$85:$H$113,5,FALSE)*$W49))*IF(G49="",0,VLOOKUP(G49,'⚪设计'!$B$85:$H$113,5,FALSE)),0))</f>
        <v>5</v>
      </c>
      <c r="L49" s="97" t="str">
        <f>IF(VLOOKUP($A49,'⚪设计'!$A$310:$N$333,8,FALSE)="","",VLOOKUP($A49,'⚪设计'!$A$310:$N$333,8,FALSE))</f>
        <v>蝙蝠1</v>
      </c>
      <c r="M49" s="97">
        <f t="shared" si="7"/>
        <v>63</v>
      </c>
      <c r="N49" s="97">
        <f>IF(VLOOKUP($A49,'⚪设计'!$A$310:$N$333,12,FALSE)="","",VLOOKUP($A49,'⚪设计'!$A$310:$N$333,12,FALSE))</f>
        <v>0.2</v>
      </c>
      <c r="O49" s="97">
        <f>IF(L49="","",ROUND($D49*VLOOKUP($A49,'⚪设计'!$A$310:$N$333,4,FALSE)/(IF($G49="",0,VLOOKUP($G49,'⚪设计'!$B$85:$H$113,4,FALSE)*$H49)+IF($L49="",0,VLOOKUP($L49,'⚪设计'!$B$85:$H$113,4,FALSE)*$M49)+IF($Q49="",0,VLOOKUP($Q49,'⚪设计'!$B$85:$H$113,4,FALSE)*$R49)+IF($V49="",0,VLOOKUP($V49,'⚪设计'!$B$85:$H$113,4,FALSE)*$W49))*IF(L49="",0,VLOOKUP(L49,'⚪设计'!$B$85:$H$113,4,FALSE)),0))</f>
        <v>37</v>
      </c>
      <c r="P49" s="97">
        <f>IF(L49="","",ROUND(战斗节奏!$B$14/(IF($G49="",0,VLOOKUP($G49,'⚪设计'!$B$85:$H$113,5,FALSE)*$H49)+IF($L49="",0,VLOOKUP($L49,'⚪设计'!$B$85:$H$113,5,FALSE)*$M49)+IF($Q49="",0,VLOOKUP($Q49,'⚪设计'!$B$85:$H$113,5,FALSE)*$R49)+IF($V49="",0,VLOOKUP($V49,'⚪设计'!$B$85:$H$113,5,FALSE)*$W49))*IF(L49="",0,VLOOKUP(L49,'⚪设计'!$B$85:$H$113,5,FALSE)),0))</f>
        <v>1</v>
      </c>
      <c r="Q49" s="97" t="str">
        <f>IF(VLOOKUP($A49,'⚪设计'!$A$310:$N$333,9,FALSE)="","",VLOOKUP($A49,'⚪设计'!$A$310:$N$333,9,FALSE))</f>
        <v>肉2</v>
      </c>
      <c r="R49" s="97">
        <f t="shared" si="8"/>
        <v>6</v>
      </c>
      <c r="S49" s="97">
        <f>IF(VLOOKUP($A49,'⚪设计'!$A$310:$N$333,13,FALSE)="","",VLOOKUP($A49,'⚪设计'!$A$310:$N$333,13,FALSE))</f>
        <v>2</v>
      </c>
      <c r="T49" s="97">
        <f>IF(Q49="","",ROUND($D49*VLOOKUP($A49,'⚪设计'!$A$310:$N$333,4,FALSE)/(IF($G49="",0,VLOOKUP($G49,'⚪设计'!$B$85:$H$113,4,FALSE)*$H49)+IF($L49="",0,VLOOKUP($L49,'⚪设计'!$B$85:$H$113,4,FALSE)*$M49)+IF($Q49="",0,VLOOKUP($Q49,'⚪设计'!$B$85:$H$113,4,FALSE)*$R49)+IF($V49="",0,VLOOKUP($V49,'⚪设计'!$B$85:$H$113,4,FALSE)*$W49))*IF(Q49="",0,VLOOKUP(Q49,'⚪设计'!$B$85:$H$113,4,FALSE)),0))</f>
        <v>2218</v>
      </c>
      <c r="U49" s="97">
        <f>IF(Q49="","",ROUND(战斗节奏!$B$14/(IF($G49="",0,VLOOKUP($G49,'⚪设计'!$B$85:$H$113,5,FALSE)*$H49)+IF($L49="",0,VLOOKUP($L49,'⚪设计'!$B$85:$H$113,5,FALSE)*$M49)+IF($Q49="",0,VLOOKUP($Q49,'⚪设计'!$B$85:$H$113,5,FALSE)*$R49)+IF($V49="",0,VLOOKUP($V49,'⚪设计'!$B$85:$H$113,5,FALSE)*$W49))*IF(Q49="",0,VLOOKUP(Q49,'⚪设计'!$B$85:$H$113,5,FALSE)),0))</f>
        <v>79</v>
      </c>
      <c r="V49" s="97" t="str">
        <f>IF(VLOOKUP($A49,'⚪设计'!$A$310:$N$333,10,FALSE)="","",VLOOKUP($A49,'⚪设计'!$A$310:$N$333,10,FALSE))</f>
        <v/>
      </c>
      <c r="W49" s="97" t="str">
        <f t="shared" si="9"/>
        <v/>
      </c>
      <c r="X49" s="97" t="str">
        <f>IF(VLOOKUP($A49,'⚪设计'!$A$310:$N$333,14,FALSE)="","",VLOOKUP($A49,'⚪设计'!$A$310:$N$333,14,FALSE))</f>
        <v/>
      </c>
      <c r="Y49" s="97" t="str">
        <f>IF(V49="","",ROUND($D49*VLOOKUP($A49,'⚪设计'!$A$310:$N$333,4,FALSE)/(IF($G49="",0,VLOOKUP($G49,'⚪设计'!$B$85:$H$113,4,FALSE)*$H49)+IF($L49="",0,VLOOKUP($L49,'⚪设计'!$B$85:$H$113,4,FALSE)*$M49)+IF($Q49="",0,VLOOKUP($Q49,'⚪设计'!$B$85:$H$113,4,FALSE)*$R49)+IF($V49="",0,VLOOKUP($V49,'⚪设计'!$B$85:$H$113,4,FALSE)*$W49))*IF(V49="",0,VLOOKUP(V49,'⚪设计'!$B$85:$H$113,4,FALSE)),0))</f>
        <v/>
      </c>
      <c r="Z49" s="97" t="str">
        <f>IF(V49="","",ROUND(战斗节奏!$B$14/(IF($G49="",0,VLOOKUP($G49,'⚪设计'!$B$85:$H$113,5,FALSE)*$H49)+IF($L49="",0,VLOOKUP($L49,'⚪设计'!$B$85:$H$113,5,FALSE)*$M49)+IF($Q49="",0,VLOOKUP($Q49,'⚪设计'!$B$85:$H$113,5,FALSE)*$R49)+IF($V49="",0,VLOOKUP($V49,'⚪设计'!$B$85:$H$113,5,FALSE)*$W49))*IF(V49="",0,VLOOKUP(V49,'⚪设计'!$B$85:$H$113,5,FALSE)),0))</f>
        <v/>
      </c>
    </row>
    <row r="50" spans="1:26" x14ac:dyDescent="0.2">
      <c r="A50" s="2" t="str">
        <f t="shared" si="5"/>
        <v>5_3</v>
      </c>
      <c r="B50" s="2">
        <v>5</v>
      </c>
      <c r="C50" s="2">
        <v>3</v>
      </c>
      <c r="D50" s="97">
        <f>VLOOKUP(C50,无限模式!$A$3:$B$22,2,FALSE)</f>
        <v>3600</v>
      </c>
      <c r="E50" s="98">
        <v>1</v>
      </c>
      <c r="F50" s="97">
        <f>VLOOKUP(A50,'⚪设计'!$A$310:$N$333,6,FALSE)</f>
        <v>15</v>
      </c>
      <c r="G50" s="97" t="str">
        <f>IF(VLOOKUP($A50,'⚪设计'!$A$310:$N$333,7,FALSE)="","",VLOOKUP($A50,'⚪设计'!$A$310:$N$333,7,FALSE))</f>
        <v>蛋2</v>
      </c>
      <c r="H50" s="97">
        <f t="shared" si="6"/>
        <v>10</v>
      </c>
      <c r="I50" s="97">
        <f>IF(VLOOKUP($A50,'⚪设计'!$A$310:$N$333,11,FALSE)="","",VLOOKUP($A50,'⚪设计'!$A$310:$N$333,11,FALSE))</f>
        <v>1.5</v>
      </c>
      <c r="J50" s="97">
        <f>IF(G50="","",ROUND($D50*VLOOKUP($A50,'⚪设计'!$A$310:$N$333,4,FALSE)/(IF($G50="",0,VLOOKUP($G50,'⚪设计'!$B$85:$H$113,4,FALSE)*$H50)+IF($L50="",0,VLOOKUP($L50,'⚪设计'!$B$85:$H$113,4,FALSE)*$M50)+IF($Q50="",0,VLOOKUP($Q50,'⚪设计'!$B$85:$H$113,4,FALSE)*$R50)+IF($V50="",0,VLOOKUP($V50,'⚪设计'!$B$85:$H$113,4,FALSE)*$W50))*IF(G50="",0,VLOOKUP(G50,'⚪设计'!$B$85:$H$113,4,FALSE)),0))</f>
        <v>790</v>
      </c>
      <c r="K50" s="97">
        <f>IF(G50="","",ROUND(战斗节奏!$B$14/(IF($G50="",0,VLOOKUP($G50,'⚪设计'!$B$85:$H$113,5,FALSE)*$H50)+IF($L50="",0,VLOOKUP($L50,'⚪设计'!$B$85:$H$113,5,FALSE)*$M50)+IF($Q50="",0,VLOOKUP($Q50,'⚪设计'!$B$85:$H$113,5,FALSE)*$R50)+IF($V50="",0,VLOOKUP($V50,'⚪设计'!$B$85:$H$113,5,FALSE)*$W50))*IF(G50="",0,VLOOKUP(G50,'⚪设计'!$B$85:$H$113,5,FALSE)),0))</f>
        <v>4</v>
      </c>
      <c r="L50" s="97" t="str">
        <f>IF(VLOOKUP($A50,'⚪设计'!$A$310:$N$333,8,FALSE)="","",VLOOKUP($A50,'⚪设计'!$A$310:$N$333,8,FALSE))</f>
        <v>蜘蛛1</v>
      </c>
      <c r="M50" s="97">
        <f t="shared" si="7"/>
        <v>38</v>
      </c>
      <c r="N50" s="97">
        <f>IF(VLOOKUP($A50,'⚪设计'!$A$310:$N$333,12,FALSE)="","",VLOOKUP($A50,'⚪设计'!$A$310:$N$333,12,FALSE))</f>
        <v>0.4</v>
      </c>
      <c r="O50" s="97">
        <f>IF(L50="","",ROUND($D50*VLOOKUP($A50,'⚪设计'!$A$310:$N$333,4,FALSE)/(IF($G50="",0,VLOOKUP($G50,'⚪设计'!$B$85:$H$113,4,FALSE)*$H50)+IF($L50="",0,VLOOKUP($L50,'⚪设计'!$B$85:$H$113,4,FALSE)*$M50)+IF($Q50="",0,VLOOKUP($Q50,'⚪设计'!$B$85:$H$113,4,FALSE)*$R50)+IF($V50="",0,VLOOKUP($V50,'⚪设计'!$B$85:$H$113,4,FALSE)*$W50))*IF(L50="",0,VLOOKUP(L50,'⚪设计'!$B$85:$H$113,4,FALSE)),0))</f>
        <v>198</v>
      </c>
      <c r="P50" s="97">
        <f>IF(L50="","",ROUND(战斗节奏!$B$14/(IF($G50="",0,VLOOKUP($G50,'⚪设计'!$B$85:$H$113,5,FALSE)*$H50)+IF($L50="",0,VLOOKUP($L50,'⚪设计'!$B$85:$H$113,5,FALSE)*$M50)+IF($Q50="",0,VLOOKUP($Q50,'⚪设计'!$B$85:$H$113,5,FALSE)*$R50)+IF($V50="",0,VLOOKUP($V50,'⚪设计'!$B$85:$H$113,5,FALSE)*$W50))*IF(L50="",0,VLOOKUP(L50,'⚪设计'!$B$85:$H$113,5,FALSE)),0))</f>
        <v>2</v>
      </c>
      <c r="Q50" s="97" t="str">
        <f>IF(VLOOKUP($A50,'⚪设计'!$A$310:$N$333,9,FALSE)="","",VLOOKUP($A50,'⚪设计'!$A$310:$N$333,9,FALSE))</f>
        <v>鬼1</v>
      </c>
      <c r="R50" s="97">
        <f t="shared" si="8"/>
        <v>10</v>
      </c>
      <c r="S50" s="97">
        <f>IF(VLOOKUP($A50,'⚪设计'!$A$310:$N$333,13,FALSE)="","",VLOOKUP($A50,'⚪设计'!$A$310:$N$333,13,FALSE))</f>
        <v>1.5</v>
      </c>
      <c r="T50" s="97">
        <f>IF(Q50="","",ROUND($D50*VLOOKUP($A50,'⚪设计'!$A$310:$N$333,4,FALSE)/(IF($G50="",0,VLOOKUP($G50,'⚪设计'!$B$85:$H$113,4,FALSE)*$H50)+IF($L50="",0,VLOOKUP($L50,'⚪设计'!$B$85:$H$113,4,FALSE)*$M50)+IF($Q50="",0,VLOOKUP($Q50,'⚪设计'!$B$85:$H$113,4,FALSE)*$R50)+IF($V50="",0,VLOOKUP($V50,'⚪设计'!$B$85:$H$113,4,FALSE)*$W50))*IF(Q50="",0,VLOOKUP(Q50,'⚪设计'!$B$85:$H$113,4,FALSE)),0))</f>
        <v>198</v>
      </c>
      <c r="U50" s="97">
        <f>IF(Q50="","",ROUND(战斗节奏!$B$14/(IF($G50="",0,VLOOKUP($G50,'⚪设计'!$B$85:$H$113,5,FALSE)*$H50)+IF($L50="",0,VLOOKUP($L50,'⚪设计'!$B$85:$H$113,5,FALSE)*$M50)+IF($Q50="",0,VLOOKUP($Q50,'⚪设计'!$B$85:$H$113,5,FALSE)*$R50)+IF($V50="",0,VLOOKUP($V50,'⚪设计'!$B$85:$H$113,5,FALSE)*$W50))*IF(Q50="",0,VLOOKUP(Q50,'⚪设计'!$B$85:$H$113,5,FALSE)),0))</f>
        <v>2</v>
      </c>
      <c r="V50" s="97" t="str">
        <f>IF(VLOOKUP($A50,'⚪设计'!$A$310:$N$333,10,FALSE)="","",VLOOKUP($A50,'⚪设计'!$A$310:$N$333,10,FALSE))</f>
        <v>肉2</v>
      </c>
      <c r="W50" s="97">
        <f t="shared" si="9"/>
        <v>8</v>
      </c>
      <c r="X50" s="97">
        <f>IF(VLOOKUP($A50,'⚪设计'!$A$310:$N$333,14,FALSE)="","",VLOOKUP($A50,'⚪设计'!$A$310:$N$333,14,FALSE))</f>
        <v>2</v>
      </c>
      <c r="Y50" s="97">
        <f>IF(V50="","",ROUND($D50*VLOOKUP($A50,'⚪设计'!$A$310:$N$333,4,FALSE)/(IF($G50="",0,VLOOKUP($G50,'⚪设计'!$B$85:$H$113,4,FALSE)*$H50)+IF($L50="",0,VLOOKUP($L50,'⚪设计'!$B$85:$H$113,4,FALSE)*$M50)+IF($Q50="",0,VLOOKUP($Q50,'⚪设计'!$B$85:$H$113,4,FALSE)*$R50)+IF($V50="",0,VLOOKUP($V50,'⚪设计'!$B$85:$H$113,4,FALSE)*$W50))*IF(V50="",0,VLOOKUP(V50,'⚪设计'!$B$85:$H$113,4,FALSE)),0))</f>
        <v>5927</v>
      </c>
      <c r="Z50" s="97">
        <f>IF(V50="","",ROUND(战斗节奏!$B$14/(IF($G50="",0,VLOOKUP($G50,'⚪设计'!$B$85:$H$113,5,FALSE)*$H50)+IF($L50="",0,VLOOKUP($L50,'⚪设计'!$B$85:$H$113,5,FALSE)*$M50)+IF($Q50="",0,VLOOKUP($Q50,'⚪设计'!$B$85:$H$113,5,FALSE)*$R50)+IF($V50="",0,VLOOKUP($V50,'⚪设计'!$B$85:$H$113,5,FALSE)*$W50))*IF(V50="",0,VLOOKUP(V50,'⚪设计'!$B$85:$H$113,5,FALSE)),0))</f>
        <v>58</v>
      </c>
    </row>
    <row r="51" spans="1:26" x14ac:dyDescent="0.2">
      <c r="A51" s="2" t="str">
        <f t="shared" si="5"/>
        <v>5_4</v>
      </c>
      <c r="B51" s="2">
        <v>5</v>
      </c>
      <c r="C51" s="2">
        <v>4</v>
      </c>
      <c r="D51" s="97">
        <f>VLOOKUP(C51,无限模式!$A$3:$B$22,2,FALSE)</f>
        <v>4500</v>
      </c>
      <c r="E51" s="98">
        <v>1</v>
      </c>
      <c r="F51" s="97">
        <f>VLOOKUP(A51,'⚪设计'!$A$310:$N$333,6,FALSE)</f>
        <v>17.5</v>
      </c>
      <c r="G51" s="97" t="str">
        <f>IF(VLOOKUP($A51,'⚪设计'!$A$310:$N$333,7,FALSE)="","",VLOOKUP($A51,'⚪设计'!$A$310:$N$333,7,FALSE))</f>
        <v>蛋2</v>
      </c>
      <c r="H51" s="97">
        <f t="shared" si="6"/>
        <v>12</v>
      </c>
      <c r="I51" s="97">
        <f>IF(VLOOKUP($A51,'⚪设计'!$A$310:$N$333,11,FALSE)="","",VLOOKUP($A51,'⚪设计'!$A$310:$N$333,11,FALSE))</f>
        <v>1.5</v>
      </c>
      <c r="J51" s="97">
        <f>IF(G51="","",ROUND($D51*VLOOKUP($A51,'⚪设计'!$A$310:$N$333,4,FALSE)/(IF($G51="",0,VLOOKUP($G51,'⚪设计'!$B$85:$H$113,4,FALSE)*$H51)+IF($L51="",0,VLOOKUP($L51,'⚪设计'!$B$85:$H$113,4,FALSE)*$M51)+IF($Q51="",0,VLOOKUP($Q51,'⚪设计'!$B$85:$H$113,4,FALSE)*$R51)+IF($V51="",0,VLOOKUP($V51,'⚪设计'!$B$85:$H$113,4,FALSE)*$W51))*IF(G51="",0,VLOOKUP(G51,'⚪设计'!$B$85:$H$113,4,FALSE)),0))</f>
        <v>306</v>
      </c>
      <c r="K51" s="97">
        <f>IF(G51="","",ROUND(战斗节奏!$B$14/(IF($G51="",0,VLOOKUP($G51,'⚪设计'!$B$85:$H$113,5,FALSE)*$H51)+IF($L51="",0,VLOOKUP($L51,'⚪设计'!$B$85:$H$113,5,FALSE)*$M51)+IF($Q51="",0,VLOOKUP($Q51,'⚪设计'!$B$85:$H$113,5,FALSE)*$R51)+IF($V51="",0,VLOOKUP($V51,'⚪设计'!$B$85:$H$113,5,FALSE)*$W51))*IF(G51="",0,VLOOKUP(G51,'⚪设计'!$B$85:$H$113,5,FALSE)),0))</f>
        <v>4</v>
      </c>
      <c r="L51" s="97" t="str">
        <f>IF(VLOOKUP($A51,'⚪设计'!$A$310:$N$333,8,FALSE)="","",VLOOKUP($A51,'⚪设计'!$A$310:$N$333,8,FALSE))</f>
        <v>鬼1</v>
      </c>
      <c r="M51" s="97">
        <f t="shared" si="7"/>
        <v>35</v>
      </c>
      <c r="N51" s="97">
        <f>IF(VLOOKUP($A51,'⚪设计'!$A$310:$N$333,12,FALSE)="","",VLOOKUP($A51,'⚪设计'!$A$310:$N$333,12,FALSE))</f>
        <v>0.5</v>
      </c>
      <c r="O51" s="97">
        <f>IF(L51="","",ROUND($D51*VLOOKUP($A51,'⚪设计'!$A$310:$N$333,4,FALSE)/(IF($G51="",0,VLOOKUP($G51,'⚪设计'!$B$85:$H$113,4,FALSE)*$H51)+IF($L51="",0,VLOOKUP($L51,'⚪设计'!$B$85:$H$113,4,FALSE)*$M51)+IF($Q51="",0,VLOOKUP($Q51,'⚪设计'!$B$85:$H$113,4,FALSE)*$R51)+IF($V51="",0,VLOOKUP($V51,'⚪设计'!$B$85:$H$113,4,FALSE)*$W51))*IF(L51="",0,VLOOKUP(L51,'⚪设计'!$B$85:$H$113,4,FALSE)),0))</f>
        <v>76</v>
      </c>
      <c r="P51" s="97">
        <f>IF(L51="","",ROUND(战斗节奏!$B$14/(IF($G51="",0,VLOOKUP($G51,'⚪设计'!$B$85:$H$113,5,FALSE)*$H51)+IF($L51="",0,VLOOKUP($L51,'⚪设计'!$B$85:$H$113,5,FALSE)*$M51)+IF($Q51="",0,VLOOKUP($Q51,'⚪设计'!$B$85:$H$113,5,FALSE)*$R51)+IF($V51="",0,VLOOKUP($V51,'⚪设计'!$B$85:$H$113,5,FALSE)*$W51))*IF(L51="",0,VLOOKUP(L51,'⚪设计'!$B$85:$H$113,5,FALSE)),0))</f>
        <v>2</v>
      </c>
      <c r="Q51" s="97" t="str">
        <f>IF(VLOOKUP($A51,'⚪设计'!$A$310:$N$333,9,FALSE)="","",VLOOKUP($A51,'⚪设计'!$A$310:$N$333,9,FALSE))</f>
        <v>肉2</v>
      </c>
      <c r="R51" s="97">
        <f t="shared" si="8"/>
        <v>9</v>
      </c>
      <c r="S51" s="97">
        <f>IF(VLOOKUP($A51,'⚪设计'!$A$310:$N$333,13,FALSE)="","",VLOOKUP($A51,'⚪设计'!$A$310:$N$333,13,FALSE))</f>
        <v>2</v>
      </c>
      <c r="T51" s="97">
        <f>IF(Q51="","",ROUND($D51*VLOOKUP($A51,'⚪设计'!$A$310:$N$333,4,FALSE)/(IF($G51="",0,VLOOKUP($G51,'⚪设计'!$B$85:$H$113,4,FALSE)*$H51)+IF($L51="",0,VLOOKUP($L51,'⚪设计'!$B$85:$H$113,4,FALSE)*$M51)+IF($Q51="",0,VLOOKUP($Q51,'⚪设计'!$B$85:$H$113,4,FALSE)*$R51)+IF($V51="",0,VLOOKUP($V51,'⚪设计'!$B$85:$H$113,4,FALSE)*$W51))*IF(Q51="",0,VLOOKUP(Q51,'⚪设计'!$B$85:$H$113,4,FALSE)),0))</f>
        <v>2295</v>
      </c>
      <c r="U51" s="97">
        <f>IF(Q51="","",ROUND(战斗节奏!$B$14/(IF($G51="",0,VLOOKUP($G51,'⚪设计'!$B$85:$H$113,5,FALSE)*$H51)+IF($L51="",0,VLOOKUP($L51,'⚪设计'!$B$85:$H$113,5,FALSE)*$M51)+IF($Q51="",0,VLOOKUP($Q51,'⚪设计'!$B$85:$H$113,5,FALSE)*$R51)+IF($V51="",0,VLOOKUP($V51,'⚪设计'!$B$85:$H$113,5,FALSE)*$W51))*IF(Q51="",0,VLOOKUP(Q51,'⚪设计'!$B$85:$H$113,5,FALSE)),0))</f>
        <v>55</v>
      </c>
      <c r="V51" s="97" t="str">
        <f>IF(VLOOKUP($A51,'⚪设计'!$A$310:$N$333,10,FALSE)="","",VLOOKUP($A51,'⚪设计'!$A$310:$N$333,10,FALSE))</f>
        <v/>
      </c>
      <c r="W51" s="97" t="str">
        <f t="shared" si="9"/>
        <v/>
      </c>
      <c r="X51" s="97" t="str">
        <f>IF(VLOOKUP($A51,'⚪设计'!$A$310:$N$333,14,FALSE)="","",VLOOKUP($A51,'⚪设计'!$A$310:$N$333,14,FALSE))</f>
        <v/>
      </c>
      <c r="Y51" s="97" t="str">
        <f>IF(V51="","",ROUND($D51*VLOOKUP($A51,'⚪设计'!$A$310:$N$333,4,FALSE)/(IF($G51="",0,VLOOKUP($G51,'⚪设计'!$B$85:$H$113,4,FALSE)*$H51)+IF($L51="",0,VLOOKUP($L51,'⚪设计'!$B$85:$H$113,4,FALSE)*$M51)+IF($Q51="",0,VLOOKUP($Q51,'⚪设计'!$B$85:$H$113,4,FALSE)*$R51)+IF($V51="",0,VLOOKUP($V51,'⚪设计'!$B$85:$H$113,4,FALSE)*$W51))*IF(V51="",0,VLOOKUP(V51,'⚪设计'!$B$85:$H$113,4,FALSE)),0))</f>
        <v/>
      </c>
      <c r="Z51" s="97" t="str">
        <f>IF(V51="","",ROUND(战斗节奏!$B$14/(IF($G51="",0,VLOOKUP($G51,'⚪设计'!$B$85:$H$113,5,FALSE)*$H51)+IF($L51="",0,VLOOKUP($L51,'⚪设计'!$B$85:$H$113,5,FALSE)*$M51)+IF($Q51="",0,VLOOKUP($Q51,'⚪设计'!$B$85:$H$113,5,FALSE)*$R51)+IF($V51="",0,VLOOKUP($V51,'⚪设计'!$B$85:$H$113,5,FALSE)*$W51))*IF(V51="",0,VLOOKUP(V51,'⚪设计'!$B$85:$H$113,5,FALSE)),0))</f>
        <v/>
      </c>
    </row>
    <row r="52" spans="1:26" x14ac:dyDescent="0.2">
      <c r="A52" s="2" t="str">
        <f t="shared" si="5"/>
        <v>5_5</v>
      </c>
      <c r="B52" s="2">
        <v>5</v>
      </c>
      <c r="C52" s="2">
        <v>5</v>
      </c>
      <c r="D52" s="97">
        <f>VLOOKUP(C52,无限模式!$A$3:$B$22,2,FALSE)</f>
        <v>5400</v>
      </c>
      <c r="E52" s="98">
        <v>1</v>
      </c>
      <c r="F52" s="97">
        <f>VLOOKUP(A52,'⚪设计'!$A$310:$N$333,6,FALSE)</f>
        <v>20</v>
      </c>
      <c r="G52" s="97" t="str">
        <f>IF(VLOOKUP($A52,'⚪设计'!$A$310:$N$333,7,FALSE)="","",VLOOKUP($A52,'⚪设计'!$A$310:$N$333,7,FALSE))</f>
        <v>蛋2</v>
      </c>
      <c r="H52" s="97">
        <f t="shared" si="6"/>
        <v>13</v>
      </c>
      <c r="I52" s="97">
        <f>IF(VLOOKUP($A52,'⚪设计'!$A$310:$N$333,11,FALSE)="","",VLOOKUP($A52,'⚪设计'!$A$310:$N$333,11,FALSE))</f>
        <v>1.5</v>
      </c>
      <c r="J52" s="97">
        <f>IF(G52="","",ROUND($D52*VLOOKUP($A52,'⚪设计'!$A$310:$N$333,4,FALSE)/(IF($G52="",0,VLOOKUP($G52,'⚪设计'!$B$85:$H$113,4,FALSE)*$H52)+IF($L52="",0,VLOOKUP($L52,'⚪设计'!$B$85:$H$113,4,FALSE)*$M52)+IF($Q52="",0,VLOOKUP($Q52,'⚪设计'!$B$85:$H$113,4,FALSE)*$R52)+IF($V52="",0,VLOOKUP($V52,'⚪设计'!$B$85:$H$113,4,FALSE)*$W52))*IF(G52="",0,VLOOKUP(G52,'⚪设计'!$B$85:$H$113,4,FALSE)),0))</f>
        <v>180</v>
      </c>
      <c r="K52" s="97">
        <f>IF(G52="","",ROUND(战斗节奏!$B$14/(IF($G52="",0,VLOOKUP($G52,'⚪设计'!$B$85:$H$113,5,FALSE)*$H52)+IF($L52="",0,VLOOKUP($L52,'⚪设计'!$B$85:$H$113,5,FALSE)*$M52)+IF($Q52="",0,VLOOKUP($Q52,'⚪设计'!$B$85:$H$113,5,FALSE)*$R52)+IF($V52="",0,VLOOKUP($V52,'⚪设计'!$B$85:$H$113,5,FALSE)*$W52))*IF(G52="",0,VLOOKUP(G52,'⚪设计'!$B$85:$H$113,5,FALSE)),0))</f>
        <v>2</v>
      </c>
      <c r="L52" s="97" t="str">
        <f>IF(VLOOKUP($A52,'⚪设计'!$A$310:$N$333,8,FALSE)="","",VLOOKUP($A52,'⚪设计'!$A$310:$N$333,8,FALSE))</f>
        <v>鬼1</v>
      </c>
      <c r="M52" s="97">
        <f t="shared" si="7"/>
        <v>40</v>
      </c>
      <c r="N52" s="97">
        <f>IF(VLOOKUP($A52,'⚪设计'!$A$310:$N$333,12,FALSE)="","",VLOOKUP($A52,'⚪设计'!$A$310:$N$333,12,FALSE))</f>
        <v>0.5</v>
      </c>
      <c r="O52" s="97">
        <f>IF(L52="","",ROUND($D52*VLOOKUP($A52,'⚪设计'!$A$310:$N$333,4,FALSE)/(IF($G52="",0,VLOOKUP($G52,'⚪设计'!$B$85:$H$113,4,FALSE)*$H52)+IF($L52="",0,VLOOKUP($L52,'⚪设计'!$B$85:$H$113,4,FALSE)*$M52)+IF($Q52="",0,VLOOKUP($Q52,'⚪设计'!$B$85:$H$113,4,FALSE)*$R52)+IF($V52="",0,VLOOKUP($V52,'⚪设计'!$B$85:$H$113,4,FALSE)*$W52))*IF(L52="",0,VLOOKUP(L52,'⚪设计'!$B$85:$H$113,4,FALSE)),0))</f>
        <v>45</v>
      </c>
      <c r="P52" s="97">
        <f>IF(L52="","",ROUND(战斗节奏!$B$14/(IF($G52="",0,VLOOKUP($G52,'⚪设计'!$B$85:$H$113,5,FALSE)*$H52)+IF($L52="",0,VLOOKUP($L52,'⚪设计'!$B$85:$H$113,5,FALSE)*$M52)+IF($Q52="",0,VLOOKUP($Q52,'⚪设计'!$B$85:$H$113,5,FALSE)*$R52)+IF($V52="",0,VLOOKUP($V52,'⚪设计'!$B$85:$H$113,5,FALSE)*$W52))*IF(L52="",0,VLOOKUP(L52,'⚪设计'!$B$85:$H$113,5,FALSE)),0))</f>
        <v>1</v>
      </c>
      <c r="Q52" s="97" t="str">
        <f>IF(VLOOKUP($A52,'⚪设计'!$A$310:$N$333,9,FALSE)="","",VLOOKUP($A52,'⚪设计'!$A$310:$N$333,9,FALSE))</f>
        <v>种子1</v>
      </c>
      <c r="R52" s="97">
        <f t="shared" si="8"/>
        <v>10</v>
      </c>
      <c r="S52" s="97">
        <f>IF(VLOOKUP($A52,'⚪设计'!$A$310:$N$333,13,FALSE)="","",VLOOKUP($A52,'⚪设计'!$A$310:$N$333,13,FALSE))</f>
        <v>2</v>
      </c>
      <c r="T52" s="97">
        <f>IF(Q52="","",ROUND($D52*VLOOKUP($A52,'⚪设计'!$A$310:$N$333,4,FALSE)/(IF($G52="",0,VLOOKUP($G52,'⚪设计'!$B$85:$H$113,4,FALSE)*$H52)+IF($L52="",0,VLOOKUP($L52,'⚪设计'!$B$85:$H$113,4,FALSE)*$M52)+IF($Q52="",0,VLOOKUP($Q52,'⚪设计'!$B$85:$H$113,4,FALSE)*$R52)+IF($V52="",0,VLOOKUP($V52,'⚪设计'!$B$85:$H$113,4,FALSE)*$W52))*IF(Q52="",0,VLOOKUP(Q52,'⚪设计'!$B$85:$H$113,4,FALSE)),0))</f>
        <v>135</v>
      </c>
      <c r="U52" s="97">
        <f>IF(Q52="","",ROUND(战斗节奏!$B$14/(IF($G52="",0,VLOOKUP($G52,'⚪设计'!$B$85:$H$113,5,FALSE)*$H52)+IF($L52="",0,VLOOKUP($L52,'⚪设计'!$B$85:$H$113,5,FALSE)*$M52)+IF($Q52="",0,VLOOKUP($Q52,'⚪设计'!$B$85:$H$113,5,FALSE)*$R52)+IF($V52="",0,VLOOKUP($V52,'⚪设计'!$B$85:$H$113,5,FALSE)*$W52))*IF(Q52="",0,VLOOKUP(Q52,'⚪设计'!$B$85:$H$113,5,FALSE)),0))</f>
        <v>2</v>
      </c>
      <c r="V52" s="97" t="str">
        <f>IF(VLOOKUP($A52,'⚪设计'!$A$310:$N$333,10,FALSE)="","",VLOOKUP($A52,'⚪设计'!$A$310:$N$333,10,FALSE))</f>
        <v>肉2</v>
      </c>
      <c r="W52" s="97">
        <f t="shared" si="9"/>
        <v>20</v>
      </c>
      <c r="X52" s="97">
        <f>IF(VLOOKUP($A52,'⚪设计'!$A$310:$N$333,14,FALSE)="","",VLOOKUP($A52,'⚪设计'!$A$310:$N$333,14,FALSE))</f>
        <v>1</v>
      </c>
      <c r="Y52" s="97">
        <f>IF(V52="","",ROUND($D52*VLOOKUP($A52,'⚪设计'!$A$310:$N$333,4,FALSE)/(IF($G52="",0,VLOOKUP($G52,'⚪设计'!$B$85:$H$113,4,FALSE)*$H52)+IF($L52="",0,VLOOKUP($L52,'⚪设计'!$B$85:$H$113,4,FALSE)*$M52)+IF($Q52="",0,VLOOKUP($Q52,'⚪设计'!$B$85:$H$113,4,FALSE)*$R52)+IF($V52="",0,VLOOKUP($V52,'⚪设计'!$B$85:$H$113,4,FALSE)*$W52))*IF(V52="",0,VLOOKUP(V52,'⚪设计'!$B$85:$H$113,4,FALSE)),0))</f>
        <v>1346</v>
      </c>
      <c r="Z52" s="97">
        <f>IF(V52="","",ROUND(战斗节奏!$B$14/(IF($G52="",0,VLOOKUP($G52,'⚪设计'!$B$85:$H$113,5,FALSE)*$H52)+IF($L52="",0,VLOOKUP($L52,'⚪设计'!$B$85:$H$113,5,FALSE)*$M52)+IF($Q52="",0,VLOOKUP($Q52,'⚪设计'!$B$85:$H$113,5,FALSE)*$R52)+IF($V52="",0,VLOOKUP($V52,'⚪设计'!$B$85:$H$113,5,FALSE)*$W52))*IF(V52="",0,VLOOKUP(V52,'⚪设计'!$B$85:$H$113,5,FALSE)),0))</f>
        <v>26</v>
      </c>
    </row>
    <row r="53" spans="1:26" x14ac:dyDescent="0.2">
      <c r="A53" s="2" t="str">
        <f t="shared" si="5"/>
        <v>5_6</v>
      </c>
      <c r="B53" s="2">
        <v>5</v>
      </c>
      <c r="C53" s="2">
        <v>6</v>
      </c>
      <c r="D53" s="97">
        <f>VLOOKUP(C53,无限模式!$A$3:$B$22,2,FALSE)</f>
        <v>7200</v>
      </c>
      <c r="E53" s="98">
        <v>1</v>
      </c>
      <c r="F53" s="97">
        <f>VLOOKUP(A53,'⚪设计'!$A$310:$N$333,6,FALSE)</f>
        <v>22.5</v>
      </c>
      <c r="G53" s="97" t="str">
        <f>IF(VLOOKUP($A53,'⚪设计'!$A$310:$N$333,7,FALSE)="","",VLOOKUP($A53,'⚪设计'!$A$310:$N$333,7,FALSE))</f>
        <v>蛋2</v>
      </c>
      <c r="H53" s="97">
        <f t="shared" si="6"/>
        <v>15</v>
      </c>
      <c r="I53" s="97">
        <f>IF(VLOOKUP($A53,'⚪设计'!$A$310:$N$333,11,FALSE)="","",VLOOKUP($A53,'⚪设计'!$A$310:$N$333,11,FALSE))</f>
        <v>1.5</v>
      </c>
      <c r="J53" s="97">
        <f>IF(G53="","",ROUND($D53*VLOOKUP($A53,'⚪设计'!$A$310:$N$333,4,FALSE)/(IF($G53="",0,VLOOKUP($G53,'⚪设计'!$B$85:$H$113,4,FALSE)*$H53)+IF($L53="",0,VLOOKUP($L53,'⚪设计'!$B$85:$H$113,4,FALSE)*$M53)+IF($Q53="",0,VLOOKUP($Q53,'⚪设计'!$B$85:$H$113,4,FALSE)*$R53)+IF($V53="",0,VLOOKUP($V53,'⚪设计'!$B$85:$H$113,4,FALSE)*$W53))*IF(G53="",0,VLOOKUP(G53,'⚪设计'!$B$85:$H$113,4,FALSE)),0))</f>
        <v>272</v>
      </c>
      <c r="K53" s="97">
        <f>IF(G53="","",ROUND(战斗节奏!$B$14/(IF($G53="",0,VLOOKUP($G53,'⚪设计'!$B$85:$H$113,5,FALSE)*$H53)+IF($L53="",0,VLOOKUP($L53,'⚪设计'!$B$85:$H$113,5,FALSE)*$M53)+IF($Q53="",0,VLOOKUP($Q53,'⚪设计'!$B$85:$H$113,5,FALSE)*$R53)+IF($V53="",0,VLOOKUP($V53,'⚪设计'!$B$85:$H$113,5,FALSE)*$W53))*IF(G53="",0,VLOOKUP(G53,'⚪设计'!$B$85:$H$113,5,FALSE)),0))</f>
        <v>2</v>
      </c>
      <c r="L53" s="97" t="str">
        <f>IF(VLOOKUP($A53,'⚪设计'!$A$310:$N$333,8,FALSE)="","",VLOOKUP($A53,'⚪设计'!$A$310:$N$333,8,FALSE))</f>
        <v>种子2</v>
      </c>
      <c r="M53" s="97">
        <f t="shared" si="7"/>
        <v>11</v>
      </c>
      <c r="N53" s="97">
        <f>IF(VLOOKUP($A53,'⚪设计'!$A$310:$N$333,12,FALSE)="","",VLOOKUP($A53,'⚪设计'!$A$310:$N$333,12,FALSE))</f>
        <v>2</v>
      </c>
      <c r="O53" s="97">
        <f>IF(L53="","",ROUND($D53*VLOOKUP($A53,'⚪设计'!$A$310:$N$333,4,FALSE)/(IF($G53="",0,VLOOKUP($G53,'⚪设计'!$B$85:$H$113,4,FALSE)*$H53)+IF($L53="",0,VLOOKUP($L53,'⚪设计'!$B$85:$H$113,4,FALSE)*$M53)+IF($Q53="",0,VLOOKUP($Q53,'⚪设计'!$B$85:$H$113,4,FALSE)*$R53)+IF($V53="",0,VLOOKUP($V53,'⚪设计'!$B$85:$H$113,4,FALSE)*$W53))*IF(L53="",0,VLOOKUP(L53,'⚪设计'!$B$85:$H$113,4,FALSE)),0))</f>
        <v>409</v>
      </c>
      <c r="P53" s="97">
        <f>IF(L53="","",ROUND(战斗节奏!$B$14/(IF($G53="",0,VLOOKUP($G53,'⚪设计'!$B$85:$H$113,5,FALSE)*$H53)+IF($L53="",0,VLOOKUP($L53,'⚪设计'!$B$85:$H$113,5,FALSE)*$M53)+IF($Q53="",0,VLOOKUP($Q53,'⚪设计'!$B$85:$H$113,5,FALSE)*$R53)+IF($V53="",0,VLOOKUP($V53,'⚪设计'!$B$85:$H$113,5,FALSE)*$W53))*IF(L53="",0,VLOOKUP(L53,'⚪设计'!$B$85:$H$113,5,FALSE)),0))</f>
        <v>2</v>
      </c>
      <c r="Q53" s="97" t="str">
        <f>IF(VLOOKUP($A53,'⚪设计'!$A$310:$N$333,9,FALSE)="","",VLOOKUP($A53,'⚪设计'!$A$310:$N$333,9,FALSE))</f>
        <v>蜘蛛2</v>
      </c>
      <c r="R53" s="97">
        <f t="shared" si="8"/>
        <v>15</v>
      </c>
      <c r="S53" s="97">
        <f>IF(VLOOKUP($A53,'⚪设计'!$A$310:$N$333,13,FALSE)="","",VLOOKUP($A53,'⚪设计'!$A$310:$N$333,13,FALSE))</f>
        <v>1.5</v>
      </c>
      <c r="T53" s="97">
        <f>IF(Q53="","",ROUND($D53*VLOOKUP($A53,'⚪设计'!$A$310:$N$333,4,FALSE)/(IF($G53="",0,VLOOKUP($G53,'⚪设计'!$B$85:$H$113,4,FALSE)*$H53)+IF($L53="",0,VLOOKUP($L53,'⚪设计'!$B$85:$H$113,4,FALSE)*$M53)+IF($Q53="",0,VLOOKUP($Q53,'⚪设计'!$B$85:$H$113,4,FALSE)*$R53)+IF($V53="",0,VLOOKUP($V53,'⚪设计'!$B$85:$H$113,4,FALSE)*$W53))*IF(Q53="",0,VLOOKUP(Q53,'⚪设计'!$B$85:$H$113,4,FALSE)),0))</f>
        <v>136</v>
      </c>
      <c r="U53" s="97">
        <f>IF(Q53="","",ROUND(战斗节奏!$B$14/(IF($G53="",0,VLOOKUP($G53,'⚪设计'!$B$85:$H$113,5,FALSE)*$H53)+IF($L53="",0,VLOOKUP($L53,'⚪设计'!$B$85:$H$113,5,FALSE)*$M53)+IF($Q53="",0,VLOOKUP($Q53,'⚪设计'!$B$85:$H$113,5,FALSE)*$R53)+IF($V53="",0,VLOOKUP($V53,'⚪设计'!$B$85:$H$113,5,FALSE)*$W53))*IF(Q53="",0,VLOOKUP(Q53,'⚪设计'!$B$85:$H$113,5,FALSE)),0))</f>
        <v>1</v>
      </c>
      <c r="V53" s="97" t="str">
        <f>IF(VLOOKUP($A53,'⚪设计'!$A$310:$N$333,10,FALSE)="","",VLOOKUP($A53,'⚪设计'!$A$310:$N$333,10,FALSE))</f>
        <v>肉2</v>
      </c>
      <c r="W53" s="97">
        <f t="shared" si="9"/>
        <v>23</v>
      </c>
      <c r="X53" s="97">
        <f>IF(VLOOKUP($A53,'⚪设计'!$A$310:$N$333,14,FALSE)="","",VLOOKUP($A53,'⚪设计'!$A$310:$N$333,14,FALSE))</f>
        <v>1</v>
      </c>
      <c r="Y53" s="97">
        <f>IF(V53="","",ROUND($D53*VLOOKUP($A53,'⚪设计'!$A$310:$N$333,4,FALSE)/(IF($G53="",0,VLOOKUP($G53,'⚪设计'!$B$85:$H$113,4,FALSE)*$H53)+IF($L53="",0,VLOOKUP($L53,'⚪设计'!$B$85:$H$113,4,FALSE)*$M53)+IF($Q53="",0,VLOOKUP($Q53,'⚪设计'!$B$85:$H$113,4,FALSE)*$R53)+IF($V53="",0,VLOOKUP($V53,'⚪设计'!$B$85:$H$113,4,FALSE)*$W53))*IF(V53="",0,VLOOKUP(V53,'⚪设计'!$B$85:$H$113,4,FALSE)),0))</f>
        <v>2043</v>
      </c>
      <c r="Z53" s="97">
        <f>IF(V53="","",ROUND(战斗节奏!$B$14/(IF($G53="",0,VLOOKUP($G53,'⚪设计'!$B$85:$H$113,5,FALSE)*$H53)+IF($L53="",0,VLOOKUP($L53,'⚪设计'!$B$85:$H$113,5,FALSE)*$M53)+IF($Q53="",0,VLOOKUP($Q53,'⚪设计'!$B$85:$H$113,5,FALSE)*$R53)+IF($V53="",0,VLOOKUP($V53,'⚪设计'!$B$85:$H$113,5,FALSE)*$W53))*IF(V53="",0,VLOOKUP(V53,'⚪设计'!$B$85:$H$113,5,FALSE)),0))</f>
        <v>24</v>
      </c>
    </row>
    <row r="54" spans="1:26" x14ac:dyDescent="0.2">
      <c r="A54" s="2" t="str">
        <f t="shared" si="5"/>
        <v>5_7</v>
      </c>
      <c r="B54" s="2">
        <v>5</v>
      </c>
      <c r="C54" s="2">
        <v>7</v>
      </c>
      <c r="D54" s="97">
        <f>VLOOKUP(C54,无限模式!$A$3:$B$22,2,FALSE)</f>
        <v>8100</v>
      </c>
      <c r="E54" s="98">
        <v>1</v>
      </c>
      <c r="F54" s="97">
        <f>VLOOKUP(A54,'⚪设计'!$A$310:$N$333,6,FALSE)</f>
        <v>25</v>
      </c>
      <c r="G54" s="97" t="str">
        <f>IF(VLOOKUP($A54,'⚪设计'!$A$310:$N$333,7,FALSE)="","",VLOOKUP($A54,'⚪设计'!$A$310:$N$333,7,FALSE))</f>
        <v>蛋2</v>
      </c>
      <c r="H54" s="97">
        <f t="shared" si="6"/>
        <v>25</v>
      </c>
      <c r="I54" s="97">
        <f>IF(VLOOKUP($A54,'⚪设计'!$A$310:$N$333,11,FALSE)="","",VLOOKUP($A54,'⚪设计'!$A$310:$N$333,11,FALSE))</f>
        <v>1</v>
      </c>
      <c r="J54" s="97">
        <f>IF(G54="","",ROUND($D54*VLOOKUP($A54,'⚪设计'!$A$310:$N$333,4,FALSE)/(IF($G54="",0,VLOOKUP($G54,'⚪设计'!$B$85:$H$113,4,FALSE)*$H54)+IF($L54="",0,VLOOKUP($L54,'⚪设计'!$B$85:$H$113,4,FALSE)*$M54)+IF($Q54="",0,VLOOKUP($Q54,'⚪设计'!$B$85:$H$113,4,FALSE)*$R54)+IF($V54="",0,VLOOKUP($V54,'⚪设计'!$B$85:$H$113,4,FALSE)*$W54))*IF(G54="",0,VLOOKUP(G54,'⚪设计'!$B$85:$H$113,4,FALSE)),0))</f>
        <v>316</v>
      </c>
      <c r="K54" s="97">
        <f>IF(G54="","",ROUND(战斗节奏!$B$14/(IF($G54="",0,VLOOKUP($G54,'⚪设计'!$B$85:$H$113,5,FALSE)*$H54)+IF($L54="",0,VLOOKUP($L54,'⚪设计'!$B$85:$H$113,5,FALSE)*$M54)+IF($Q54="",0,VLOOKUP($Q54,'⚪设计'!$B$85:$H$113,5,FALSE)*$R54)+IF($V54="",0,VLOOKUP($V54,'⚪设计'!$B$85:$H$113,5,FALSE)*$W54))*IF(G54="",0,VLOOKUP(G54,'⚪设计'!$B$85:$H$113,5,FALSE)),0))</f>
        <v>1</v>
      </c>
      <c r="L54" s="97" t="str">
        <f>IF(VLOOKUP($A54,'⚪设计'!$A$310:$N$333,8,FALSE)="","",VLOOKUP($A54,'⚪设计'!$A$310:$N$333,8,FALSE))</f>
        <v>鬼2</v>
      </c>
      <c r="M54" s="97">
        <f t="shared" si="7"/>
        <v>25</v>
      </c>
      <c r="N54" s="97">
        <f>IF(VLOOKUP($A54,'⚪设计'!$A$310:$N$333,12,FALSE)="","",VLOOKUP($A54,'⚪设计'!$A$310:$N$333,12,FALSE))</f>
        <v>1</v>
      </c>
      <c r="O54" s="97">
        <f>IF(L54="","",ROUND($D54*VLOOKUP($A54,'⚪设计'!$A$310:$N$333,4,FALSE)/(IF($G54="",0,VLOOKUP($G54,'⚪设计'!$B$85:$H$113,4,FALSE)*$H54)+IF($L54="",0,VLOOKUP($L54,'⚪设计'!$B$85:$H$113,4,FALSE)*$M54)+IF($Q54="",0,VLOOKUP($Q54,'⚪设计'!$B$85:$H$113,4,FALSE)*$R54)+IF($V54="",0,VLOOKUP($V54,'⚪设计'!$B$85:$H$113,4,FALSE)*$W54))*IF(L54="",0,VLOOKUP(L54,'⚪设计'!$B$85:$H$113,4,FALSE)),0))</f>
        <v>158</v>
      </c>
      <c r="P54" s="97">
        <f>IF(L54="","",ROUND(战斗节奏!$B$14/(IF($G54="",0,VLOOKUP($G54,'⚪设计'!$B$85:$H$113,5,FALSE)*$H54)+IF($L54="",0,VLOOKUP($L54,'⚪设计'!$B$85:$H$113,5,FALSE)*$M54)+IF($Q54="",0,VLOOKUP($Q54,'⚪设计'!$B$85:$H$113,5,FALSE)*$R54)+IF($V54="",0,VLOOKUP($V54,'⚪设计'!$B$85:$H$113,5,FALSE)*$W54))*IF(L54="",0,VLOOKUP(L54,'⚪设计'!$B$85:$H$113,5,FALSE)),0))</f>
        <v>1</v>
      </c>
      <c r="Q54" s="97" t="str">
        <f>IF(VLOOKUP($A54,'⚪设计'!$A$310:$N$333,9,FALSE)="","",VLOOKUP($A54,'⚪设计'!$A$310:$N$333,9,FALSE))</f>
        <v>蝙蝠2</v>
      </c>
      <c r="R54" s="97">
        <f t="shared" si="8"/>
        <v>125</v>
      </c>
      <c r="S54" s="97">
        <f>IF(VLOOKUP($A54,'⚪设计'!$A$310:$N$333,13,FALSE)="","",VLOOKUP($A54,'⚪设计'!$A$310:$N$333,13,FALSE))</f>
        <v>0.2</v>
      </c>
      <c r="T54" s="97">
        <f>IF(Q54="","",ROUND($D54*VLOOKUP($A54,'⚪设计'!$A$310:$N$333,4,FALSE)/(IF($G54="",0,VLOOKUP($G54,'⚪设计'!$B$85:$H$113,4,FALSE)*$H54)+IF($L54="",0,VLOOKUP($L54,'⚪设计'!$B$85:$H$113,4,FALSE)*$M54)+IF($Q54="",0,VLOOKUP($Q54,'⚪设计'!$B$85:$H$113,4,FALSE)*$R54)+IF($V54="",0,VLOOKUP($V54,'⚪设计'!$B$85:$H$113,4,FALSE)*$W54))*IF(Q54="",0,VLOOKUP(Q54,'⚪设计'!$B$85:$H$113,4,FALSE)),0))</f>
        <v>79</v>
      </c>
      <c r="U54" s="97">
        <f>IF(Q54="","",ROUND(战斗节奏!$B$14/(IF($G54="",0,VLOOKUP($G54,'⚪设计'!$B$85:$H$113,5,FALSE)*$H54)+IF($L54="",0,VLOOKUP($L54,'⚪设计'!$B$85:$H$113,5,FALSE)*$M54)+IF($Q54="",0,VLOOKUP($Q54,'⚪设计'!$B$85:$H$113,5,FALSE)*$R54)+IF($V54="",0,VLOOKUP($V54,'⚪设计'!$B$85:$H$113,5,FALSE)*$W54))*IF(Q54="",0,VLOOKUP(Q54,'⚪设计'!$B$85:$H$113,5,FALSE)),0))</f>
        <v>0</v>
      </c>
      <c r="V54" s="97" t="str">
        <f>IF(VLOOKUP($A54,'⚪设计'!$A$310:$N$333,10,FALSE)="","",VLOOKUP($A54,'⚪设计'!$A$310:$N$333,10,FALSE))</f>
        <v>肉2</v>
      </c>
      <c r="W54" s="97">
        <f t="shared" si="9"/>
        <v>25</v>
      </c>
      <c r="X54" s="97">
        <f>IF(VLOOKUP($A54,'⚪设计'!$A$310:$N$333,14,FALSE)="","",VLOOKUP($A54,'⚪设计'!$A$310:$N$333,14,FALSE))</f>
        <v>1</v>
      </c>
      <c r="Y54" s="97">
        <f>IF(V54="","",ROUND($D54*VLOOKUP($A54,'⚪设计'!$A$310:$N$333,4,FALSE)/(IF($G54="",0,VLOOKUP($G54,'⚪设计'!$B$85:$H$113,4,FALSE)*$H54)+IF($L54="",0,VLOOKUP($L54,'⚪设计'!$B$85:$H$113,4,FALSE)*$M54)+IF($Q54="",0,VLOOKUP($Q54,'⚪设计'!$B$85:$H$113,4,FALSE)*$R54)+IF($V54="",0,VLOOKUP($V54,'⚪设计'!$B$85:$H$113,4,FALSE)*$W54))*IF(V54="",0,VLOOKUP(V54,'⚪设计'!$B$85:$H$113,4,FALSE)),0))</f>
        <v>2371</v>
      </c>
      <c r="Z54" s="97">
        <f>IF(V54="","",ROUND(战斗节奏!$B$14/(IF($G54="",0,VLOOKUP($G54,'⚪设计'!$B$85:$H$113,5,FALSE)*$H54)+IF($L54="",0,VLOOKUP($L54,'⚪设计'!$B$85:$H$113,5,FALSE)*$M54)+IF($Q54="",0,VLOOKUP($Q54,'⚪设计'!$B$85:$H$113,5,FALSE)*$R54)+IF($V54="",0,VLOOKUP($V54,'⚪设计'!$B$85:$H$113,5,FALSE)*$W54))*IF(V54="",0,VLOOKUP(V54,'⚪设计'!$B$85:$H$113,5,FALSE)),0))</f>
        <v>20</v>
      </c>
    </row>
    <row r="55" spans="1:26" x14ac:dyDescent="0.2">
      <c r="A55" s="2" t="str">
        <f t="shared" si="5"/>
        <v>5_8</v>
      </c>
      <c r="B55" s="2">
        <v>5</v>
      </c>
      <c r="C55" s="2">
        <v>8</v>
      </c>
      <c r="D55" s="97">
        <f>VLOOKUP(C55,无限模式!$A$3:$B$22,2,FALSE)</f>
        <v>9000</v>
      </c>
      <c r="E55" s="98">
        <v>1</v>
      </c>
      <c r="F55" s="97">
        <f>VLOOKUP(A55,'⚪设计'!$A$310:$N$333,6,FALSE)</f>
        <v>27.5</v>
      </c>
      <c r="G55" s="97" t="str">
        <f>IF(VLOOKUP($A55,'⚪设计'!$A$310:$N$333,7,FALSE)="","",VLOOKUP($A55,'⚪设计'!$A$310:$N$333,7,FALSE))</f>
        <v>蛋3</v>
      </c>
      <c r="H55" s="97">
        <f t="shared" si="6"/>
        <v>1</v>
      </c>
      <c r="I55" s="97">
        <f>IF(VLOOKUP($A55,'⚪设计'!$A$310:$N$333,11,FALSE)="","",VLOOKUP($A55,'⚪设计'!$A$310:$N$333,11,FALSE))</f>
        <v>0</v>
      </c>
      <c r="J55" s="97">
        <f>IF(G55="","",ROUND($D55*VLOOKUP($A55,'⚪设计'!$A$310:$N$333,4,FALSE)/(IF($G55="",0,VLOOKUP($G55,'⚪设计'!$B$85:$H$113,4,FALSE)*$H55)+IF($L55="",0,VLOOKUP($L55,'⚪设计'!$B$85:$H$113,4,FALSE)*$M55)+IF($Q55="",0,VLOOKUP($Q55,'⚪设计'!$B$85:$H$113,4,FALSE)*$R55)+IF($V55="",0,VLOOKUP($V55,'⚪设计'!$B$85:$H$113,4,FALSE)*$W55))*IF(G55="",0,VLOOKUP(G55,'⚪设计'!$B$85:$H$113,4,FALSE)),0))</f>
        <v>23650</v>
      </c>
      <c r="K55" s="97">
        <f>IF(G55="","",ROUND(战斗节奏!$B$14/(IF($G55="",0,VLOOKUP($G55,'⚪设计'!$B$85:$H$113,5,FALSE)*$H55)+IF($L55="",0,VLOOKUP($L55,'⚪设计'!$B$85:$H$113,5,FALSE)*$M55)+IF($Q55="",0,VLOOKUP($Q55,'⚪设计'!$B$85:$H$113,5,FALSE)*$R55)+IF($V55="",0,VLOOKUP($V55,'⚪设计'!$B$85:$H$113,5,FALSE)*$W55))*IF(G55="",0,VLOOKUP(G55,'⚪设计'!$B$85:$H$113,5,FALSE)),0))</f>
        <v>147</v>
      </c>
      <c r="L55" s="97" t="str">
        <f>IF(VLOOKUP($A55,'⚪设计'!$A$310:$N$333,8,FALSE)="","",VLOOKUP($A55,'⚪设计'!$A$310:$N$333,8,FALSE))</f>
        <v>鬼2</v>
      </c>
      <c r="M55" s="97">
        <f t="shared" si="7"/>
        <v>55</v>
      </c>
      <c r="N55" s="97">
        <f>IF(VLOOKUP($A55,'⚪设计'!$A$310:$N$333,12,FALSE)="","",VLOOKUP($A55,'⚪设计'!$A$310:$N$333,12,FALSE))</f>
        <v>0.5</v>
      </c>
      <c r="O55" s="97">
        <f>IF(L55="","",ROUND($D55*VLOOKUP($A55,'⚪设计'!$A$310:$N$333,4,FALSE)/(IF($G55="",0,VLOOKUP($G55,'⚪设计'!$B$85:$H$113,4,FALSE)*$H55)+IF($L55="",0,VLOOKUP($L55,'⚪设计'!$B$85:$H$113,4,FALSE)*$M55)+IF($Q55="",0,VLOOKUP($Q55,'⚪设计'!$B$85:$H$113,4,FALSE)*$R55)+IF($V55="",0,VLOOKUP($V55,'⚪设计'!$B$85:$H$113,4,FALSE)*$W55))*IF(L55="",0,VLOOKUP(L55,'⚪设计'!$B$85:$H$113,4,FALSE)),0))</f>
        <v>1182</v>
      </c>
      <c r="P55" s="97">
        <f>IF(L55="","",ROUND(战斗节奏!$B$14/(IF($G55="",0,VLOOKUP($G55,'⚪设计'!$B$85:$H$113,5,FALSE)*$H55)+IF($L55="",0,VLOOKUP($L55,'⚪设计'!$B$85:$H$113,5,FALSE)*$M55)+IF($Q55="",0,VLOOKUP($Q55,'⚪设计'!$B$85:$H$113,5,FALSE)*$R55)+IF($V55="",0,VLOOKUP($V55,'⚪设计'!$B$85:$H$113,5,FALSE)*$W55))*IF(L55="",0,VLOOKUP(L55,'⚪设计'!$B$85:$H$113,5,FALSE)),0))</f>
        <v>4</v>
      </c>
      <c r="Q55" s="97" t="str">
        <f>IF(VLOOKUP($A55,'⚪设计'!$A$310:$N$333,9,FALSE)="","",VLOOKUP($A55,'⚪设计'!$A$310:$N$333,9,FALSE))</f>
        <v>种子2</v>
      </c>
      <c r="R55" s="97">
        <f t="shared" si="8"/>
        <v>14</v>
      </c>
      <c r="S55" s="97">
        <f>IF(VLOOKUP($A55,'⚪设计'!$A$310:$N$333,13,FALSE)="","",VLOOKUP($A55,'⚪设计'!$A$310:$N$333,13,FALSE))</f>
        <v>2</v>
      </c>
      <c r="T55" s="97">
        <f>IF(Q55="","",ROUND($D55*VLOOKUP($A55,'⚪设计'!$A$310:$N$333,4,FALSE)/(IF($G55="",0,VLOOKUP($G55,'⚪设计'!$B$85:$H$113,4,FALSE)*$H55)+IF($L55="",0,VLOOKUP($L55,'⚪设计'!$B$85:$H$113,4,FALSE)*$M55)+IF($Q55="",0,VLOOKUP($Q55,'⚪设计'!$B$85:$H$113,4,FALSE)*$R55)+IF($V55="",0,VLOOKUP($V55,'⚪设计'!$B$85:$H$113,4,FALSE)*$W55))*IF(Q55="",0,VLOOKUP(Q55,'⚪设计'!$B$85:$H$113,4,FALSE)),0))</f>
        <v>3547</v>
      </c>
      <c r="U55" s="97">
        <f>IF(Q55="","",ROUND(战斗节奏!$B$14/(IF($G55="",0,VLOOKUP($G55,'⚪设计'!$B$85:$H$113,5,FALSE)*$H55)+IF($L55="",0,VLOOKUP($L55,'⚪设计'!$B$85:$H$113,5,FALSE)*$M55)+IF($Q55="",0,VLOOKUP($Q55,'⚪设计'!$B$85:$H$113,5,FALSE)*$R55)+IF($V55="",0,VLOOKUP($V55,'⚪设计'!$B$85:$H$113,5,FALSE)*$W55))*IF(Q55="",0,VLOOKUP(Q55,'⚪设计'!$B$85:$H$113,5,FALSE)),0))</f>
        <v>7</v>
      </c>
      <c r="V55" s="97" t="str">
        <f>IF(VLOOKUP($A55,'⚪设计'!$A$310:$N$333,10,FALSE)="","",VLOOKUP($A55,'⚪设计'!$A$310:$N$333,10,FALSE))</f>
        <v>肉3</v>
      </c>
      <c r="W55" s="97">
        <f t="shared" si="9"/>
        <v>1</v>
      </c>
      <c r="X55" s="97">
        <f>IF(VLOOKUP($A55,'⚪设计'!$A$310:$N$333,14,FALSE)="","",VLOOKUP($A55,'⚪设计'!$A$310:$N$333,14,FALSE))</f>
        <v>0</v>
      </c>
      <c r="Y55" s="97">
        <f>IF(V55="","",ROUND($D55*VLOOKUP($A55,'⚪设计'!$A$310:$N$333,4,FALSE)/(IF($G55="",0,VLOOKUP($G55,'⚪设计'!$B$85:$H$113,4,FALSE)*$H55)+IF($L55="",0,VLOOKUP($L55,'⚪设计'!$B$85:$H$113,4,FALSE)*$M55)+IF($Q55="",0,VLOOKUP($Q55,'⚪设计'!$B$85:$H$113,4,FALSE)*$R55)+IF($V55="",0,VLOOKUP($V55,'⚪设计'!$B$85:$H$113,4,FALSE)*$W55))*IF(V55="",0,VLOOKUP(V55,'⚪设计'!$B$85:$H$113,4,FALSE)),0))</f>
        <v>23650</v>
      </c>
      <c r="Z55" s="97">
        <f>IF(V55="","",ROUND(战斗节奏!$B$14/(IF($G55="",0,VLOOKUP($G55,'⚪设计'!$B$85:$H$113,5,FALSE)*$H55)+IF($L55="",0,VLOOKUP($L55,'⚪设计'!$B$85:$H$113,5,FALSE)*$M55)+IF($Q55="",0,VLOOKUP($Q55,'⚪设计'!$B$85:$H$113,5,FALSE)*$R55)+IF($V55="",0,VLOOKUP($V55,'⚪设计'!$B$85:$H$113,5,FALSE)*$W55))*IF(V55="",0,VLOOKUP(V55,'⚪设计'!$B$85:$H$113,5,FALSE)),0))</f>
        <v>147</v>
      </c>
    </row>
    <row r="57" spans="1:26" s="161" customFormat="1" x14ac:dyDescent="0.2">
      <c r="A57" s="161" t="s">
        <v>2186</v>
      </c>
    </row>
    <row r="58" spans="1:26" x14ac:dyDescent="0.2">
      <c r="A58" s="158" t="s">
        <v>665</v>
      </c>
      <c r="B58" s="158" t="s">
        <v>62</v>
      </c>
      <c r="C58" s="158" t="s">
        <v>380</v>
      </c>
      <c r="D58" s="158" t="s">
        <v>428</v>
      </c>
      <c r="E58" s="160" t="s">
        <v>430</v>
      </c>
      <c r="F58" s="160" t="s">
        <v>396</v>
      </c>
      <c r="G58" s="158" t="s">
        <v>400</v>
      </c>
      <c r="H58" s="159"/>
      <c r="I58" s="159"/>
      <c r="J58" s="159"/>
      <c r="K58" s="159"/>
      <c r="L58" s="158" t="s">
        <v>401</v>
      </c>
      <c r="M58" s="159"/>
      <c r="N58" s="159"/>
      <c r="O58" s="159"/>
      <c r="P58" s="159"/>
      <c r="Q58" s="158" t="s">
        <v>402</v>
      </c>
      <c r="R58" s="159"/>
      <c r="S58" s="159"/>
      <c r="T58" s="159"/>
      <c r="U58" s="159"/>
      <c r="V58" s="158" t="s">
        <v>403</v>
      </c>
      <c r="W58" s="159"/>
      <c r="X58" s="159"/>
      <c r="Y58" s="159"/>
      <c r="Z58" s="160"/>
    </row>
    <row r="59" spans="1:26" x14ac:dyDescent="0.2">
      <c r="A59" s="85"/>
      <c r="B59" s="85"/>
      <c r="C59" s="85"/>
      <c r="D59" s="85"/>
      <c r="E59" s="86"/>
      <c r="F59" s="86"/>
      <c r="G59" s="85" t="s">
        <v>397</v>
      </c>
      <c r="H59" s="87" t="s">
        <v>283</v>
      </c>
      <c r="I59" s="87" t="s">
        <v>404</v>
      </c>
      <c r="J59" s="87" t="s">
        <v>398</v>
      </c>
      <c r="K59" s="87" t="s">
        <v>399</v>
      </c>
      <c r="L59" s="85" t="s">
        <v>397</v>
      </c>
      <c r="M59" s="87" t="s">
        <v>283</v>
      </c>
      <c r="N59" s="87" t="s">
        <v>404</v>
      </c>
      <c r="O59" s="87" t="s">
        <v>398</v>
      </c>
      <c r="P59" s="87" t="s">
        <v>399</v>
      </c>
      <c r="Q59" s="85" t="s">
        <v>397</v>
      </c>
      <c r="R59" s="87" t="s">
        <v>283</v>
      </c>
      <c r="S59" s="87" t="s">
        <v>404</v>
      </c>
      <c r="T59" s="87" t="s">
        <v>398</v>
      </c>
      <c r="U59" s="87" t="s">
        <v>399</v>
      </c>
      <c r="V59" s="85" t="s">
        <v>397</v>
      </c>
      <c r="W59" s="87" t="s">
        <v>283</v>
      </c>
      <c r="X59" s="87" t="s">
        <v>404</v>
      </c>
      <c r="Y59" s="87" t="s">
        <v>398</v>
      </c>
      <c r="Z59" s="86" t="s">
        <v>399</v>
      </c>
    </row>
    <row r="60" spans="1:26" x14ac:dyDescent="0.2">
      <c r="A60" s="2" t="str">
        <f>B60&amp;"_"&amp;C60</f>
        <v>1_1</v>
      </c>
      <c r="B60" s="2">
        <v>1</v>
      </c>
      <c r="C60" s="2">
        <v>1</v>
      </c>
      <c r="D60" s="97">
        <f>VLOOKUP(C60,无限模式!$A$3:$B$22,2,FALSE)</f>
        <v>900</v>
      </c>
      <c r="E60" s="98">
        <v>1</v>
      </c>
      <c r="F60" s="97">
        <f>VLOOKUP(A60,'⚪设计'!$A$337:$N$360,6,FALSE)</f>
        <v>10</v>
      </c>
      <c r="G60" s="97" t="str">
        <f>IF(VLOOKUP($A60,'⚪设计'!$A$337:$N$360,7,FALSE)="","",VLOOKUP($A60,'⚪设计'!$A$337:$N$360,7,FALSE))</f>
        <v>蜜蜂1</v>
      </c>
      <c r="H60" s="97">
        <f>IF(I60=0,1,IF(I60="","",ROUND($F60/I60,0)))</f>
        <v>5</v>
      </c>
      <c r="I60" s="97">
        <f>IF(VLOOKUP($A60,'⚪设计'!$A$337:$N$360,11,FALSE)="","",VLOOKUP($A60,'⚪设计'!$A$337:$N$360,11,FALSE))</f>
        <v>2</v>
      </c>
      <c r="J60" s="97">
        <f>IF(G60="","",ROUND($D60*VLOOKUP($A60,'⚪设计'!$A$337:$N$360,4,FALSE)/(IF($G60="",0,VLOOKUP($G60,'⚪设计'!$B$85:$H$113,4,FALSE)*$H60)+IF($L60="",0,VLOOKUP($L60,'⚪设计'!$B$85:$H$113,4,FALSE)*$M60)+IF($Q60="",0,VLOOKUP($Q60,'⚪设计'!$B$85:$H$113,4,FALSE)*$R60)+IF($V60="",0,VLOOKUP($V60,'⚪设计'!$B$85:$H$113,4,FALSE)*$W60))*IF(G60="",0,VLOOKUP(G60,'⚪设计'!$B$85:$H$113,4,FALSE)),0))</f>
        <v>22</v>
      </c>
      <c r="K60" s="97">
        <f>IF(G60="","",ROUND(战斗节奏!$B$14/(IF($G60="",0,VLOOKUP($G60,'⚪设计'!$B$85:$H$113,5,FALSE)*$H60)+IF($L60="",0,VLOOKUP($L60,'⚪设计'!$B$85:$H$113,5,FALSE)*$M60)+IF($Q60="",0,VLOOKUP($Q60,'⚪设计'!$B$85:$H$113,5,FALSE)*$R60)+IF($V60="",0,VLOOKUP($V60,'⚪设计'!$B$85:$H$113,5,FALSE)*$W60))*IF(G60="",0,VLOOKUP(G60,'⚪设计'!$B$85:$H$113,5,FALSE)),0))</f>
        <v>35</v>
      </c>
      <c r="L60" s="97" t="str">
        <f>IF(VLOOKUP($A60,'⚪设计'!$A$337:$N$360,8,FALSE)="","",VLOOKUP($A60,'⚪设计'!$A$337:$N$360,8,FALSE))</f>
        <v>雪人1</v>
      </c>
      <c r="M60" s="97">
        <f>IF(N60=0,1,IF(N60="","",ROUND($F60/N60,0)))</f>
        <v>3</v>
      </c>
      <c r="N60" s="97">
        <f>IF(VLOOKUP($A60,'⚪设计'!$A$337:$N$360,12,FALSE)="","",VLOOKUP($A60,'⚪设计'!$A$337:$N$360,12,FALSE))</f>
        <v>3</v>
      </c>
      <c r="O60" s="97">
        <f>IF(L60="","",ROUND($D60*VLOOKUP($A60,'⚪设计'!$A$337:$N$360,4,FALSE)/(IF($G60="",0,VLOOKUP($G60,'⚪设计'!$B$85:$H$113,4,FALSE)*$H60)+IF($L60="",0,VLOOKUP($L60,'⚪设计'!$B$85:$H$113,4,FALSE)*$M60)+IF($Q60="",0,VLOOKUP($Q60,'⚪设计'!$B$85:$H$113,4,FALSE)*$R60)+IF($V60="",0,VLOOKUP($V60,'⚪设计'!$B$85:$H$113,4,FALSE)*$W60))*IF(L60="",0,VLOOKUP(L60,'⚪设计'!$B$85:$H$113,4,FALSE)),0))</f>
        <v>263</v>
      </c>
      <c r="P60" s="97">
        <f>IF(L60="","",ROUND(战斗节奏!$B$14/(IF($G60="",0,VLOOKUP($G60,'⚪设计'!$B$85:$H$113,5,FALSE)*$H60)+IF($L60="",0,VLOOKUP($L60,'⚪设计'!$B$85:$H$113,5,FALSE)*$M60)+IF($Q60="",0,VLOOKUP($Q60,'⚪设计'!$B$85:$H$113,5,FALSE)*$R60)+IF($V60="",0,VLOOKUP($V60,'⚪设计'!$B$85:$H$113,5,FALSE)*$W60))*IF(L60="",0,VLOOKUP(L60,'⚪设计'!$B$85:$H$113,5,FALSE)),0))</f>
        <v>141</v>
      </c>
      <c r="Q60" s="97" t="str">
        <f>IF(VLOOKUP($A60,'⚪设计'!$A$337:$N$360,9,FALSE)="","",VLOOKUP($A60,'⚪设计'!$A$337:$N$360,9,FALSE))</f>
        <v/>
      </c>
      <c r="R60" s="97" t="str">
        <f>IF(S60=0,1,IF(S60="","",ROUND($F60/S60,0)))</f>
        <v/>
      </c>
      <c r="S60" s="97" t="str">
        <f>IF(VLOOKUP($A60,'⚪设计'!$A$337:$N$360,13,FALSE)="","",VLOOKUP($A60,'⚪设计'!$A$337:$N$360,13,FALSE))</f>
        <v/>
      </c>
      <c r="T60" s="97" t="str">
        <f>IF(Q60="","",ROUND($D60*VLOOKUP($A60,'⚪设计'!$A$337:$N$360,4,FALSE)/(IF($G60="",0,VLOOKUP($G60,'⚪设计'!$B$85:$H$113,4,FALSE)*$H60)+IF($L60="",0,VLOOKUP($L60,'⚪设计'!$B$85:$H$113,4,FALSE)*$M60)+IF($Q60="",0,VLOOKUP($Q60,'⚪设计'!$B$85:$H$113,4,FALSE)*$R60)+IF($V60="",0,VLOOKUP($V60,'⚪设计'!$B$85:$H$113,4,FALSE)*$W60))*IF(Q60="",0,VLOOKUP(Q60,'⚪设计'!$B$85:$H$113,4,FALSE)),0))</f>
        <v/>
      </c>
      <c r="U60" s="97" t="str">
        <f>IF(Q60="","",ROUND(战斗节奏!$B$14/(IF($G60="",0,VLOOKUP($G60,'⚪设计'!$B$85:$H$113,5,FALSE)*$H60)+IF($L60="",0,VLOOKUP($L60,'⚪设计'!$B$85:$H$113,5,FALSE)*$M60)+IF($Q60="",0,VLOOKUP($Q60,'⚪设计'!$B$85:$H$113,5,FALSE)*$R60)+IF($V60="",0,VLOOKUP($V60,'⚪设计'!$B$85:$H$113,5,FALSE)*$W60))*IF(Q60="",0,VLOOKUP(Q60,'⚪设计'!$B$85:$H$113,5,FALSE)),0))</f>
        <v/>
      </c>
      <c r="V60" s="97" t="str">
        <f>IF(VLOOKUP($A60,'⚪设计'!$A$337:$N$360,10,FALSE)="","",VLOOKUP($A60,'⚪设计'!$A$337:$N$360,10,FALSE))</f>
        <v/>
      </c>
      <c r="W60" s="97" t="str">
        <f>IF(X60=0,1,IF(X60="","",ROUND($F60/X60,0)))</f>
        <v/>
      </c>
      <c r="X60" s="97" t="str">
        <f>IF(VLOOKUP($A60,'⚪设计'!$A$337:$N$360,14,FALSE)="","",VLOOKUP($A60,'⚪设计'!$A$337:$N$360,14,FALSE))</f>
        <v/>
      </c>
      <c r="Y60" s="97" t="str">
        <f>IF(V60="","",ROUND($D60*VLOOKUP($A60,'⚪设计'!$A$337:$N$360,4,FALSE)/(IF($G60="",0,VLOOKUP($G60,'⚪设计'!$B$85:$H$113,4,FALSE)*$H60)+IF($L60="",0,VLOOKUP($L60,'⚪设计'!$B$85:$H$113,4,FALSE)*$M60)+IF($Q60="",0,VLOOKUP($Q60,'⚪设计'!$B$85:$H$113,4,FALSE)*$R60)+IF($V60="",0,VLOOKUP($V60,'⚪设计'!$B$85:$H$113,4,FALSE)*$W60))*IF(V60="",0,VLOOKUP(V60,'⚪设计'!$B$85:$H$113,4,FALSE)),0))</f>
        <v/>
      </c>
      <c r="Z60" s="97" t="str">
        <f>IF(V60="","",ROUND(战斗节奏!$B$14/(IF($G60="",0,VLOOKUP($G60,'⚪设计'!$B$85:$H$113,5,FALSE)*$H60)+IF($L60="",0,VLOOKUP($L60,'⚪设计'!$B$85:$H$113,5,FALSE)*$M60)+IF($Q60="",0,VLOOKUP($Q60,'⚪设计'!$B$85:$H$113,5,FALSE)*$R60)+IF($V60="",0,VLOOKUP($V60,'⚪设计'!$B$85:$H$113,5,FALSE)*$W60))*IF(V60="",0,VLOOKUP(V60,'⚪设计'!$B$85:$H$113,5,FALSE)),0))</f>
        <v/>
      </c>
    </row>
    <row r="61" spans="1:26" x14ac:dyDescent="0.2">
      <c r="A61" s="2" t="str">
        <f t="shared" ref="A61:A83" si="10">B61&amp;"_"&amp;C61</f>
        <v>1_2</v>
      </c>
      <c r="B61" s="2">
        <v>1</v>
      </c>
      <c r="C61" s="2">
        <v>2</v>
      </c>
      <c r="D61" s="97">
        <f>VLOOKUP(C61,无限模式!$A$3:$B$22,2,FALSE)</f>
        <v>1800</v>
      </c>
      <c r="E61" s="98">
        <v>1</v>
      </c>
      <c r="F61" s="97">
        <f>VLOOKUP(A61,'⚪设计'!$A$337:$N$360,6,FALSE)</f>
        <v>12.5</v>
      </c>
      <c r="G61" s="97" t="str">
        <f>IF(VLOOKUP($A61,'⚪设计'!$A$337:$N$360,7,FALSE)="","",VLOOKUP($A61,'⚪设计'!$A$337:$N$360,7,FALSE))</f>
        <v>蜜蜂1</v>
      </c>
      <c r="H61" s="97">
        <f t="shared" ref="H61:H83" si="11">IF(I61=0,1,IF(I61="","",ROUND($F61/I61,0)))</f>
        <v>25</v>
      </c>
      <c r="I61" s="97">
        <f>IF(VLOOKUP($A61,'⚪设计'!$A$337:$N$360,11,FALSE)="","",VLOOKUP($A61,'⚪设计'!$A$337:$N$360,11,FALSE))</f>
        <v>0.5</v>
      </c>
      <c r="J61" s="97">
        <f>IF(G61="","",ROUND($D61*VLOOKUP($A61,'⚪设计'!$A$337:$N$360,4,FALSE)/(IF($G61="",0,VLOOKUP($G61,'⚪设计'!$B$85:$H$113,4,FALSE)*$H61)+IF($L61="",0,VLOOKUP($L61,'⚪设计'!$B$85:$H$113,4,FALSE)*$M61)+IF($Q61="",0,VLOOKUP($Q61,'⚪设计'!$B$85:$H$113,4,FALSE)*$R61)+IF($V61="",0,VLOOKUP($V61,'⚪设计'!$B$85:$H$113,4,FALSE)*$W61))*IF(G61="",0,VLOOKUP(G61,'⚪设计'!$B$85:$H$113,4,FALSE)),0))</f>
        <v>59</v>
      </c>
      <c r="K61" s="97">
        <f>IF(G61="","",ROUND(战斗节奏!$B$14/(IF($G61="",0,VLOOKUP($G61,'⚪设计'!$B$85:$H$113,5,FALSE)*$H61)+IF($L61="",0,VLOOKUP($L61,'⚪设计'!$B$85:$H$113,5,FALSE)*$M61)+IF($Q61="",0,VLOOKUP($Q61,'⚪设计'!$B$85:$H$113,5,FALSE)*$R61)+IF($V61="",0,VLOOKUP($V61,'⚪设计'!$B$85:$H$113,5,FALSE)*$W61))*IF(G61="",0,VLOOKUP(G61,'⚪设计'!$B$85:$H$113,5,FALSE)),0))</f>
        <v>15</v>
      </c>
      <c r="L61" s="97" t="str">
        <f>IF(VLOOKUP($A61,'⚪设计'!$A$337:$N$360,8,FALSE)="","",VLOOKUP($A61,'⚪设计'!$A$337:$N$360,8,FALSE))</f>
        <v>雪人1</v>
      </c>
      <c r="M61" s="97">
        <f t="shared" ref="M61:M83" si="12">IF(N61=0,1,IF(N61="","",ROUND($F61/N61,0)))</f>
        <v>4</v>
      </c>
      <c r="N61" s="97">
        <f>IF(VLOOKUP($A61,'⚪设计'!$A$337:$N$360,12,FALSE)="","",VLOOKUP($A61,'⚪设计'!$A$337:$N$360,12,FALSE))</f>
        <v>3</v>
      </c>
      <c r="O61" s="97">
        <f>IF(L61="","",ROUND($D61*VLOOKUP($A61,'⚪设计'!$A$337:$N$360,4,FALSE)/(IF($G61="",0,VLOOKUP($G61,'⚪设计'!$B$85:$H$113,4,FALSE)*$H61)+IF($L61="",0,VLOOKUP($L61,'⚪设计'!$B$85:$H$113,4,FALSE)*$M61)+IF($Q61="",0,VLOOKUP($Q61,'⚪设计'!$B$85:$H$113,4,FALSE)*$R61)+IF($V61="",0,VLOOKUP($V61,'⚪设计'!$B$85:$H$113,4,FALSE)*$W61))*IF(L61="",0,VLOOKUP(L61,'⚪设计'!$B$85:$H$113,4,FALSE)),0))</f>
        <v>710</v>
      </c>
      <c r="P61" s="97">
        <f>IF(L61="","",ROUND(战斗节奏!$B$14/(IF($G61="",0,VLOOKUP($G61,'⚪设计'!$B$85:$H$113,5,FALSE)*$H61)+IF($L61="",0,VLOOKUP($L61,'⚪设计'!$B$85:$H$113,5,FALSE)*$M61)+IF($Q61="",0,VLOOKUP($Q61,'⚪设计'!$B$85:$H$113,5,FALSE)*$R61)+IF($V61="",0,VLOOKUP($V61,'⚪设计'!$B$85:$H$113,5,FALSE)*$W61))*IF(L61="",0,VLOOKUP(L61,'⚪设计'!$B$85:$H$113,5,FALSE)),0))</f>
        <v>59</v>
      </c>
      <c r="Q61" s="97" t="str">
        <f>IF(VLOOKUP($A61,'⚪设计'!$A$337:$N$360,9,FALSE)="","",VLOOKUP($A61,'⚪设计'!$A$337:$N$360,9,FALSE))</f>
        <v/>
      </c>
      <c r="R61" s="97" t="str">
        <f t="shared" ref="R61:R83" si="13">IF(S61=0,1,IF(S61="","",ROUND($F61/S61,0)))</f>
        <v/>
      </c>
      <c r="S61" s="97" t="str">
        <f>IF(VLOOKUP($A61,'⚪设计'!$A$337:$N$360,13,FALSE)="","",VLOOKUP($A61,'⚪设计'!$A$337:$N$360,13,FALSE))</f>
        <v/>
      </c>
      <c r="T61" s="97" t="str">
        <f>IF(Q61="","",ROUND($D61*VLOOKUP($A61,'⚪设计'!$A$337:$N$360,4,FALSE)/(IF($G61="",0,VLOOKUP($G61,'⚪设计'!$B$85:$H$113,4,FALSE)*$H61)+IF($L61="",0,VLOOKUP($L61,'⚪设计'!$B$85:$H$113,4,FALSE)*$M61)+IF($Q61="",0,VLOOKUP($Q61,'⚪设计'!$B$85:$H$113,4,FALSE)*$R61)+IF($V61="",0,VLOOKUP($V61,'⚪设计'!$B$85:$H$113,4,FALSE)*$W61))*IF(Q61="",0,VLOOKUP(Q61,'⚪设计'!$B$85:$H$113,4,FALSE)),0))</f>
        <v/>
      </c>
      <c r="U61" s="97" t="str">
        <f>IF(Q61="","",ROUND(战斗节奏!$B$14/(IF($G61="",0,VLOOKUP($G61,'⚪设计'!$B$85:$H$113,5,FALSE)*$H61)+IF($L61="",0,VLOOKUP($L61,'⚪设计'!$B$85:$H$113,5,FALSE)*$M61)+IF($Q61="",0,VLOOKUP($Q61,'⚪设计'!$B$85:$H$113,5,FALSE)*$R61)+IF($V61="",0,VLOOKUP($V61,'⚪设计'!$B$85:$H$113,5,FALSE)*$W61))*IF(Q61="",0,VLOOKUP(Q61,'⚪设计'!$B$85:$H$113,5,FALSE)),0))</f>
        <v/>
      </c>
      <c r="V61" s="97" t="str">
        <f>IF(VLOOKUP($A61,'⚪设计'!$A$337:$N$360,10,FALSE)="","",VLOOKUP($A61,'⚪设计'!$A$337:$N$360,10,FALSE))</f>
        <v/>
      </c>
      <c r="W61" s="97" t="str">
        <f t="shared" ref="W61:W83" si="14">IF(X61=0,1,IF(X61="","",ROUND($F61/X61,0)))</f>
        <v/>
      </c>
      <c r="X61" s="97" t="str">
        <f>IF(VLOOKUP($A61,'⚪设计'!$A$337:$N$360,14,FALSE)="","",VLOOKUP($A61,'⚪设计'!$A$337:$N$360,14,FALSE))</f>
        <v/>
      </c>
      <c r="Y61" s="97" t="str">
        <f>IF(V61="","",ROUND($D61*VLOOKUP($A61,'⚪设计'!$A$337:$N$360,4,FALSE)/(IF($G61="",0,VLOOKUP($G61,'⚪设计'!$B$85:$H$113,4,FALSE)*$H61)+IF($L61="",0,VLOOKUP($L61,'⚪设计'!$B$85:$H$113,4,FALSE)*$M61)+IF($Q61="",0,VLOOKUP($Q61,'⚪设计'!$B$85:$H$113,4,FALSE)*$R61)+IF($V61="",0,VLOOKUP($V61,'⚪设计'!$B$85:$H$113,4,FALSE)*$W61))*IF(V61="",0,VLOOKUP(V61,'⚪设计'!$B$85:$H$113,4,FALSE)),0))</f>
        <v/>
      </c>
      <c r="Z61" s="97" t="str">
        <f>IF(V61="","",ROUND(战斗节奏!$B$14/(IF($G61="",0,VLOOKUP($G61,'⚪设计'!$B$85:$H$113,5,FALSE)*$H61)+IF($L61="",0,VLOOKUP($L61,'⚪设计'!$B$85:$H$113,5,FALSE)*$M61)+IF($Q61="",0,VLOOKUP($Q61,'⚪设计'!$B$85:$H$113,5,FALSE)*$R61)+IF($V61="",0,VLOOKUP($V61,'⚪设计'!$B$85:$H$113,5,FALSE)*$W61))*IF(V61="",0,VLOOKUP(V61,'⚪设计'!$B$85:$H$113,5,FALSE)),0))</f>
        <v/>
      </c>
    </row>
    <row r="62" spans="1:26" x14ac:dyDescent="0.2">
      <c r="A62" s="2" t="str">
        <f t="shared" si="10"/>
        <v>1_3</v>
      </c>
      <c r="B62" s="2">
        <v>1</v>
      </c>
      <c r="C62" s="2">
        <v>3</v>
      </c>
      <c r="D62" s="97">
        <f>VLOOKUP(C62,无限模式!$A$3:$B$22,2,FALSE)</f>
        <v>3600</v>
      </c>
      <c r="E62" s="98">
        <v>1</v>
      </c>
      <c r="F62" s="97">
        <f>VLOOKUP(A62,'⚪设计'!$A$337:$N$360,6,FALSE)</f>
        <v>15</v>
      </c>
      <c r="G62" s="97" t="str">
        <f>IF(VLOOKUP($A62,'⚪设计'!$A$337:$N$360,7,FALSE)="","",VLOOKUP($A62,'⚪设计'!$A$337:$N$360,7,FALSE))</f>
        <v>蜜蜂1</v>
      </c>
      <c r="H62" s="97">
        <f t="shared" si="11"/>
        <v>30</v>
      </c>
      <c r="I62" s="97">
        <f>IF(VLOOKUP($A62,'⚪设计'!$A$337:$N$360,11,FALSE)="","",VLOOKUP($A62,'⚪设计'!$A$337:$N$360,11,FALSE))</f>
        <v>0.5</v>
      </c>
      <c r="J62" s="97">
        <f>IF(G62="","",ROUND($D62*VLOOKUP($A62,'⚪设计'!$A$337:$N$360,4,FALSE)/(IF($G62="",0,VLOOKUP($G62,'⚪设计'!$B$85:$H$113,4,FALSE)*$H62)+IF($L62="",0,VLOOKUP($L62,'⚪设计'!$B$85:$H$113,4,FALSE)*$M62)+IF($Q62="",0,VLOOKUP($Q62,'⚪设计'!$B$85:$H$113,4,FALSE)*$R62)+IF($V62="",0,VLOOKUP($V62,'⚪设计'!$B$85:$H$113,4,FALSE)*$W62))*IF(G62="",0,VLOOKUP(G62,'⚪设计'!$B$85:$H$113,4,FALSE)),0))</f>
        <v>64</v>
      </c>
      <c r="K62" s="97">
        <f>IF(G62="","",ROUND(战斗节奏!$B$14/(IF($G62="",0,VLOOKUP($G62,'⚪设计'!$B$85:$H$113,5,FALSE)*$H62)+IF($L62="",0,VLOOKUP($L62,'⚪设计'!$B$85:$H$113,5,FALSE)*$M62)+IF($Q62="",0,VLOOKUP($Q62,'⚪设计'!$B$85:$H$113,5,FALSE)*$R62)+IF($V62="",0,VLOOKUP($V62,'⚪设计'!$B$85:$H$113,5,FALSE)*$W62))*IF(G62="",0,VLOOKUP(G62,'⚪设计'!$B$85:$H$113,5,FALSE)),0))</f>
        <v>7</v>
      </c>
      <c r="L62" s="97" t="str">
        <f>IF(VLOOKUP($A62,'⚪设计'!$A$337:$N$360,8,FALSE)="","",VLOOKUP($A62,'⚪设计'!$A$337:$N$360,8,FALSE))</f>
        <v>蜜蜂2</v>
      </c>
      <c r="M62" s="97">
        <f t="shared" si="12"/>
        <v>5</v>
      </c>
      <c r="N62" s="97">
        <f>IF(VLOOKUP($A62,'⚪设计'!$A$337:$N$360,12,FALSE)="","",VLOOKUP($A62,'⚪设计'!$A$337:$N$360,12,FALSE))</f>
        <v>3</v>
      </c>
      <c r="O62" s="97">
        <f>IF(L62="","",ROUND($D62*VLOOKUP($A62,'⚪设计'!$A$337:$N$360,4,FALSE)/(IF($G62="",0,VLOOKUP($G62,'⚪设计'!$B$85:$H$113,4,FALSE)*$H62)+IF($L62="",0,VLOOKUP($L62,'⚪设计'!$B$85:$H$113,4,FALSE)*$M62)+IF($Q62="",0,VLOOKUP($Q62,'⚪设计'!$B$85:$H$113,4,FALSE)*$R62)+IF($V62="",0,VLOOKUP($V62,'⚪设计'!$B$85:$H$113,4,FALSE)*$W62))*IF(L62="",0,VLOOKUP(L62,'⚪设计'!$B$85:$H$113,4,FALSE)),0))</f>
        <v>254</v>
      </c>
      <c r="P62" s="97">
        <f>IF(L62="","",ROUND(战斗节奏!$B$14/(IF($G62="",0,VLOOKUP($G62,'⚪设计'!$B$85:$H$113,5,FALSE)*$H62)+IF($L62="",0,VLOOKUP($L62,'⚪设计'!$B$85:$H$113,5,FALSE)*$M62)+IF($Q62="",0,VLOOKUP($Q62,'⚪设计'!$B$85:$H$113,5,FALSE)*$R62)+IF($V62="",0,VLOOKUP($V62,'⚪设计'!$B$85:$H$113,5,FALSE)*$W62))*IF(L62="",0,VLOOKUP(L62,'⚪设计'!$B$85:$H$113,5,FALSE)),0))</f>
        <v>27</v>
      </c>
      <c r="Q62" s="97" t="str">
        <f>IF(VLOOKUP($A62,'⚪设计'!$A$337:$N$360,9,FALSE)="","",VLOOKUP($A62,'⚪设计'!$A$337:$N$360,9,FALSE))</f>
        <v>雪人1</v>
      </c>
      <c r="R62" s="97">
        <f t="shared" si="13"/>
        <v>10</v>
      </c>
      <c r="S62" s="97">
        <f>IF(VLOOKUP($A62,'⚪设计'!$A$337:$N$360,13,FALSE)="","",VLOOKUP($A62,'⚪设计'!$A$337:$N$360,13,FALSE))</f>
        <v>1.5</v>
      </c>
      <c r="T62" s="97">
        <f>IF(Q62="","",ROUND($D62*VLOOKUP($A62,'⚪设计'!$A$337:$N$360,4,FALSE)/(IF($G62="",0,VLOOKUP($G62,'⚪设计'!$B$85:$H$113,4,FALSE)*$H62)+IF($L62="",0,VLOOKUP($L62,'⚪设计'!$B$85:$H$113,4,FALSE)*$M62)+IF($Q62="",0,VLOOKUP($Q62,'⚪设计'!$B$85:$H$113,4,FALSE)*$R62)+IF($V62="",0,VLOOKUP($V62,'⚪设计'!$B$85:$H$113,4,FALSE)*$W62))*IF(Q62="",0,VLOOKUP(Q62,'⚪设计'!$B$85:$H$113,4,FALSE)),0))</f>
        <v>762</v>
      </c>
      <c r="U62" s="97">
        <f>IF(Q62="","",ROUND(战斗节奏!$B$14/(IF($G62="",0,VLOOKUP($G62,'⚪设计'!$B$85:$H$113,5,FALSE)*$H62)+IF($L62="",0,VLOOKUP($L62,'⚪设计'!$B$85:$H$113,5,FALSE)*$M62)+IF($Q62="",0,VLOOKUP($Q62,'⚪设计'!$B$85:$H$113,5,FALSE)*$R62)+IF($V62="",0,VLOOKUP($V62,'⚪设计'!$B$85:$H$113,5,FALSE)*$W62))*IF(Q62="",0,VLOOKUP(Q62,'⚪设计'!$B$85:$H$113,5,FALSE)),0))</f>
        <v>27</v>
      </c>
      <c r="V62" s="97" t="str">
        <f>IF(VLOOKUP($A62,'⚪设计'!$A$337:$N$360,10,FALSE)="","",VLOOKUP($A62,'⚪设计'!$A$337:$N$360,10,FALSE))</f>
        <v/>
      </c>
      <c r="W62" s="97" t="str">
        <f t="shared" si="14"/>
        <v/>
      </c>
      <c r="X62" s="97" t="str">
        <f>IF(VLOOKUP($A62,'⚪设计'!$A$337:$N$360,14,FALSE)="","",VLOOKUP($A62,'⚪设计'!$A$337:$N$360,14,FALSE))</f>
        <v/>
      </c>
      <c r="Y62" s="97" t="str">
        <f>IF(V62="","",ROUND($D62*VLOOKUP($A62,'⚪设计'!$A$337:$N$360,4,FALSE)/(IF($G62="",0,VLOOKUP($G62,'⚪设计'!$B$85:$H$113,4,FALSE)*$H62)+IF($L62="",0,VLOOKUP($L62,'⚪设计'!$B$85:$H$113,4,FALSE)*$M62)+IF($Q62="",0,VLOOKUP($Q62,'⚪设计'!$B$85:$H$113,4,FALSE)*$R62)+IF($V62="",0,VLOOKUP($V62,'⚪设计'!$B$85:$H$113,4,FALSE)*$W62))*IF(V62="",0,VLOOKUP(V62,'⚪设计'!$B$85:$H$113,4,FALSE)),0))</f>
        <v/>
      </c>
      <c r="Z62" s="97" t="str">
        <f>IF(V62="","",ROUND(战斗节奏!$B$14/(IF($G62="",0,VLOOKUP($G62,'⚪设计'!$B$85:$H$113,5,FALSE)*$H62)+IF($L62="",0,VLOOKUP($L62,'⚪设计'!$B$85:$H$113,5,FALSE)*$M62)+IF($Q62="",0,VLOOKUP($Q62,'⚪设计'!$B$85:$H$113,5,FALSE)*$R62)+IF($V62="",0,VLOOKUP($V62,'⚪设计'!$B$85:$H$113,5,FALSE)*$W62))*IF(V62="",0,VLOOKUP(V62,'⚪设计'!$B$85:$H$113,5,FALSE)),0))</f>
        <v/>
      </c>
    </row>
    <row r="63" spans="1:26" x14ac:dyDescent="0.2">
      <c r="A63" s="2" t="str">
        <f t="shared" si="10"/>
        <v>2_1</v>
      </c>
      <c r="B63" s="2">
        <v>2</v>
      </c>
      <c r="C63" s="2">
        <v>1</v>
      </c>
      <c r="D63" s="97">
        <f>VLOOKUP(C63,无限模式!$A$3:$B$22,2,FALSE)</f>
        <v>900</v>
      </c>
      <c r="E63" s="98">
        <v>1</v>
      </c>
      <c r="F63" s="97">
        <f>VLOOKUP(A63,'⚪设计'!$A$337:$N$360,6,FALSE)</f>
        <v>10</v>
      </c>
      <c r="G63" s="97" t="str">
        <f>IF(VLOOKUP($A63,'⚪设计'!$A$337:$N$360,7,FALSE)="","",VLOOKUP($A63,'⚪设计'!$A$337:$N$360,7,FALSE))</f>
        <v>蜘蛛1</v>
      </c>
      <c r="H63" s="97">
        <f t="shared" si="11"/>
        <v>5</v>
      </c>
      <c r="I63" s="97">
        <f>IF(VLOOKUP($A63,'⚪设计'!$A$337:$N$360,11,FALSE)="","",VLOOKUP($A63,'⚪设计'!$A$337:$N$360,11,FALSE))</f>
        <v>2</v>
      </c>
      <c r="J63" s="97">
        <f>IF(G63="","",ROUND($D63*VLOOKUP($A63,'⚪设计'!$A$337:$N$360,4,FALSE)/(IF($G63="",0,VLOOKUP($G63,'⚪设计'!$B$85:$H$113,4,FALSE)*$H63)+IF($L63="",0,VLOOKUP($L63,'⚪设计'!$B$85:$H$113,4,FALSE)*$M63)+IF($Q63="",0,VLOOKUP($Q63,'⚪设计'!$B$85:$H$113,4,FALSE)*$R63)+IF($V63="",0,VLOOKUP($V63,'⚪设计'!$B$85:$H$113,4,FALSE)*$W63))*IF(G63="",0,VLOOKUP(G63,'⚪设计'!$B$85:$H$113,4,FALSE)),0))</f>
        <v>26</v>
      </c>
      <c r="K63" s="97">
        <f>IF(G63="","",ROUND(战斗节奏!$B$14/(IF($G63="",0,VLOOKUP($G63,'⚪设计'!$B$85:$H$113,5,FALSE)*$H63)+IF($L63="",0,VLOOKUP($L63,'⚪设计'!$B$85:$H$113,5,FALSE)*$M63)+IF($Q63="",0,VLOOKUP($Q63,'⚪设计'!$B$85:$H$113,5,FALSE)*$R63)+IF($V63="",0,VLOOKUP($V63,'⚪设计'!$B$85:$H$113,5,FALSE)*$W63))*IF(G63="",0,VLOOKUP(G63,'⚪设计'!$B$85:$H$113,5,FALSE)),0))</f>
        <v>40</v>
      </c>
      <c r="L63" s="97" t="str">
        <f>IF(VLOOKUP($A63,'⚪设计'!$A$337:$N$360,8,FALSE)="","",VLOOKUP($A63,'⚪设计'!$A$337:$N$360,8,FALSE))</f>
        <v>雪人1</v>
      </c>
      <c r="M63" s="97">
        <f t="shared" si="12"/>
        <v>5</v>
      </c>
      <c r="N63" s="97">
        <f>IF(VLOOKUP($A63,'⚪设计'!$A$337:$N$360,12,FALSE)="","",VLOOKUP($A63,'⚪设计'!$A$337:$N$360,12,FALSE))</f>
        <v>2</v>
      </c>
      <c r="O63" s="97">
        <f>IF(L63="","",ROUND($D63*VLOOKUP($A63,'⚪设计'!$A$337:$N$360,4,FALSE)/(IF($G63="",0,VLOOKUP($G63,'⚪设计'!$B$85:$H$113,4,FALSE)*$H63)+IF($L63="",0,VLOOKUP($L63,'⚪设计'!$B$85:$H$113,4,FALSE)*$M63)+IF($Q63="",0,VLOOKUP($Q63,'⚪设计'!$B$85:$H$113,4,FALSE)*$R63)+IF($V63="",0,VLOOKUP($V63,'⚪设计'!$B$85:$H$113,4,FALSE)*$W63))*IF(L63="",0,VLOOKUP(L63,'⚪设计'!$B$85:$H$113,4,FALSE)),0))</f>
        <v>154</v>
      </c>
      <c r="P63" s="97">
        <f>IF(L63="","",ROUND(战斗节奏!$B$14/(IF($G63="",0,VLOOKUP($G63,'⚪设计'!$B$85:$H$113,5,FALSE)*$H63)+IF($L63="",0,VLOOKUP($L63,'⚪设计'!$B$85:$H$113,5,FALSE)*$M63)+IF($Q63="",0,VLOOKUP($Q63,'⚪设计'!$B$85:$H$113,5,FALSE)*$R63)+IF($V63="",0,VLOOKUP($V63,'⚪设计'!$B$85:$H$113,5,FALSE)*$W63))*IF(L63="",0,VLOOKUP(L63,'⚪设计'!$B$85:$H$113,5,FALSE)),0))</f>
        <v>80</v>
      </c>
      <c r="Q63" s="97" t="str">
        <f>IF(VLOOKUP($A63,'⚪设计'!$A$337:$N$360,9,FALSE)="","",VLOOKUP($A63,'⚪设计'!$A$337:$N$360,9,FALSE))</f>
        <v/>
      </c>
      <c r="R63" s="97" t="str">
        <f t="shared" si="13"/>
        <v/>
      </c>
      <c r="S63" s="97" t="str">
        <f>IF(VLOOKUP($A63,'⚪设计'!$A$337:$N$360,13,FALSE)="","",VLOOKUP($A63,'⚪设计'!$A$337:$N$360,13,FALSE))</f>
        <v/>
      </c>
      <c r="T63" s="97" t="str">
        <f>IF(Q63="","",ROUND($D63*VLOOKUP($A63,'⚪设计'!$A$337:$N$360,4,FALSE)/(IF($G63="",0,VLOOKUP($G63,'⚪设计'!$B$85:$H$113,4,FALSE)*$H63)+IF($L63="",0,VLOOKUP($L63,'⚪设计'!$B$85:$H$113,4,FALSE)*$M63)+IF($Q63="",0,VLOOKUP($Q63,'⚪设计'!$B$85:$H$113,4,FALSE)*$R63)+IF($V63="",0,VLOOKUP($V63,'⚪设计'!$B$85:$H$113,4,FALSE)*$W63))*IF(Q63="",0,VLOOKUP(Q63,'⚪设计'!$B$85:$H$113,4,FALSE)),0))</f>
        <v/>
      </c>
      <c r="U63" s="97" t="str">
        <f>IF(Q63="","",ROUND(战斗节奏!$B$14/(IF($G63="",0,VLOOKUP($G63,'⚪设计'!$B$85:$H$113,5,FALSE)*$H63)+IF($L63="",0,VLOOKUP($L63,'⚪设计'!$B$85:$H$113,5,FALSE)*$M63)+IF($Q63="",0,VLOOKUP($Q63,'⚪设计'!$B$85:$H$113,5,FALSE)*$R63)+IF($V63="",0,VLOOKUP($V63,'⚪设计'!$B$85:$H$113,5,FALSE)*$W63))*IF(Q63="",0,VLOOKUP(Q63,'⚪设计'!$B$85:$H$113,5,FALSE)),0))</f>
        <v/>
      </c>
      <c r="V63" s="97" t="str">
        <f>IF(VLOOKUP($A63,'⚪设计'!$A$337:$N$360,10,FALSE)="","",VLOOKUP($A63,'⚪设计'!$A$337:$N$360,10,FALSE))</f>
        <v/>
      </c>
      <c r="W63" s="97" t="str">
        <f t="shared" si="14"/>
        <v/>
      </c>
      <c r="X63" s="97" t="str">
        <f>IF(VLOOKUP($A63,'⚪设计'!$A$337:$N$360,14,FALSE)="","",VLOOKUP($A63,'⚪设计'!$A$337:$N$360,14,FALSE))</f>
        <v/>
      </c>
      <c r="Y63" s="97" t="str">
        <f>IF(V63="","",ROUND($D63*VLOOKUP($A63,'⚪设计'!$A$337:$N$360,4,FALSE)/(IF($G63="",0,VLOOKUP($G63,'⚪设计'!$B$85:$H$113,4,FALSE)*$H63)+IF($L63="",0,VLOOKUP($L63,'⚪设计'!$B$85:$H$113,4,FALSE)*$M63)+IF($Q63="",0,VLOOKUP($Q63,'⚪设计'!$B$85:$H$113,4,FALSE)*$R63)+IF($V63="",0,VLOOKUP($V63,'⚪设计'!$B$85:$H$113,4,FALSE)*$W63))*IF(V63="",0,VLOOKUP(V63,'⚪设计'!$B$85:$H$113,4,FALSE)),0))</f>
        <v/>
      </c>
      <c r="Z63" s="97" t="str">
        <f>IF(V63="","",ROUND(战斗节奏!$B$14/(IF($G63="",0,VLOOKUP($G63,'⚪设计'!$B$85:$H$113,5,FALSE)*$H63)+IF($L63="",0,VLOOKUP($L63,'⚪设计'!$B$85:$H$113,5,FALSE)*$M63)+IF($Q63="",0,VLOOKUP($Q63,'⚪设计'!$B$85:$H$113,5,FALSE)*$R63)+IF($V63="",0,VLOOKUP($V63,'⚪设计'!$B$85:$H$113,5,FALSE)*$W63))*IF(V63="",0,VLOOKUP(V63,'⚪设计'!$B$85:$H$113,5,FALSE)),0))</f>
        <v/>
      </c>
    </row>
    <row r="64" spans="1:26" x14ac:dyDescent="0.2">
      <c r="A64" s="2" t="str">
        <f t="shared" si="10"/>
        <v>2_2</v>
      </c>
      <c r="B64" s="2">
        <v>2</v>
      </c>
      <c r="C64" s="2">
        <v>2</v>
      </c>
      <c r="D64" s="97">
        <f>VLOOKUP(C64,无限模式!$A$3:$B$22,2,FALSE)</f>
        <v>1800</v>
      </c>
      <c r="E64" s="98">
        <v>1</v>
      </c>
      <c r="F64" s="97">
        <f>VLOOKUP(A64,'⚪设计'!$A$337:$N$360,6,FALSE)</f>
        <v>12.5</v>
      </c>
      <c r="G64" s="97" t="str">
        <f>IF(VLOOKUP($A64,'⚪设计'!$A$337:$N$360,7,FALSE)="","",VLOOKUP($A64,'⚪设计'!$A$337:$N$360,7,FALSE))</f>
        <v>蜘蛛1</v>
      </c>
      <c r="H64" s="97">
        <f t="shared" si="11"/>
        <v>6</v>
      </c>
      <c r="I64" s="97">
        <f>IF(VLOOKUP($A64,'⚪设计'!$A$337:$N$360,11,FALSE)="","",VLOOKUP($A64,'⚪设计'!$A$337:$N$360,11,FALSE))</f>
        <v>2</v>
      </c>
      <c r="J64" s="97">
        <f>IF(G64="","",ROUND($D64*VLOOKUP($A64,'⚪设计'!$A$337:$N$360,4,FALSE)/(IF($G64="",0,VLOOKUP($G64,'⚪设计'!$B$85:$H$113,4,FALSE)*$H64)+IF($L64="",0,VLOOKUP($L64,'⚪设计'!$B$85:$H$113,4,FALSE)*$M64)+IF($Q64="",0,VLOOKUP($Q64,'⚪设计'!$B$85:$H$113,4,FALSE)*$R64)+IF($V64="",0,VLOOKUP($V64,'⚪设计'!$B$85:$H$113,4,FALSE)*$W64))*IF(G64="",0,VLOOKUP(G64,'⚪设计'!$B$85:$H$113,4,FALSE)),0))</f>
        <v>120</v>
      </c>
      <c r="K64" s="97">
        <f>IF(G64="","",ROUND(战斗节奏!$B$14/(IF($G64="",0,VLOOKUP($G64,'⚪设计'!$B$85:$H$113,5,FALSE)*$H64)+IF($L64="",0,VLOOKUP($L64,'⚪设计'!$B$85:$H$113,5,FALSE)*$M64)+IF($Q64="",0,VLOOKUP($Q64,'⚪设计'!$B$85:$H$113,5,FALSE)*$R64)+IF($V64="",0,VLOOKUP($V64,'⚪设计'!$B$85:$H$113,5,FALSE)*$W64))*IF(G64="",0,VLOOKUP(G64,'⚪设计'!$B$85:$H$113,5,FALSE)),0))</f>
        <v>20</v>
      </c>
      <c r="L64" s="97" t="str">
        <f>IF(VLOOKUP($A64,'⚪设计'!$A$337:$N$360,8,FALSE)="","",VLOOKUP($A64,'⚪设计'!$A$337:$N$360,8,FALSE))</f>
        <v>蜜蜂2</v>
      </c>
      <c r="M64" s="97">
        <f t="shared" si="12"/>
        <v>6</v>
      </c>
      <c r="N64" s="97">
        <f>IF(VLOOKUP($A64,'⚪设计'!$A$337:$N$360,12,FALSE)="","",VLOOKUP($A64,'⚪设计'!$A$337:$N$360,12,FALSE))</f>
        <v>2</v>
      </c>
      <c r="O64" s="97">
        <f>IF(L64="","",ROUND($D64*VLOOKUP($A64,'⚪设计'!$A$337:$N$360,4,FALSE)/(IF($G64="",0,VLOOKUP($G64,'⚪设计'!$B$85:$H$113,4,FALSE)*$H64)+IF($L64="",0,VLOOKUP($L64,'⚪设计'!$B$85:$H$113,4,FALSE)*$M64)+IF($Q64="",0,VLOOKUP($Q64,'⚪设计'!$B$85:$H$113,4,FALSE)*$R64)+IF($V64="",0,VLOOKUP($V64,'⚪设计'!$B$85:$H$113,4,FALSE)*$W64))*IF(L64="",0,VLOOKUP(L64,'⚪设计'!$B$85:$H$113,4,FALSE)),0))</f>
        <v>240</v>
      </c>
      <c r="P64" s="97">
        <f>IF(L64="","",ROUND(战斗节奏!$B$14/(IF($G64="",0,VLOOKUP($G64,'⚪设计'!$B$85:$H$113,5,FALSE)*$H64)+IF($L64="",0,VLOOKUP($L64,'⚪设计'!$B$85:$H$113,5,FALSE)*$M64)+IF($Q64="",0,VLOOKUP($Q64,'⚪设计'!$B$85:$H$113,5,FALSE)*$R64)+IF($V64="",0,VLOOKUP($V64,'⚪设计'!$B$85:$H$113,5,FALSE)*$W64))*IF(L64="",0,VLOOKUP(L64,'⚪设计'!$B$85:$H$113,5,FALSE)),0))</f>
        <v>40</v>
      </c>
      <c r="Q64" s="97" t="str">
        <f>IF(VLOOKUP($A64,'⚪设计'!$A$337:$N$360,9,FALSE)="","",VLOOKUP($A64,'⚪设计'!$A$337:$N$360,9,FALSE))</f>
        <v>雪人1</v>
      </c>
      <c r="R64" s="97">
        <f t="shared" si="13"/>
        <v>6</v>
      </c>
      <c r="S64" s="97">
        <f>IF(VLOOKUP($A64,'⚪设计'!$A$337:$N$360,13,FALSE)="","",VLOOKUP($A64,'⚪设计'!$A$337:$N$360,13,FALSE))</f>
        <v>2</v>
      </c>
      <c r="T64" s="97">
        <f>IF(Q64="","",ROUND($D64*VLOOKUP($A64,'⚪设计'!$A$337:$N$360,4,FALSE)/(IF($G64="",0,VLOOKUP($G64,'⚪设计'!$B$85:$H$113,4,FALSE)*$H64)+IF($L64="",0,VLOOKUP($L64,'⚪设计'!$B$85:$H$113,4,FALSE)*$M64)+IF($Q64="",0,VLOOKUP($Q64,'⚪设计'!$B$85:$H$113,4,FALSE)*$R64)+IF($V64="",0,VLOOKUP($V64,'⚪设计'!$B$85:$H$113,4,FALSE)*$W64))*IF(Q64="",0,VLOOKUP(Q64,'⚪设计'!$B$85:$H$113,4,FALSE)),0))</f>
        <v>720</v>
      </c>
      <c r="U64" s="97">
        <f>IF(Q64="","",ROUND(战斗节奏!$B$14/(IF($G64="",0,VLOOKUP($G64,'⚪设计'!$B$85:$H$113,5,FALSE)*$H64)+IF($L64="",0,VLOOKUP($L64,'⚪设计'!$B$85:$H$113,5,FALSE)*$M64)+IF($Q64="",0,VLOOKUP($Q64,'⚪设计'!$B$85:$H$113,5,FALSE)*$R64)+IF($V64="",0,VLOOKUP($V64,'⚪设计'!$B$85:$H$113,5,FALSE)*$W64))*IF(Q64="",0,VLOOKUP(Q64,'⚪设计'!$B$85:$H$113,5,FALSE)),0))</f>
        <v>40</v>
      </c>
      <c r="V64" s="97" t="str">
        <f>IF(VLOOKUP($A64,'⚪设计'!$A$337:$N$360,10,FALSE)="","",VLOOKUP($A64,'⚪设计'!$A$337:$N$360,10,FALSE))</f>
        <v/>
      </c>
      <c r="W64" s="97" t="str">
        <f t="shared" si="14"/>
        <v/>
      </c>
      <c r="X64" s="97" t="str">
        <f>IF(VLOOKUP($A64,'⚪设计'!$A$337:$N$360,14,FALSE)="","",VLOOKUP($A64,'⚪设计'!$A$337:$N$360,14,FALSE))</f>
        <v/>
      </c>
      <c r="Y64" s="97" t="str">
        <f>IF(V64="","",ROUND($D64*VLOOKUP($A64,'⚪设计'!$A$337:$N$360,4,FALSE)/(IF($G64="",0,VLOOKUP($G64,'⚪设计'!$B$85:$H$113,4,FALSE)*$H64)+IF($L64="",0,VLOOKUP($L64,'⚪设计'!$B$85:$H$113,4,FALSE)*$M64)+IF($Q64="",0,VLOOKUP($Q64,'⚪设计'!$B$85:$H$113,4,FALSE)*$R64)+IF($V64="",0,VLOOKUP($V64,'⚪设计'!$B$85:$H$113,4,FALSE)*$W64))*IF(V64="",0,VLOOKUP(V64,'⚪设计'!$B$85:$H$113,4,FALSE)),0))</f>
        <v/>
      </c>
      <c r="Z64" s="97" t="str">
        <f>IF(V64="","",ROUND(战斗节奏!$B$14/(IF($G64="",0,VLOOKUP($G64,'⚪设计'!$B$85:$H$113,5,FALSE)*$H64)+IF($L64="",0,VLOOKUP($L64,'⚪设计'!$B$85:$H$113,5,FALSE)*$M64)+IF($Q64="",0,VLOOKUP($Q64,'⚪设计'!$B$85:$H$113,5,FALSE)*$R64)+IF($V64="",0,VLOOKUP($V64,'⚪设计'!$B$85:$H$113,5,FALSE)*$W64))*IF(V64="",0,VLOOKUP(V64,'⚪设计'!$B$85:$H$113,5,FALSE)),0))</f>
        <v/>
      </c>
    </row>
    <row r="65" spans="1:26" x14ac:dyDescent="0.2">
      <c r="A65" s="2" t="str">
        <f t="shared" si="10"/>
        <v>2_3</v>
      </c>
      <c r="B65" s="2">
        <v>2</v>
      </c>
      <c r="C65" s="2">
        <v>3</v>
      </c>
      <c r="D65" s="97">
        <f>VLOOKUP(C65,无限模式!$A$3:$B$22,2,FALSE)</f>
        <v>3600</v>
      </c>
      <c r="E65" s="98">
        <v>1</v>
      </c>
      <c r="F65" s="97">
        <f>VLOOKUP(A65,'⚪设计'!$A$337:$N$360,6,FALSE)</f>
        <v>15</v>
      </c>
      <c r="G65" s="97" t="str">
        <f>IF(VLOOKUP($A65,'⚪设计'!$A$337:$N$360,7,FALSE)="","",VLOOKUP($A65,'⚪设计'!$A$337:$N$360,7,FALSE))</f>
        <v>蜘蛛1</v>
      </c>
      <c r="H65" s="97">
        <f t="shared" si="11"/>
        <v>15</v>
      </c>
      <c r="I65" s="97">
        <f>IF(VLOOKUP($A65,'⚪设计'!$A$337:$N$360,11,FALSE)="","",VLOOKUP($A65,'⚪设计'!$A$337:$N$360,11,FALSE))</f>
        <v>1</v>
      </c>
      <c r="J65" s="97">
        <f>IF(G65="","",ROUND($D65*VLOOKUP($A65,'⚪设计'!$A$337:$N$360,4,FALSE)/(IF($G65="",0,VLOOKUP($G65,'⚪设计'!$B$85:$H$113,4,FALSE)*$H65)+IF($L65="",0,VLOOKUP($L65,'⚪设计'!$B$85:$H$113,4,FALSE)*$M65)+IF($Q65="",0,VLOOKUP($Q65,'⚪设计'!$B$85:$H$113,4,FALSE)*$R65)+IF($V65="",0,VLOOKUP($V65,'⚪设计'!$B$85:$H$113,4,FALSE)*$W65))*IF(G65="",0,VLOOKUP(G65,'⚪设计'!$B$85:$H$113,4,FALSE)),0))</f>
        <v>115</v>
      </c>
      <c r="K65" s="97">
        <f>IF(G65="","",ROUND(战斗节奏!$B$14/(IF($G65="",0,VLOOKUP($G65,'⚪设计'!$B$85:$H$113,5,FALSE)*$H65)+IF($L65="",0,VLOOKUP($L65,'⚪设计'!$B$85:$H$113,5,FALSE)*$M65)+IF($Q65="",0,VLOOKUP($Q65,'⚪设计'!$B$85:$H$113,5,FALSE)*$R65)+IF($V65="",0,VLOOKUP($V65,'⚪设计'!$B$85:$H$113,5,FALSE)*$W65))*IF(G65="",0,VLOOKUP(G65,'⚪设计'!$B$85:$H$113,5,FALSE)),0))</f>
        <v>11</v>
      </c>
      <c r="L65" s="97" t="str">
        <f>IF(VLOOKUP($A65,'⚪设计'!$A$337:$N$360,8,FALSE)="","",VLOOKUP($A65,'⚪设计'!$A$337:$N$360,8,FALSE))</f>
        <v>蝙蝠1</v>
      </c>
      <c r="M65" s="97">
        <f t="shared" si="12"/>
        <v>15</v>
      </c>
      <c r="N65" s="97">
        <f>IF(VLOOKUP($A65,'⚪设计'!$A$337:$N$360,12,FALSE)="","",VLOOKUP($A65,'⚪设计'!$A$337:$N$360,12,FALSE))</f>
        <v>1</v>
      </c>
      <c r="O65" s="97">
        <f>IF(L65="","",ROUND($D65*VLOOKUP($A65,'⚪设计'!$A$337:$N$360,4,FALSE)/(IF($G65="",0,VLOOKUP($G65,'⚪设计'!$B$85:$H$113,4,FALSE)*$H65)+IF($L65="",0,VLOOKUP($L65,'⚪设计'!$B$85:$H$113,4,FALSE)*$M65)+IF($Q65="",0,VLOOKUP($Q65,'⚪设计'!$B$85:$H$113,4,FALSE)*$R65)+IF($V65="",0,VLOOKUP($V65,'⚪设计'!$B$85:$H$113,4,FALSE)*$W65))*IF(L65="",0,VLOOKUP(L65,'⚪设计'!$B$85:$H$113,4,FALSE)),0))</f>
        <v>58</v>
      </c>
      <c r="P65" s="97">
        <f>IF(L65="","",ROUND(战斗节奏!$B$14/(IF($G65="",0,VLOOKUP($G65,'⚪设计'!$B$85:$H$113,5,FALSE)*$H65)+IF($L65="",0,VLOOKUP($L65,'⚪设计'!$B$85:$H$113,5,FALSE)*$M65)+IF($Q65="",0,VLOOKUP($Q65,'⚪设计'!$B$85:$H$113,5,FALSE)*$R65)+IF($V65="",0,VLOOKUP($V65,'⚪设计'!$B$85:$H$113,5,FALSE)*$W65))*IF(L65="",0,VLOOKUP(L65,'⚪设计'!$B$85:$H$113,5,FALSE)),0))</f>
        <v>6</v>
      </c>
      <c r="Q65" s="97" t="str">
        <f>IF(VLOOKUP($A65,'⚪设计'!$A$337:$N$360,9,FALSE)="","",VLOOKUP($A65,'⚪设计'!$A$337:$N$360,9,FALSE))</f>
        <v>雪人1</v>
      </c>
      <c r="R65" s="97">
        <f t="shared" si="13"/>
        <v>15</v>
      </c>
      <c r="S65" s="97">
        <f>IF(VLOOKUP($A65,'⚪设计'!$A$337:$N$360,13,FALSE)="","",VLOOKUP($A65,'⚪设计'!$A$337:$N$360,13,FALSE))</f>
        <v>1</v>
      </c>
      <c r="T65" s="97">
        <f>IF(Q65="","",ROUND($D65*VLOOKUP($A65,'⚪设计'!$A$337:$N$360,4,FALSE)/(IF($G65="",0,VLOOKUP($G65,'⚪设计'!$B$85:$H$113,4,FALSE)*$H65)+IF($L65="",0,VLOOKUP($L65,'⚪设计'!$B$85:$H$113,4,FALSE)*$M65)+IF($Q65="",0,VLOOKUP($Q65,'⚪设计'!$B$85:$H$113,4,FALSE)*$R65)+IF($V65="",0,VLOOKUP($V65,'⚪设计'!$B$85:$H$113,4,FALSE)*$W65))*IF(Q65="",0,VLOOKUP(Q65,'⚪设计'!$B$85:$H$113,4,FALSE)),0))</f>
        <v>691</v>
      </c>
      <c r="U65" s="97">
        <f>IF(Q65="","",ROUND(战斗节奏!$B$14/(IF($G65="",0,VLOOKUP($G65,'⚪设计'!$B$85:$H$113,5,FALSE)*$H65)+IF($L65="",0,VLOOKUP($L65,'⚪设计'!$B$85:$H$113,5,FALSE)*$M65)+IF($Q65="",0,VLOOKUP($Q65,'⚪设计'!$B$85:$H$113,5,FALSE)*$R65)+IF($V65="",0,VLOOKUP($V65,'⚪设计'!$B$85:$H$113,5,FALSE)*$W65))*IF(Q65="",0,VLOOKUP(Q65,'⚪设计'!$B$85:$H$113,5,FALSE)),0))</f>
        <v>23</v>
      </c>
      <c r="V65" s="97" t="str">
        <f>IF(VLOOKUP($A65,'⚪设计'!$A$337:$N$360,10,FALSE)="","",VLOOKUP($A65,'⚪设计'!$A$337:$N$360,10,FALSE))</f>
        <v/>
      </c>
      <c r="W65" s="97" t="str">
        <f t="shared" si="14"/>
        <v/>
      </c>
      <c r="X65" s="97" t="str">
        <f>IF(VLOOKUP($A65,'⚪设计'!$A$337:$N$360,14,FALSE)="","",VLOOKUP($A65,'⚪设计'!$A$337:$N$360,14,FALSE))</f>
        <v/>
      </c>
      <c r="Y65" s="97" t="str">
        <f>IF(V65="","",ROUND($D65*VLOOKUP($A65,'⚪设计'!$A$337:$N$360,4,FALSE)/(IF($G65="",0,VLOOKUP($G65,'⚪设计'!$B$85:$H$113,4,FALSE)*$H65)+IF($L65="",0,VLOOKUP($L65,'⚪设计'!$B$85:$H$113,4,FALSE)*$M65)+IF($Q65="",0,VLOOKUP($Q65,'⚪设计'!$B$85:$H$113,4,FALSE)*$R65)+IF($V65="",0,VLOOKUP($V65,'⚪设计'!$B$85:$H$113,4,FALSE)*$W65))*IF(V65="",0,VLOOKUP(V65,'⚪设计'!$B$85:$H$113,4,FALSE)),0))</f>
        <v/>
      </c>
      <c r="Z65" s="97" t="str">
        <f>IF(V65="","",ROUND(战斗节奏!$B$14/(IF($G65="",0,VLOOKUP($G65,'⚪设计'!$B$85:$H$113,5,FALSE)*$H65)+IF($L65="",0,VLOOKUP($L65,'⚪设计'!$B$85:$H$113,5,FALSE)*$M65)+IF($Q65="",0,VLOOKUP($Q65,'⚪设计'!$B$85:$H$113,5,FALSE)*$R65)+IF($V65="",0,VLOOKUP($V65,'⚪设计'!$B$85:$H$113,5,FALSE)*$W65))*IF(V65="",0,VLOOKUP(V65,'⚪设计'!$B$85:$H$113,5,FALSE)),0))</f>
        <v/>
      </c>
    </row>
    <row r="66" spans="1:26" x14ac:dyDescent="0.2">
      <c r="A66" s="2" t="str">
        <f t="shared" si="10"/>
        <v>2_4</v>
      </c>
      <c r="B66" s="2">
        <v>2</v>
      </c>
      <c r="C66" s="2">
        <v>4</v>
      </c>
      <c r="D66" s="97">
        <f>VLOOKUP(C66,无限模式!$A$3:$B$22,2,FALSE)</f>
        <v>4500</v>
      </c>
      <c r="E66" s="98">
        <v>1</v>
      </c>
      <c r="F66" s="97">
        <f>VLOOKUP(A66,'⚪设计'!$A$337:$N$360,6,FALSE)</f>
        <v>17.5</v>
      </c>
      <c r="G66" s="97" t="str">
        <f>IF(VLOOKUP($A66,'⚪设计'!$A$337:$N$360,7,FALSE)="","",VLOOKUP($A66,'⚪设计'!$A$337:$N$360,7,FALSE))</f>
        <v>蜘蛛1</v>
      </c>
      <c r="H66" s="97">
        <f t="shared" si="11"/>
        <v>18</v>
      </c>
      <c r="I66" s="97">
        <f>IF(VLOOKUP($A66,'⚪设计'!$A$337:$N$360,11,FALSE)="","",VLOOKUP($A66,'⚪设计'!$A$337:$N$360,11,FALSE))</f>
        <v>1</v>
      </c>
      <c r="J66" s="97">
        <f>IF(G66="","",ROUND($D66*VLOOKUP($A66,'⚪设计'!$A$337:$N$360,4,FALSE)/(IF($G66="",0,VLOOKUP($G66,'⚪设计'!$B$85:$H$113,4,FALSE)*$H66)+IF($L66="",0,VLOOKUP($L66,'⚪设计'!$B$85:$H$113,4,FALSE)*$M66)+IF($Q66="",0,VLOOKUP($Q66,'⚪设计'!$B$85:$H$113,4,FALSE)*$R66)+IF($V66="",0,VLOOKUP($V66,'⚪设计'!$B$85:$H$113,4,FALSE)*$W66))*IF(G66="",0,VLOOKUP(G66,'⚪设计'!$B$85:$H$113,4,FALSE)),0))</f>
        <v>104</v>
      </c>
      <c r="K66" s="97">
        <f>IF(G66="","",ROUND(战斗节奏!$B$14/(IF($G66="",0,VLOOKUP($G66,'⚪设计'!$B$85:$H$113,5,FALSE)*$H66)+IF($L66="",0,VLOOKUP($L66,'⚪设计'!$B$85:$H$113,5,FALSE)*$M66)+IF($Q66="",0,VLOOKUP($Q66,'⚪设计'!$B$85:$H$113,5,FALSE)*$R66)+IF($V66="",0,VLOOKUP($V66,'⚪设计'!$B$85:$H$113,5,FALSE)*$W66))*IF(G66="",0,VLOOKUP(G66,'⚪设计'!$B$85:$H$113,5,FALSE)),0))</f>
        <v>4</v>
      </c>
      <c r="L66" s="97" t="str">
        <f>IF(VLOOKUP($A66,'⚪设计'!$A$337:$N$360,8,FALSE)="","",VLOOKUP($A66,'⚪设计'!$A$337:$N$360,8,FALSE))</f>
        <v>蝙蝠1</v>
      </c>
      <c r="M66" s="97">
        <f t="shared" si="12"/>
        <v>44</v>
      </c>
      <c r="N66" s="97">
        <f>IF(VLOOKUP($A66,'⚪设计'!$A$337:$N$360,12,FALSE)="","",VLOOKUP($A66,'⚪设计'!$A$337:$N$360,12,FALSE))</f>
        <v>0.4</v>
      </c>
      <c r="O66" s="97">
        <f>IF(L66="","",ROUND($D66*VLOOKUP($A66,'⚪设计'!$A$337:$N$360,4,FALSE)/(IF($G66="",0,VLOOKUP($G66,'⚪设计'!$B$85:$H$113,4,FALSE)*$H66)+IF($L66="",0,VLOOKUP($L66,'⚪设计'!$B$85:$H$113,4,FALSE)*$M66)+IF($Q66="",0,VLOOKUP($Q66,'⚪设计'!$B$85:$H$113,4,FALSE)*$R66)+IF($V66="",0,VLOOKUP($V66,'⚪设计'!$B$85:$H$113,4,FALSE)*$W66))*IF(L66="",0,VLOOKUP(L66,'⚪设计'!$B$85:$H$113,4,FALSE)),0))</f>
        <v>52</v>
      </c>
      <c r="P66" s="97">
        <f>IF(L66="","",ROUND(战斗节奏!$B$14/(IF($G66="",0,VLOOKUP($G66,'⚪设计'!$B$85:$H$113,5,FALSE)*$H66)+IF($L66="",0,VLOOKUP($L66,'⚪设计'!$B$85:$H$113,5,FALSE)*$M66)+IF($Q66="",0,VLOOKUP($Q66,'⚪设计'!$B$85:$H$113,5,FALSE)*$R66)+IF($V66="",0,VLOOKUP($V66,'⚪设计'!$B$85:$H$113,5,FALSE)*$W66))*IF(L66="",0,VLOOKUP(L66,'⚪设计'!$B$85:$H$113,5,FALSE)),0))</f>
        <v>2</v>
      </c>
      <c r="Q66" s="97" t="str">
        <f>IF(VLOOKUP($A66,'⚪设计'!$A$337:$N$360,9,FALSE)="","",VLOOKUP($A66,'⚪设计'!$A$337:$N$360,9,FALSE))</f>
        <v>蜜蜂2</v>
      </c>
      <c r="R66" s="97">
        <f t="shared" si="13"/>
        <v>35</v>
      </c>
      <c r="S66" s="97">
        <f>IF(VLOOKUP($A66,'⚪设计'!$A$337:$N$360,13,FALSE)="","",VLOOKUP($A66,'⚪设计'!$A$337:$N$360,13,FALSE))</f>
        <v>0.5</v>
      </c>
      <c r="T66" s="97">
        <f>IF(Q66="","",ROUND($D66*VLOOKUP($A66,'⚪设计'!$A$337:$N$360,4,FALSE)/(IF($G66="",0,VLOOKUP($G66,'⚪设计'!$B$85:$H$113,4,FALSE)*$H66)+IF($L66="",0,VLOOKUP($L66,'⚪设计'!$B$85:$H$113,4,FALSE)*$M66)+IF($Q66="",0,VLOOKUP($Q66,'⚪设计'!$B$85:$H$113,4,FALSE)*$R66)+IF($V66="",0,VLOOKUP($V66,'⚪设计'!$B$85:$H$113,4,FALSE)*$W66))*IF(Q66="",0,VLOOKUP(Q66,'⚪设计'!$B$85:$H$113,4,FALSE)),0))</f>
        <v>208</v>
      </c>
      <c r="U66" s="97">
        <f>IF(Q66="","",ROUND(战斗节奏!$B$14/(IF($G66="",0,VLOOKUP($G66,'⚪设计'!$B$85:$H$113,5,FALSE)*$H66)+IF($L66="",0,VLOOKUP($L66,'⚪设计'!$B$85:$H$113,5,FALSE)*$M66)+IF($Q66="",0,VLOOKUP($Q66,'⚪设计'!$B$85:$H$113,5,FALSE)*$R66)+IF($V66="",0,VLOOKUP($V66,'⚪设计'!$B$85:$H$113,5,FALSE)*$W66))*IF(Q66="",0,VLOOKUP(Q66,'⚪设计'!$B$85:$H$113,5,FALSE)),0))</f>
        <v>8</v>
      </c>
      <c r="V66" s="97" t="str">
        <f>IF(VLOOKUP($A66,'⚪设计'!$A$337:$N$360,10,FALSE)="","",VLOOKUP($A66,'⚪设计'!$A$337:$N$360,10,FALSE))</f>
        <v>雪人1</v>
      </c>
      <c r="W66" s="97">
        <f t="shared" si="14"/>
        <v>18</v>
      </c>
      <c r="X66" s="97">
        <f>IF(VLOOKUP($A66,'⚪设计'!$A$337:$N$360,14,FALSE)="","",VLOOKUP($A66,'⚪设计'!$A$337:$N$360,14,FALSE))</f>
        <v>1</v>
      </c>
      <c r="Y66" s="97">
        <f>IF(V66="","",ROUND($D66*VLOOKUP($A66,'⚪设计'!$A$337:$N$360,4,FALSE)/(IF($G66="",0,VLOOKUP($G66,'⚪设计'!$B$85:$H$113,4,FALSE)*$H66)+IF($L66="",0,VLOOKUP($L66,'⚪设计'!$B$85:$H$113,4,FALSE)*$M66)+IF($Q66="",0,VLOOKUP($Q66,'⚪设计'!$B$85:$H$113,4,FALSE)*$R66)+IF($V66="",0,VLOOKUP($V66,'⚪设计'!$B$85:$H$113,4,FALSE)*$W66))*IF(V66="",0,VLOOKUP(V66,'⚪设计'!$B$85:$H$113,4,FALSE)),0))</f>
        <v>623</v>
      </c>
      <c r="Z66" s="97">
        <f>IF(V66="","",ROUND(战斗节奏!$B$14/(IF($G66="",0,VLOOKUP($G66,'⚪设计'!$B$85:$H$113,5,FALSE)*$H66)+IF($L66="",0,VLOOKUP($L66,'⚪设计'!$B$85:$H$113,5,FALSE)*$M66)+IF($Q66="",0,VLOOKUP($Q66,'⚪设计'!$B$85:$H$113,5,FALSE)*$R66)+IF($V66="",0,VLOOKUP($V66,'⚪设计'!$B$85:$H$113,5,FALSE)*$W66))*IF(V66="",0,VLOOKUP(V66,'⚪设计'!$B$85:$H$113,5,FALSE)),0))</f>
        <v>8</v>
      </c>
    </row>
    <row r="67" spans="1:26" x14ac:dyDescent="0.2">
      <c r="A67" s="2" t="str">
        <f t="shared" si="10"/>
        <v>2_5</v>
      </c>
      <c r="B67" s="2">
        <v>2</v>
      </c>
      <c r="C67" s="2">
        <v>5</v>
      </c>
      <c r="D67" s="97">
        <f>VLOOKUP(C67,无限模式!$A$3:$B$22,2,FALSE)</f>
        <v>5400</v>
      </c>
      <c r="E67" s="98">
        <v>1</v>
      </c>
      <c r="F67" s="97">
        <f>VLOOKUP(A67,'⚪设计'!$A$337:$N$360,6,FALSE)</f>
        <v>20</v>
      </c>
      <c r="G67" s="97" t="str">
        <f>IF(VLOOKUP($A67,'⚪设计'!$A$337:$N$360,7,FALSE)="","",VLOOKUP($A67,'⚪设计'!$A$337:$N$360,7,FALSE))</f>
        <v>蜘蛛1</v>
      </c>
      <c r="H67" s="97">
        <f t="shared" si="11"/>
        <v>67</v>
      </c>
      <c r="I67" s="97">
        <f>IF(VLOOKUP($A67,'⚪设计'!$A$337:$N$360,11,FALSE)="","",VLOOKUP($A67,'⚪设计'!$A$337:$N$360,11,FALSE))</f>
        <v>0.3</v>
      </c>
      <c r="J67" s="97">
        <f>IF(G67="","",ROUND($D67*VLOOKUP($A67,'⚪设计'!$A$337:$N$360,4,FALSE)/(IF($G67="",0,VLOOKUP($G67,'⚪设计'!$B$85:$H$113,4,FALSE)*$H67)+IF($L67="",0,VLOOKUP($L67,'⚪设计'!$B$85:$H$113,4,FALSE)*$M67)+IF($Q67="",0,VLOOKUP($Q67,'⚪设计'!$B$85:$H$113,4,FALSE)*$R67)+IF($V67="",0,VLOOKUP($V67,'⚪设计'!$B$85:$H$113,4,FALSE)*$W67))*IF(G67="",0,VLOOKUP(G67,'⚪设计'!$B$85:$H$113,4,FALSE)),0))</f>
        <v>166</v>
      </c>
      <c r="K67" s="97">
        <f>IF(G67="","",ROUND(战斗节奏!$B$14/(IF($G67="",0,VLOOKUP($G67,'⚪设计'!$B$85:$H$113,5,FALSE)*$H67)+IF($L67="",0,VLOOKUP($L67,'⚪设计'!$B$85:$H$113,5,FALSE)*$M67)+IF($Q67="",0,VLOOKUP($Q67,'⚪设计'!$B$85:$H$113,5,FALSE)*$R67)+IF($V67="",0,VLOOKUP($V67,'⚪设计'!$B$85:$H$113,5,FALSE)*$W67))*IF(G67="",0,VLOOKUP(G67,'⚪设计'!$B$85:$H$113,5,FALSE)),0))</f>
        <v>3</v>
      </c>
      <c r="L67" s="97" t="str">
        <f>IF(VLOOKUP($A67,'⚪设计'!$A$337:$N$360,8,FALSE)="","",VLOOKUP($A67,'⚪设计'!$A$337:$N$360,8,FALSE))</f>
        <v>蝙蝠1</v>
      </c>
      <c r="M67" s="97">
        <f t="shared" si="12"/>
        <v>100</v>
      </c>
      <c r="N67" s="97">
        <f>IF(VLOOKUP($A67,'⚪设计'!$A$337:$N$360,12,FALSE)="","",VLOOKUP($A67,'⚪设计'!$A$337:$N$360,12,FALSE))</f>
        <v>0.2</v>
      </c>
      <c r="O67" s="97">
        <f>IF(L67="","",ROUND($D67*VLOOKUP($A67,'⚪设计'!$A$337:$N$360,4,FALSE)/(IF($G67="",0,VLOOKUP($G67,'⚪设计'!$B$85:$H$113,4,FALSE)*$H67)+IF($L67="",0,VLOOKUP($L67,'⚪设计'!$B$85:$H$113,4,FALSE)*$M67)+IF($Q67="",0,VLOOKUP($Q67,'⚪设计'!$B$85:$H$113,4,FALSE)*$R67)+IF($V67="",0,VLOOKUP($V67,'⚪设计'!$B$85:$H$113,4,FALSE)*$W67))*IF(L67="",0,VLOOKUP(L67,'⚪设计'!$B$85:$H$113,4,FALSE)),0))</f>
        <v>83</v>
      </c>
      <c r="P67" s="97">
        <f>IF(L67="","",ROUND(战斗节奏!$B$14/(IF($G67="",0,VLOOKUP($G67,'⚪设计'!$B$85:$H$113,5,FALSE)*$H67)+IF($L67="",0,VLOOKUP($L67,'⚪设计'!$B$85:$H$113,5,FALSE)*$M67)+IF($Q67="",0,VLOOKUP($Q67,'⚪设计'!$B$85:$H$113,5,FALSE)*$R67)+IF($V67="",0,VLOOKUP($V67,'⚪设计'!$B$85:$H$113,5,FALSE)*$W67))*IF(L67="",0,VLOOKUP(L67,'⚪设计'!$B$85:$H$113,5,FALSE)),0))</f>
        <v>1</v>
      </c>
      <c r="Q67" s="97" t="str">
        <f>IF(VLOOKUP($A67,'⚪设计'!$A$337:$N$360,9,FALSE)="","",VLOOKUP($A67,'⚪设计'!$A$337:$N$360,9,FALSE))</f>
        <v>蜜蜂2</v>
      </c>
      <c r="R67" s="97">
        <f t="shared" si="13"/>
        <v>40</v>
      </c>
      <c r="S67" s="97">
        <f>IF(VLOOKUP($A67,'⚪设计'!$A$337:$N$360,13,FALSE)="","",VLOOKUP($A67,'⚪设计'!$A$337:$N$360,13,FALSE))</f>
        <v>0.5</v>
      </c>
      <c r="T67" s="97">
        <f>IF(Q67="","",ROUND($D67*VLOOKUP($A67,'⚪设计'!$A$337:$N$360,4,FALSE)/(IF($G67="",0,VLOOKUP($G67,'⚪设计'!$B$85:$H$113,4,FALSE)*$H67)+IF($L67="",0,VLOOKUP($L67,'⚪设计'!$B$85:$H$113,4,FALSE)*$M67)+IF($Q67="",0,VLOOKUP($Q67,'⚪设计'!$B$85:$H$113,4,FALSE)*$R67)+IF($V67="",0,VLOOKUP($V67,'⚪设计'!$B$85:$H$113,4,FALSE)*$W67))*IF(Q67="",0,VLOOKUP(Q67,'⚪设计'!$B$85:$H$113,4,FALSE)),0))</f>
        <v>332</v>
      </c>
      <c r="U67" s="97">
        <f>IF(Q67="","",ROUND(战斗节奏!$B$14/(IF($G67="",0,VLOOKUP($G67,'⚪设计'!$B$85:$H$113,5,FALSE)*$H67)+IF($L67="",0,VLOOKUP($L67,'⚪设计'!$B$85:$H$113,5,FALSE)*$M67)+IF($Q67="",0,VLOOKUP($Q67,'⚪设计'!$B$85:$H$113,5,FALSE)*$R67)+IF($V67="",0,VLOOKUP($V67,'⚪设计'!$B$85:$H$113,5,FALSE)*$W67))*IF(Q67="",0,VLOOKUP(Q67,'⚪设计'!$B$85:$H$113,5,FALSE)),0))</f>
        <v>5</v>
      </c>
      <c r="V67" s="97" t="str">
        <f>IF(VLOOKUP($A67,'⚪设计'!$A$337:$N$360,10,FALSE)="","",VLOOKUP($A67,'⚪设计'!$A$337:$N$360,10,FALSE))</f>
        <v>雪人1</v>
      </c>
      <c r="W67" s="97">
        <f t="shared" si="14"/>
        <v>20</v>
      </c>
      <c r="X67" s="97">
        <f>IF(VLOOKUP($A67,'⚪设计'!$A$337:$N$360,14,FALSE)="","",VLOOKUP($A67,'⚪设计'!$A$337:$N$360,14,FALSE))</f>
        <v>1</v>
      </c>
      <c r="Y67" s="97">
        <f>IF(V67="","",ROUND($D67*VLOOKUP($A67,'⚪设计'!$A$337:$N$360,4,FALSE)/(IF($G67="",0,VLOOKUP($G67,'⚪设计'!$B$85:$H$113,4,FALSE)*$H67)+IF($L67="",0,VLOOKUP($L67,'⚪设计'!$B$85:$H$113,4,FALSE)*$M67)+IF($Q67="",0,VLOOKUP($Q67,'⚪设计'!$B$85:$H$113,4,FALSE)*$R67)+IF($V67="",0,VLOOKUP($V67,'⚪设计'!$B$85:$H$113,4,FALSE)*$W67))*IF(V67="",0,VLOOKUP(V67,'⚪设计'!$B$85:$H$113,4,FALSE)),0))</f>
        <v>997</v>
      </c>
      <c r="Z67" s="97">
        <f>IF(V67="","",ROUND(战斗节奏!$B$14/(IF($G67="",0,VLOOKUP($G67,'⚪设计'!$B$85:$H$113,5,FALSE)*$H67)+IF($L67="",0,VLOOKUP($L67,'⚪设计'!$B$85:$H$113,5,FALSE)*$M67)+IF($Q67="",0,VLOOKUP($Q67,'⚪设计'!$B$85:$H$113,5,FALSE)*$R67)+IF($V67="",0,VLOOKUP($V67,'⚪设计'!$B$85:$H$113,5,FALSE)*$W67))*IF(V67="",0,VLOOKUP(V67,'⚪设计'!$B$85:$H$113,5,FALSE)),0))</f>
        <v>5</v>
      </c>
    </row>
    <row r="68" spans="1:26" x14ac:dyDescent="0.2">
      <c r="A68" s="2" t="str">
        <f t="shared" si="10"/>
        <v>3_1</v>
      </c>
      <c r="B68" s="2">
        <v>3</v>
      </c>
      <c r="C68" s="2">
        <v>1</v>
      </c>
      <c r="D68" s="97">
        <f>VLOOKUP(C68,无限模式!$A$3:$B$22,2,FALSE)</f>
        <v>900</v>
      </c>
      <c r="E68" s="98">
        <v>1</v>
      </c>
      <c r="F68" s="97">
        <f>VLOOKUP(A68,'⚪设计'!$A$337:$N$360,6,FALSE)</f>
        <v>10</v>
      </c>
      <c r="G68" s="97" t="str">
        <f>IF(VLOOKUP($A68,'⚪设计'!$A$337:$N$360,7,FALSE)="","",VLOOKUP($A68,'⚪设计'!$A$337:$N$360,7,FALSE))</f>
        <v>种子1</v>
      </c>
      <c r="H68" s="97">
        <f t="shared" si="11"/>
        <v>5</v>
      </c>
      <c r="I68" s="97">
        <f>IF(VLOOKUP($A68,'⚪设计'!$A$337:$N$360,11,FALSE)="","",VLOOKUP($A68,'⚪设计'!$A$337:$N$360,11,FALSE))</f>
        <v>2</v>
      </c>
      <c r="J68" s="97">
        <f>IF(G68="","",ROUND($D68*VLOOKUP($A68,'⚪设计'!$A$337:$N$360,4,FALSE)/(IF($G68="",0,VLOOKUP($G68,'⚪设计'!$B$85:$H$113,4,FALSE)*$H68)+IF($L68="",0,VLOOKUP($L68,'⚪设计'!$B$85:$H$113,4,FALSE)*$M68)+IF($Q68="",0,VLOOKUP($Q68,'⚪设计'!$B$85:$H$113,4,FALSE)*$R68)+IF($V68="",0,VLOOKUP($V68,'⚪设计'!$B$85:$H$113,4,FALSE)*$W68))*IF(G68="",0,VLOOKUP(G68,'⚪设计'!$B$85:$H$113,4,FALSE)),0))</f>
        <v>44</v>
      </c>
      <c r="K68" s="97">
        <f>IF(G68="","",ROUND(战斗节奏!$B$14/(IF($G68="",0,VLOOKUP($G68,'⚪设计'!$B$85:$H$113,5,FALSE)*$H68)+IF($L68="",0,VLOOKUP($L68,'⚪设计'!$B$85:$H$113,5,FALSE)*$M68)+IF($Q68="",0,VLOOKUP($Q68,'⚪设计'!$B$85:$H$113,5,FALSE)*$R68)+IF($V68="",0,VLOOKUP($V68,'⚪设计'!$B$85:$H$113,5,FALSE)*$W68))*IF(G68="",0,VLOOKUP(G68,'⚪设计'!$B$85:$H$113,5,FALSE)),0))</f>
        <v>60</v>
      </c>
      <c r="L68" s="97" t="str">
        <f>IF(VLOOKUP($A68,'⚪设计'!$A$337:$N$360,8,FALSE)="","",VLOOKUP($A68,'⚪设计'!$A$337:$N$360,8,FALSE))</f>
        <v>雪人2</v>
      </c>
      <c r="M68" s="97">
        <f t="shared" si="12"/>
        <v>5</v>
      </c>
      <c r="N68" s="97">
        <f>IF(VLOOKUP($A68,'⚪设计'!$A$337:$N$360,12,FALSE)="","",VLOOKUP($A68,'⚪设计'!$A$337:$N$360,12,FALSE))</f>
        <v>2</v>
      </c>
      <c r="O68" s="97">
        <f>IF(L68="","",ROUND($D68*VLOOKUP($A68,'⚪设计'!$A$337:$N$360,4,FALSE)/(IF($G68="",0,VLOOKUP($G68,'⚪设计'!$B$85:$H$113,4,FALSE)*$H68)+IF($L68="",0,VLOOKUP($L68,'⚪设计'!$B$85:$H$113,4,FALSE)*$M68)+IF($Q68="",0,VLOOKUP($Q68,'⚪设计'!$B$85:$H$113,4,FALSE)*$R68)+IF($V68="",0,VLOOKUP($V68,'⚪设计'!$B$85:$H$113,4,FALSE)*$W68))*IF(L68="",0,VLOOKUP(L68,'⚪设计'!$B$85:$H$113,4,FALSE)),0))</f>
        <v>176</v>
      </c>
      <c r="P68" s="97">
        <f>IF(L68="","",ROUND(战斗节奏!$B$14/(IF($G68="",0,VLOOKUP($G68,'⚪设计'!$B$85:$H$113,5,FALSE)*$H68)+IF($L68="",0,VLOOKUP($L68,'⚪设计'!$B$85:$H$113,5,FALSE)*$M68)+IF($Q68="",0,VLOOKUP($Q68,'⚪设计'!$B$85:$H$113,5,FALSE)*$R68)+IF($V68="",0,VLOOKUP($V68,'⚪设计'!$B$85:$H$113,5,FALSE)*$W68))*IF(L68="",0,VLOOKUP(L68,'⚪设计'!$B$85:$H$113,5,FALSE)),0))</f>
        <v>60</v>
      </c>
      <c r="Q68" s="97" t="str">
        <f>IF(VLOOKUP($A68,'⚪设计'!$A$337:$N$360,9,FALSE)="","",VLOOKUP($A68,'⚪设计'!$A$337:$N$360,9,FALSE))</f>
        <v/>
      </c>
      <c r="R68" s="97" t="str">
        <f t="shared" si="13"/>
        <v/>
      </c>
      <c r="S68" s="97" t="str">
        <f>IF(VLOOKUP($A68,'⚪设计'!$A$337:$N$360,13,FALSE)="","",VLOOKUP($A68,'⚪设计'!$A$337:$N$360,13,FALSE))</f>
        <v/>
      </c>
      <c r="T68" s="97" t="str">
        <f>IF(Q68="","",ROUND($D68*VLOOKUP($A68,'⚪设计'!$A$337:$N$360,4,FALSE)/(IF($G68="",0,VLOOKUP($G68,'⚪设计'!$B$85:$H$113,4,FALSE)*$H68)+IF($L68="",0,VLOOKUP($L68,'⚪设计'!$B$85:$H$113,4,FALSE)*$M68)+IF($Q68="",0,VLOOKUP($Q68,'⚪设计'!$B$85:$H$113,4,FALSE)*$R68)+IF($V68="",0,VLOOKUP($V68,'⚪设计'!$B$85:$H$113,4,FALSE)*$W68))*IF(Q68="",0,VLOOKUP(Q68,'⚪设计'!$B$85:$H$113,4,FALSE)),0))</f>
        <v/>
      </c>
      <c r="U68" s="97" t="str">
        <f>IF(Q68="","",ROUND(战斗节奏!$B$14/(IF($G68="",0,VLOOKUP($G68,'⚪设计'!$B$85:$H$113,5,FALSE)*$H68)+IF($L68="",0,VLOOKUP($L68,'⚪设计'!$B$85:$H$113,5,FALSE)*$M68)+IF($Q68="",0,VLOOKUP($Q68,'⚪设计'!$B$85:$H$113,5,FALSE)*$R68)+IF($V68="",0,VLOOKUP($V68,'⚪设计'!$B$85:$H$113,5,FALSE)*$W68))*IF(Q68="",0,VLOOKUP(Q68,'⚪设计'!$B$85:$H$113,5,FALSE)),0))</f>
        <v/>
      </c>
      <c r="V68" s="97" t="str">
        <f>IF(VLOOKUP($A68,'⚪设计'!$A$337:$N$360,10,FALSE)="","",VLOOKUP($A68,'⚪设计'!$A$337:$N$360,10,FALSE))</f>
        <v/>
      </c>
      <c r="W68" s="97" t="str">
        <f t="shared" si="14"/>
        <v/>
      </c>
      <c r="X68" s="97" t="str">
        <f>IF(VLOOKUP($A68,'⚪设计'!$A$337:$N$360,14,FALSE)="","",VLOOKUP($A68,'⚪设计'!$A$337:$N$360,14,FALSE))</f>
        <v/>
      </c>
      <c r="Y68" s="97" t="str">
        <f>IF(V68="","",ROUND($D68*VLOOKUP($A68,'⚪设计'!$A$337:$N$360,4,FALSE)/(IF($G68="",0,VLOOKUP($G68,'⚪设计'!$B$85:$H$113,4,FALSE)*$H68)+IF($L68="",0,VLOOKUP($L68,'⚪设计'!$B$85:$H$113,4,FALSE)*$M68)+IF($Q68="",0,VLOOKUP($Q68,'⚪设计'!$B$85:$H$113,4,FALSE)*$R68)+IF($V68="",0,VLOOKUP($V68,'⚪设计'!$B$85:$H$113,4,FALSE)*$W68))*IF(V68="",0,VLOOKUP(V68,'⚪设计'!$B$85:$H$113,4,FALSE)),0))</f>
        <v/>
      </c>
      <c r="Z68" s="97" t="str">
        <f>IF(V68="","",ROUND(战斗节奏!$B$14/(IF($G68="",0,VLOOKUP($G68,'⚪设计'!$B$85:$H$113,5,FALSE)*$H68)+IF($L68="",0,VLOOKUP($L68,'⚪设计'!$B$85:$H$113,5,FALSE)*$M68)+IF($Q68="",0,VLOOKUP($Q68,'⚪设计'!$B$85:$H$113,5,FALSE)*$R68)+IF($V68="",0,VLOOKUP($V68,'⚪设计'!$B$85:$H$113,5,FALSE)*$W68))*IF(V68="",0,VLOOKUP(V68,'⚪设计'!$B$85:$H$113,5,FALSE)),0))</f>
        <v/>
      </c>
    </row>
    <row r="69" spans="1:26" x14ac:dyDescent="0.2">
      <c r="A69" s="2" t="str">
        <f t="shared" si="10"/>
        <v>3_2</v>
      </c>
      <c r="B69" s="2">
        <v>3</v>
      </c>
      <c r="C69" s="2">
        <v>2</v>
      </c>
      <c r="D69" s="97">
        <f>VLOOKUP(C69,无限模式!$A$3:$B$22,2,FALSE)</f>
        <v>1800</v>
      </c>
      <c r="E69" s="98">
        <v>1</v>
      </c>
      <c r="F69" s="97">
        <f>VLOOKUP(A69,'⚪设计'!$A$337:$N$360,6,FALSE)</f>
        <v>12.5</v>
      </c>
      <c r="G69" s="97" t="str">
        <f>IF(VLOOKUP($A69,'⚪设计'!$A$337:$N$360,7,FALSE)="","",VLOOKUP($A69,'⚪设计'!$A$337:$N$360,7,FALSE))</f>
        <v>种子1</v>
      </c>
      <c r="H69" s="97">
        <f t="shared" si="11"/>
        <v>6</v>
      </c>
      <c r="I69" s="97">
        <f>IF(VLOOKUP($A69,'⚪设计'!$A$337:$N$360,11,FALSE)="","",VLOOKUP($A69,'⚪设计'!$A$337:$N$360,11,FALSE))</f>
        <v>2</v>
      </c>
      <c r="J69" s="97">
        <f>IF(G69="","",ROUND($D69*VLOOKUP($A69,'⚪设计'!$A$337:$N$360,4,FALSE)/(IF($G69="",0,VLOOKUP($G69,'⚪设计'!$B$85:$H$113,4,FALSE)*$H69)+IF($L69="",0,VLOOKUP($L69,'⚪设计'!$B$85:$H$113,4,FALSE)*$M69)+IF($Q69="",0,VLOOKUP($Q69,'⚪设计'!$B$85:$H$113,4,FALSE)*$R69)+IF($V69="",0,VLOOKUP($V69,'⚪设计'!$B$85:$H$113,4,FALSE)*$W69))*IF(G69="",0,VLOOKUP(G69,'⚪设计'!$B$85:$H$113,4,FALSE)),0))</f>
        <v>127</v>
      </c>
      <c r="K69" s="97">
        <f>IF(G69="","",ROUND(战斗节奏!$B$14/(IF($G69="",0,VLOOKUP($G69,'⚪设计'!$B$85:$H$113,5,FALSE)*$H69)+IF($L69="",0,VLOOKUP($L69,'⚪设计'!$B$85:$H$113,5,FALSE)*$M69)+IF($Q69="",0,VLOOKUP($Q69,'⚪设计'!$B$85:$H$113,5,FALSE)*$R69)+IF($V69="",0,VLOOKUP($V69,'⚪设计'!$B$85:$H$113,5,FALSE)*$W69))*IF(G69="",0,VLOOKUP(G69,'⚪设计'!$B$85:$H$113,5,FALSE)),0))</f>
        <v>33</v>
      </c>
      <c r="L69" s="97" t="str">
        <f>IF(VLOOKUP($A69,'⚪设计'!$A$337:$N$360,8,FALSE)="","",VLOOKUP($A69,'⚪设计'!$A$337:$N$360,8,FALSE))</f>
        <v>蜜蜂2</v>
      </c>
      <c r="M69" s="97">
        <f t="shared" si="12"/>
        <v>6</v>
      </c>
      <c r="N69" s="97">
        <f>IF(VLOOKUP($A69,'⚪设计'!$A$337:$N$360,12,FALSE)="","",VLOOKUP($A69,'⚪设计'!$A$337:$N$360,12,FALSE))</f>
        <v>2</v>
      </c>
      <c r="O69" s="97">
        <f>IF(L69="","",ROUND($D69*VLOOKUP($A69,'⚪设计'!$A$337:$N$360,4,FALSE)/(IF($G69="",0,VLOOKUP($G69,'⚪设计'!$B$85:$H$113,4,FALSE)*$H69)+IF($L69="",0,VLOOKUP($L69,'⚪设计'!$B$85:$H$113,4,FALSE)*$M69)+IF($Q69="",0,VLOOKUP($Q69,'⚪设计'!$B$85:$H$113,4,FALSE)*$R69)+IF($V69="",0,VLOOKUP($V69,'⚪设计'!$B$85:$H$113,4,FALSE)*$W69))*IF(L69="",0,VLOOKUP(L69,'⚪设计'!$B$85:$H$113,4,FALSE)),0))</f>
        <v>85</v>
      </c>
      <c r="P69" s="97">
        <f>IF(L69="","",ROUND(战斗节奏!$B$14/(IF($G69="",0,VLOOKUP($G69,'⚪设计'!$B$85:$H$113,5,FALSE)*$H69)+IF($L69="",0,VLOOKUP($L69,'⚪设计'!$B$85:$H$113,5,FALSE)*$M69)+IF($Q69="",0,VLOOKUP($Q69,'⚪设计'!$B$85:$H$113,5,FALSE)*$R69)+IF($V69="",0,VLOOKUP($V69,'⚪设计'!$B$85:$H$113,5,FALSE)*$W69))*IF(L69="",0,VLOOKUP(L69,'⚪设计'!$B$85:$H$113,5,FALSE)),0))</f>
        <v>33</v>
      </c>
      <c r="Q69" s="97" t="str">
        <f>IF(VLOOKUP($A69,'⚪设计'!$A$337:$N$360,9,FALSE)="","",VLOOKUP($A69,'⚪设计'!$A$337:$N$360,9,FALSE))</f>
        <v>雪人2</v>
      </c>
      <c r="R69" s="97">
        <f t="shared" si="13"/>
        <v>6</v>
      </c>
      <c r="S69" s="97">
        <f>IF(VLOOKUP($A69,'⚪设计'!$A$337:$N$360,13,FALSE)="","",VLOOKUP($A69,'⚪设计'!$A$337:$N$360,13,FALSE))</f>
        <v>2</v>
      </c>
      <c r="T69" s="97">
        <f>IF(Q69="","",ROUND($D69*VLOOKUP($A69,'⚪设计'!$A$337:$N$360,4,FALSE)/(IF($G69="",0,VLOOKUP($G69,'⚪设计'!$B$85:$H$113,4,FALSE)*$H69)+IF($L69="",0,VLOOKUP($L69,'⚪设计'!$B$85:$H$113,4,FALSE)*$M69)+IF($Q69="",0,VLOOKUP($Q69,'⚪设计'!$B$85:$H$113,4,FALSE)*$R69)+IF($V69="",0,VLOOKUP($V69,'⚪设计'!$B$85:$H$113,4,FALSE)*$W69))*IF(Q69="",0,VLOOKUP(Q69,'⚪设计'!$B$85:$H$113,4,FALSE)),0))</f>
        <v>508</v>
      </c>
      <c r="U69" s="97">
        <f>IF(Q69="","",ROUND(战斗节奏!$B$14/(IF($G69="",0,VLOOKUP($G69,'⚪设计'!$B$85:$H$113,5,FALSE)*$H69)+IF($L69="",0,VLOOKUP($L69,'⚪设计'!$B$85:$H$113,5,FALSE)*$M69)+IF($Q69="",0,VLOOKUP($Q69,'⚪设计'!$B$85:$H$113,5,FALSE)*$R69)+IF($V69="",0,VLOOKUP($V69,'⚪设计'!$B$85:$H$113,5,FALSE)*$W69))*IF(Q69="",0,VLOOKUP(Q69,'⚪设计'!$B$85:$H$113,5,FALSE)),0))</f>
        <v>33</v>
      </c>
      <c r="V69" s="97" t="str">
        <f>IF(VLOOKUP($A69,'⚪设计'!$A$337:$N$360,10,FALSE)="","",VLOOKUP($A69,'⚪设计'!$A$337:$N$360,10,FALSE))</f>
        <v/>
      </c>
      <c r="W69" s="97" t="str">
        <f t="shared" si="14"/>
        <v/>
      </c>
      <c r="X69" s="97" t="str">
        <f>IF(VLOOKUP($A69,'⚪设计'!$A$337:$N$360,14,FALSE)="","",VLOOKUP($A69,'⚪设计'!$A$337:$N$360,14,FALSE))</f>
        <v/>
      </c>
      <c r="Y69" s="97" t="str">
        <f>IF(V69="","",ROUND($D69*VLOOKUP($A69,'⚪设计'!$A$337:$N$360,4,FALSE)/(IF($G69="",0,VLOOKUP($G69,'⚪设计'!$B$85:$H$113,4,FALSE)*$H69)+IF($L69="",0,VLOOKUP($L69,'⚪设计'!$B$85:$H$113,4,FALSE)*$M69)+IF($Q69="",0,VLOOKUP($Q69,'⚪设计'!$B$85:$H$113,4,FALSE)*$R69)+IF($V69="",0,VLOOKUP($V69,'⚪设计'!$B$85:$H$113,4,FALSE)*$W69))*IF(V69="",0,VLOOKUP(V69,'⚪设计'!$B$85:$H$113,4,FALSE)),0))</f>
        <v/>
      </c>
      <c r="Z69" s="97" t="str">
        <f>IF(V69="","",ROUND(战斗节奏!$B$14/(IF($G69="",0,VLOOKUP($G69,'⚪设计'!$B$85:$H$113,5,FALSE)*$H69)+IF($L69="",0,VLOOKUP($L69,'⚪设计'!$B$85:$H$113,5,FALSE)*$M69)+IF($Q69="",0,VLOOKUP($Q69,'⚪设计'!$B$85:$H$113,5,FALSE)*$R69)+IF($V69="",0,VLOOKUP($V69,'⚪设计'!$B$85:$H$113,5,FALSE)*$W69))*IF(V69="",0,VLOOKUP(V69,'⚪设计'!$B$85:$H$113,5,FALSE)),0))</f>
        <v/>
      </c>
    </row>
    <row r="70" spans="1:26" x14ac:dyDescent="0.2">
      <c r="A70" s="2" t="str">
        <f t="shared" si="10"/>
        <v>3_3</v>
      </c>
      <c r="B70" s="2">
        <v>3</v>
      </c>
      <c r="C70" s="2">
        <v>3</v>
      </c>
      <c r="D70" s="97">
        <f>VLOOKUP(C70,无限模式!$A$3:$B$22,2,FALSE)</f>
        <v>3600</v>
      </c>
      <c r="E70" s="98">
        <v>1</v>
      </c>
      <c r="F70" s="97">
        <f>VLOOKUP(A70,'⚪设计'!$A$337:$N$360,6,FALSE)</f>
        <v>15</v>
      </c>
      <c r="G70" s="97" t="str">
        <f>IF(VLOOKUP($A70,'⚪设计'!$A$337:$N$360,7,FALSE)="","",VLOOKUP($A70,'⚪设计'!$A$337:$N$360,7,FALSE))</f>
        <v>种子1</v>
      </c>
      <c r="H70" s="97">
        <f t="shared" si="11"/>
        <v>8</v>
      </c>
      <c r="I70" s="97">
        <f>IF(VLOOKUP($A70,'⚪设计'!$A$337:$N$360,11,FALSE)="","",VLOOKUP($A70,'⚪设计'!$A$337:$N$360,11,FALSE))</f>
        <v>2</v>
      </c>
      <c r="J70" s="97">
        <f>IF(G70="","",ROUND($D70*VLOOKUP($A70,'⚪设计'!$A$337:$N$360,4,FALSE)/(IF($G70="",0,VLOOKUP($G70,'⚪设计'!$B$85:$H$113,4,FALSE)*$H70)+IF($L70="",0,VLOOKUP($L70,'⚪设计'!$B$85:$H$113,4,FALSE)*$M70)+IF($Q70="",0,VLOOKUP($Q70,'⚪设计'!$B$85:$H$113,4,FALSE)*$R70)+IF($V70="",0,VLOOKUP($V70,'⚪设计'!$B$85:$H$113,4,FALSE)*$W70))*IF(G70="",0,VLOOKUP(G70,'⚪设计'!$B$85:$H$113,4,FALSE)),0))</f>
        <v>508</v>
      </c>
      <c r="K70" s="97">
        <f>IF(G70="","",ROUND(战斗节奏!$B$14/(IF($G70="",0,VLOOKUP($G70,'⚪设计'!$B$85:$H$113,5,FALSE)*$H70)+IF($L70="",0,VLOOKUP($L70,'⚪设计'!$B$85:$H$113,5,FALSE)*$M70)+IF($Q70="",0,VLOOKUP($Q70,'⚪设计'!$B$85:$H$113,5,FALSE)*$R70)+IF($V70="",0,VLOOKUP($V70,'⚪设计'!$B$85:$H$113,5,FALSE)*$W70))*IF(G70="",0,VLOOKUP(G70,'⚪设计'!$B$85:$H$113,5,FALSE)),0))</f>
        <v>30</v>
      </c>
      <c r="L70" s="97" t="str">
        <f>IF(VLOOKUP($A70,'⚪设计'!$A$337:$N$360,8,FALSE)="","",VLOOKUP($A70,'⚪设计'!$A$337:$N$360,8,FALSE))</f>
        <v>蝙蝠1</v>
      </c>
      <c r="M70" s="97">
        <f t="shared" si="12"/>
        <v>15</v>
      </c>
      <c r="N70" s="97">
        <f>IF(VLOOKUP($A70,'⚪设计'!$A$337:$N$360,12,FALSE)="","",VLOOKUP($A70,'⚪设计'!$A$337:$N$360,12,FALSE))</f>
        <v>1</v>
      </c>
      <c r="O70" s="97">
        <f>IF(L70="","",ROUND($D70*VLOOKUP($A70,'⚪设计'!$A$337:$N$360,4,FALSE)/(IF($G70="",0,VLOOKUP($G70,'⚪设计'!$B$85:$H$113,4,FALSE)*$H70)+IF($L70="",0,VLOOKUP($L70,'⚪设计'!$B$85:$H$113,4,FALSE)*$M70)+IF($Q70="",0,VLOOKUP($Q70,'⚪设计'!$B$85:$H$113,4,FALSE)*$R70)+IF($V70="",0,VLOOKUP($V70,'⚪设计'!$B$85:$H$113,4,FALSE)*$W70))*IF(L70="",0,VLOOKUP(L70,'⚪设计'!$B$85:$H$113,4,FALSE)),0))</f>
        <v>85</v>
      </c>
      <c r="P70" s="97">
        <f>IF(L70="","",ROUND(战斗节奏!$B$14/(IF($G70="",0,VLOOKUP($G70,'⚪设计'!$B$85:$H$113,5,FALSE)*$H70)+IF($L70="",0,VLOOKUP($L70,'⚪设计'!$B$85:$H$113,5,FALSE)*$M70)+IF($Q70="",0,VLOOKUP($Q70,'⚪设计'!$B$85:$H$113,5,FALSE)*$R70)+IF($V70="",0,VLOOKUP($V70,'⚪设计'!$B$85:$H$113,5,FALSE)*$W70))*IF(L70="",0,VLOOKUP(L70,'⚪设计'!$B$85:$H$113,5,FALSE)),0))</f>
        <v>8</v>
      </c>
      <c r="Q70" s="97" t="str">
        <f>IF(VLOOKUP($A70,'⚪设计'!$A$337:$N$360,9,FALSE)="","",VLOOKUP($A70,'⚪设计'!$A$337:$N$360,9,FALSE))</f>
        <v>雪人2</v>
      </c>
      <c r="R70" s="97">
        <f t="shared" si="13"/>
        <v>8</v>
      </c>
      <c r="S70" s="97">
        <f>IF(VLOOKUP($A70,'⚪设计'!$A$337:$N$360,13,FALSE)="","",VLOOKUP($A70,'⚪设计'!$A$337:$N$360,13,FALSE))</f>
        <v>2</v>
      </c>
      <c r="T70" s="97">
        <f>IF(Q70="","",ROUND($D70*VLOOKUP($A70,'⚪设计'!$A$337:$N$360,4,FALSE)/(IF($G70="",0,VLOOKUP($G70,'⚪设计'!$B$85:$H$113,4,FALSE)*$H70)+IF($L70="",0,VLOOKUP($L70,'⚪设计'!$B$85:$H$113,4,FALSE)*$M70)+IF($Q70="",0,VLOOKUP($Q70,'⚪设计'!$B$85:$H$113,4,FALSE)*$R70)+IF($V70="",0,VLOOKUP($V70,'⚪设计'!$B$85:$H$113,4,FALSE)*$W70))*IF(Q70="",0,VLOOKUP(Q70,'⚪设计'!$B$85:$H$113,4,FALSE)),0))</f>
        <v>2033</v>
      </c>
      <c r="U70" s="97">
        <f>IF(Q70="","",ROUND(战斗节奏!$B$14/(IF($G70="",0,VLOOKUP($G70,'⚪设计'!$B$85:$H$113,5,FALSE)*$H70)+IF($L70="",0,VLOOKUP($L70,'⚪设计'!$B$85:$H$113,5,FALSE)*$M70)+IF($Q70="",0,VLOOKUP($Q70,'⚪设计'!$B$85:$H$113,5,FALSE)*$R70)+IF($V70="",0,VLOOKUP($V70,'⚪设计'!$B$85:$H$113,5,FALSE)*$W70))*IF(Q70="",0,VLOOKUP(Q70,'⚪设计'!$B$85:$H$113,5,FALSE)),0))</f>
        <v>30</v>
      </c>
      <c r="V70" s="97" t="str">
        <f>IF(VLOOKUP($A70,'⚪设计'!$A$337:$N$360,10,FALSE)="","",VLOOKUP($A70,'⚪设计'!$A$337:$N$360,10,FALSE))</f>
        <v/>
      </c>
      <c r="W70" s="97" t="str">
        <f t="shared" si="14"/>
        <v/>
      </c>
      <c r="X70" s="97" t="str">
        <f>IF(VLOOKUP($A70,'⚪设计'!$A$337:$N$360,14,FALSE)="","",VLOOKUP($A70,'⚪设计'!$A$337:$N$360,14,FALSE))</f>
        <v/>
      </c>
      <c r="Y70" s="97" t="str">
        <f>IF(V70="","",ROUND($D70*VLOOKUP($A70,'⚪设计'!$A$337:$N$360,4,FALSE)/(IF($G70="",0,VLOOKUP($G70,'⚪设计'!$B$85:$H$113,4,FALSE)*$H70)+IF($L70="",0,VLOOKUP($L70,'⚪设计'!$B$85:$H$113,4,FALSE)*$M70)+IF($Q70="",0,VLOOKUP($Q70,'⚪设计'!$B$85:$H$113,4,FALSE)*$R70)+IF($V70="",0,VLOOKUP($V70,'⚪设计'!$B$85:$H$113,4,FALSE)*$W70))*IF(V70="",0,VLOOKUP(V70,'⚪设计'!$B$85:$H$113,4,FALSE)),0))</f>
        <v/>
      </c>
      <c r="Z70" s="97" t="str">
        <f>IF(V70="","",ROUND(战斗节奏!$B$14/(IF($G70="",0,VLOOKUP($G70,'⚪设计'!$B$85:$H$113,5,FALSE)*$H70)+IF($L70="",0,VLOOKUP($L70,'⚪设计'!$B$85:$H$113,5,FALSE)*$M70)+IF($Q70="",0,VLOOKUP($Q70,'⚪设计'!$B$85:$H$113,5,FALSE)*$R70)+IF($V70="",0,VLOOKUP($V70,'⚪设计'!$B$85:$H$113,5,FALSE)*$W70))*IF(V70="",0,VLOOKUP(V70,'⚪设计'!$B$85:$H$113,5,FALSE)),0))</f>
        <v/>
      </c>
    </row>
    <row r="71" spans="1:26" x14ac:dyDescent="0.2">
      <c r="A71" s="2" t="str">
        <f t="shared" si="10"/>
        <v>4_1</v>
      </c>
      <c r="B71" s="2">
        <v>4</v>
      </c>
      <c r="C71" s="2">
        <v>1</v>
      </c>
      <c r="D71" s="97">
        <f>VLOOKUP(C71,无限模式!$A$3:$B$22,2,FALSE)</f>
        <v>900</v>
      </c>
      <c r="E71" s="98">
        <v>1</v>
      </c>
      <c r="F71" s="97">
        <f>VLOOKUP(A71,'⚪设计'!$A$337:$N$360,6,FALSE)</f>
        <v>10</v>
      </c>
      <c r="G71" s="97" t="str">
        <f>IF(VLOOKUP($A71,'⚪设计'!$A$337:$N$360,7,FALSE)="","",VLOOKUP($A71,'⚪设计'!$A$337:$N$360,7,FALSE))</f>
        <v>鬼1</v>
      </c>
      <c r="H71" s="97">
        <f t="shared" si="11"/>
        <v>7</v>
      </c>
      <c r="I71" s="97">
        <f>IF(VLOOKUP($A71,'⚪设计'!$A$337:$N$360,11,FALSE)="","",VLOOKUP($A71,'⚪设计'!$A$337:$N$360,11,FALSE))</f>
        <v>1.5</v>
      </c>
      <c r="J71" s="97">
        <f>IF(G71="","",ROUND($D71*VLOOKUP($A71,'⚪设计'!$A$337:$N$360,4,FALSE)/(IF($G71="",0,VLOOKUP($G71,'⚪设计'!$B$85:$H$113,4,FALSE)*$H71)+IF($L71="",0,VLOOKUP($L71,'⚪设计'!$B$85:$H$113,4,FALSE)*$M71)+IF($Q71="",0,VLOOKUP($Q71,'⚪设计'!$B$85:$H$113,4,FALSE)*$R71)+IF($V71="",0,VLOOKUP($V71,'⚪设计'!$B$85:$H$113,4,FALSE)*$W71))*IF(G71="",0,VLOOKUP(G71,'⚪设计'!$B$85:$H$113,4,FALSE)),0))</f>
        <v>34</v>
      </c>
      <c r="K71" s="97">
        <f>IF(G71="","",ROUND(战斗节奏!$B$14/(IF($G71="",0,VLOOKUP($G71,'⚪设计'!$B$85:$H$113,5,FALSE)*$H71)+IF($L71="",0,VLOOKUP($L71,'⚪设计'!$B$85:$H$113,5,FALSE)*$M71)+IF($Q71="",0,VLOOKUP($Q71,'⚪设计'!$B$85:$H$113,5,FALSE)*$R71)+IF($V71="",0,VLOOKUP($V71,'⚪设计'!$B$85:$H$113,5,FALSE)*$W71))*IF(G71="",0,VLOOKUP(G71,'⚪设计'!$B$85:$H$113,5,FALSE)),0))</f>
        <v>35</v>
      </c>
      <c r="L71" s="97" t="str">
        <f>IF(VLOOKUP($A71,'⚪设计'!$A$337:$N$360,8,FALSE)="","",VLOOKUP($A71,'⚪设计'!$A$337:$N$360,8,FALSE))</f>
        <v>雪人2</v>
      </c>
      <c r="M71" s="97">
        <f t="shared" si="12"/>
        <v>5</v>
      </c>
      <c r="N71" s="97">
        <f>IF(VLOOKUP($A71,'⚪设计'!$A$337:$N$360,12,FALSE)="","",VLOOKUP($A71,'⚪设计'!$A$337:$N$360,12,FALSE))</f>
        <v>2</v>
      </c>
      <c r="O71" s="97">
        <f>IF(L71="","",ROUND($D71*VLOOKUP($A71,'⚪设计'!$A$337:$N$360,4,FALSE)/(IF($G71="",0,VLOOKUP($G71,'⚪设计'!$B$85:$H$113,4,FALSE)*$H71)+IF($L71="",0,VLOOKUP($L71,'⚪设计'!$B$85:$H$113,4,FALSE)*$M71)+IF($Q71="",0,VLOOKUP($Q71,'⚪设计'!$B$85:$H$113,4,FALSE)*$R71)+IF($V71="",0,VLOOKUP($V71,'⚪设计'!$B$85:$H$113,4,FALSE)*$W71))*IF(L71="",0,VLOOKUP(L71,'⚪设计'!$B$85:$H$113,4,FALSE)),0))</f>
        <v>403</v>
      </c>
      <c r="P71" s="97">
        <f>IF(L71="","",ROUND(战斗节奏!$B$14/(IF($G71="",0,VLOOKUP($G71,'⚪设计'!$B$85:$H$113,5,FALSE)*$H71)+IF($L71="",0,VLOOKUP($L71,'⚪设计'!$B$85:$H$113,5,FALSE)*$M71)+IF($Q71="",0,VLOOKUP($Q71,'⚪设计'!$B$85:$H$113,5,FALSE)*$R71)+IF($V71="",0,VLOOKUP($V71,'⚪设计'!$B$85:$H$113,5,FALSE)*$W71))*IF(L71="",0,VLOOKUP(L71,'⚪设计'!$B$85:$H$113,5,FALSE)),0))</f>
        <v>71</v>
      </c>
      <c r="Q71" s="97" t="str">
        <f>IF(VLOOKUP($A71,'⚪设计'!$A$337:$N$360,9,FALSE)="","",VLOOKUP($A71,'⚪设计'!$A$337:$N$360,9,FALSE))</f>
        <v/>
      </c>
      <c r="R71" s="97" t="str">
        <f t="shared" si="13"/>
        <v/>
      </c>
      <c r="S71" s="97" t="str">
        <f>IF(VLOOKUP($A71,'⚪设计'!$A$337:$N$360,13,FALSE)="","",VLOOKUP($A71,'⚪设计'!$A$337:$N$360,13,FALSE))</f>
        <v/>
      </c>
      <c r="T71" s="97" t="str">
        <f>IF(Q71="","",ROUND($D71*VLOOKUP($A71,'⚪设计'!$A$337:$N$360,4,FALSE)/(IF($G71="",0,VLOOKUP($G71,'⚪设计'!$B$85:$H$113,4,FALSE)*$H71)+IF($L71="",0,VLOOKUP($L71,'⚪设计'!$B$85:$H$113,4,FALSE)*$M71)+IF($Q71="",0,VLOOKUP($Q71,'⚪设计'!$B$85:$H$113,4,FALSE)*$R71)+IF($V71="",0,VLOOKUP($V71,'⚪设计'!$B$85:$H$113,4,FALSE)*$W71))*IF(Q71="",0,VLOOKUP(Q71,'⚪设计'!$B$85:$H$113,4,FALSE)),0))</f>
        <v/>
      </c>
      <c r="U71" s="97" t="str">
        <f>IF(Q71="","",ROUND(战斗节奏!$B$14/(IF($G71="",0,VLOOKUP($G71,'⚪设计'!$B$85:$H$113,5,FALSE)*$H71)+IF($L71="",0,VLOOKUP($L71,'⚪设计'!$B$85:$H$113,5,FALSE)*$M71)+IF($Q71="",0,VLOOKUP($Q71,'⚪设计'!$B$85:$H$113,5,FALSE)*$R71)+IF($V71="",0,VLOOKUP($V71,'⚪设计'!$B$85:$H$113,5,FALSE)*$W71))*IF(Q71="",0,VLOOKUP(Q71,'⚪设计'!$B$85:$H$113,5,FALSE)),0))</f>
        <v/>
      </c>
      <c r="V71" s="97" t="str">
        <f>IF(VLOOKUP($A71,'⚪设计'!$A$337:$N$360,10,FALSE)="","",VLOOKUP($A71,'⚪设计'!$A$337:$N$360,10,FALSE))</f>
        <v/>
      </c>
      <c r="W71" s="97" t="str">
        <f t="shared" si="14"/>
        <v/>
      </c>
      <c r="X71" s="97" t="str">
        <f>IF(VLOOKUP($A71,'⚪设计'!$A$337:$N$360,14,FALSE)="","",VLOOKUP($A71,'⚪设计'!$A$337:$N$360,14,FALSE))</f>
        <v/>
      </c>
      <c r="Y71" s="97" t="str">
        <f>IF(V71="","",ROUND($D71*VLOOKUP($A71,'⚪设计'!$A$337:$N$360,4,FALSE)/(IF($G71="",0,VLOOKUP($G71,'⚪设计'!$B$85:$H$113,4,FALSE)*$H71)+IF($L71="",0,VLOOKUP($L71,'⚪设计'!$B$85:$H$113,4,FALSE)*$M71)+IF($Q71="",0,VLOOKUP($Q71,'⚪设计'!$B$85:$H$113,4,FALSE)*$R71)+IF($V71="",0,VLOOKUP($V71,'⚪设计'!$B$85:$H$113,4,FALSE)*$W71))*IF(V71="",0,VLOOKUP(V71,'⚪设计'!$B$85:$H$113,4,FALSE)),0))</f>
        <v/>
      </c>
      <c r="Z71" s="97" t="str">
        <f>IF(V71="","",ROUND(战斗节奏!$B$14/(IF($G71="",0,VLOOKUP($G71,'⚪设计'!$B$85:$H$113,5,FALSE)*$H71)+IF($L71="",0,VLOOKUP($L71,'⚪设计'!$B$85:$H$113,5,FALSE)*$M71)+IF($Q71="",0,VLOOKUP($Q71,'⚪设计'!$B$85:$H$113,5,FALSE)*$R71)+IF($V71="",0,VLOOKUP($V71,'⚪设计'!$B$85:$H$113,5,FALSE)*$W71))*IF(V71="",0,VLOOKUP(V71,'⚪设计'!$B$85:$H$113,5,FALSE)),0))</f>
        <v/>
      </c>
    </row>
    <row r="72" spans="1:26" x14ac:dyDescent="0.2">
      <c r="A72" s="2" t="str">
        <f t="shared" si="10"/>
        <v>4_2</v>
      </c>
      <c r="B72" s="2">
        <v>4</v>
      </c>
      <c r="C72" s="2">
        <v>2</v>
      </c>
      <c r="D72" s="97">
        <f>VLOOKUP(C72,无限模式!$A$3:$B$22,2,FALSE)</f>
        <v>1800</v>
      </c>
      <c r="E72" s="98">
        <v>1</v>
      </c>
      <c r="F72" s="97">
        <f>VLOOKUP(A72,'⚪设计'!$A$337:$N$360,6,FALSE)</f>
        <v>12.5</v>
      </c>
      <c r="G72" s="97" t="str">
        <f>IF(VLOOKUP($A72,'⚪设计'!$A$337:$N$360,7,FALSE)="","",VLOOKUP($A72,'⚪设计'!$A$337:$N$360,7,FALSE))</f>
        <v>鬼1</v>
      </c>
      <c r="H72" s="97">
        <f t="shared" si="11"/>
        <v>8</v>
      </c>
      <c r="I72" s="97">
        <f>IF(VLOOKUP($A72,'⚪设计'!$A$337:$N$360,11,FALSE)="","",VLOOKUP($A72,'⚪设计'!$A$337:$N$360,11,FALSE))</f>
        <v>1.5</v>
      </c>
      <c r="J72" s="97">
        <f>IF(G72="","",ROUND($D72*VLOOKUP($A72,'⚪设计'!$A$337:$N$360,4,FALSE)/(IF($G72="",0,VLOOKUP($G72,'⚪设计'!$B$85:$H$113,4,FALSE)*$H72)+IF($L72="",0,VLOOKUP($L72,'⚪设计'!$B$85:$H$113,4,FALSE)*$M72)+IF($Q72="",0,VLOOKUP($Q72,'⚪设计'!$B$85:$H$113,4,FALSE)*$R72)+IF($V72="",0,VLOOKUP($V72,'⚪设计'!$B$85:$H$113,4,FALSE)*$W72))*IF(G72="",0,VLOOKUP(G72,'⚪设计'!$B$85:$H$113,4,FALSE)),0))</f>
        <v>138</v>
      </c>
      <c r="K72" s="97">
        <f>IF(G72="","",ROUND(战斗节奏!$B$14/(IF($G72="",0,VLOOKUP($G72,'⚪设计'!$B$85:$H$113,5,FALSE)*$H72)+IF($L72="",0,VLOOKUP($L72,'⚪设计'!$B$85:$H$113,5,FALSE)*$M72)+IF($Q72="",0,VLOOKUP($Q72,'⚪设计'!$B$85:$H$113,5,FALSE)*$R72)+IF($V72="",0,VLOOKUP($V72,'⚪设计'!$B$85:$H$113,5,FALSE)*$W72))*IF(G72="",0,VLOOKUP(G72,'⚪设计'!$B$85:$H$113,5,FALSE)),0))</f>
        <v>9</v>
      </c>
      <c r="L72" s="97" t="str">
        <f>IF(VLOOKUP($A72,'⚪设计'!$A$337:$N$360,8,FALSE)="","",VLOOKUP($A72,'⚪设计'!$A$337:$N$360,8,FALSE))</f>
        <v>蜜蜂2</v>
      </c>
      <c r="M72" s="97">
        <f t="shared" si="12"/>
        <v>25</v>
      </c>
      <c r="N72" s="97">
        <f>IF(VLOOKUP($A72,'⚪设计'!$A$337:$N$360,12,FALSE)="","",VLOOKUP($A72,'⚪设计'!$A$337:$N$360,12,FALSE))</f>
        <v>0.5</v>
      </c>
      <c r="O72" s="97">
        <f>IF(L72="","",ROUND($D72*VLOOKUP($A72,'⚪设计'!$A$337:$N$360,4,FALSE)/(IF($G72="",0,VLOOKUP($G72,'⚪设计'!$B$85:$H$113,4,FALSE)*$H72)+IF($L72="",0,VLOOKUP($L72,'⚪设计'!$B$85:$H$113,4,FALSE)*$M72)+IF($Q72="",0,VLOOKUP($Q72,'⚪设计'!$B$85:$H$113,4,FALSE)*$R72)+IF($V72="",0,VLOOKUP($V72,'⚪设计'!$B$85:$H$113,4,FALSE)*$W72))*IF(L72="",0,VLOOKUP(L72,'⚪设计'!$B$85:$H$113,4,FALSE)),0))</f>
        <v>277</v>
      </c>
      <c r="P72" s="97">
        <f>IF(L72="","",ROUND(战斗节奏!$B$14/(IF($G72="",0,VLOOKUP($G72,'⚪设计'!$B$85:$H$113,5,FALSE)*$H72)+IF($L72="",0,VLOOKUP($L72,'⚪设计'!$B$85:$H$113,5,FALSE)*$M72)+IF($Q72="",0,VLOOKUP($Q72,'⚪设计'!$B$85:$H$113,5,FALSE)*$R72)+IF($V72="",0,VLOOKUP($V72,'⚪设计'!$B$85:$H$113,5,FALSE)*$W72))*IF(L72="",0,VLOOKUP(L72,'⚪设计'!$B$85:$H$113,5,FALSE)),0))</f>
        <v>17</v>
      </c>
      <c r="Q72" s="97" t="str">
        <f>IF(VLOOKUP($A72,'⚪设计'!$A$337:$N$360,9,FALSE)="","",VLOOKUP($A72,'⚪设计'!$A$337:$N$360,9,FALSE))</f>
        <v>雪人2</v>
      </c>
      <c r="R72" s="97">
        <f t="shared" si="13"/>
        <v>6</v>
      </c>
      <c r="S72" s="97">
        <f>IF(VLOOKUP($A72,'⚪设计'!$A$337:$N$360,13,FALSE)="","",VLOOKUP($A72,'⚪设计'!$A$337:$N$360,13,FALSE))</f>
        <v>2</v>
      </c>
      <c r="T72" s="97">
        <f>IF(Q72="","",ROUND($D72*VLOOKUP($A72,'⚪设计'!$A$337:$N$360,4,FALSE)/(IF($G72="",0,VLOOKUP($G72,'⚪设计'!$B$85:$H$113,4,FALSE)*$H72)+IF($L72="",0,VLOOKUP($L72,'⚪设计'!$B$85:$H$113,4,FALSE)*$M72)+IF($Q72="",0,VLOOKUP($Q72,'⚪设计'!$B$85:$H$113,4,FALSE)*$R72)+IF($V72="",0,VLOOKUP($V72,'⚪设计'!$B$85:$H$113,4,FALSE)*$W72))*IF(Q72="",0,VLOOKUP(Q72,'⚪设计'!$B$85:$H$113,4,FALSE)),0))</f>
        <v>1662</v>
      </c>
      <c r="U72" s="97">
        <f>IF(Q72="","",ROUND(战斗节奏!$B$14/(IF($G72="",0,VLOOKUP($G72,'⚪设计'!$B$85:$H$113,5,FALSE)*$H72)+IF($L72="",0,VLOOKUP($L72,'⚪设计'!$B$85:$H$113,5,FALSE)*$M72)+IF($Q72="",0,VLOOKUP($Q72,'⚪设计'!$B$85:$H$113,5,FALSE)*$R72)+IF($V72="",0,VLOOKUP($V72,'⚪设计'!$B$85:$H$113,5,FALSE)*$W72))*IF(Q72="",0,VLOOKUP(Q72,'⚪设计'!$B$85:$H$113,5,FALSE)),0))</f>
        <v>17</v>
      </c>
      <c r="V72" s="97" t="str">
        <f>IF(VLOOKUP($A72,'⚪设计'!$A$337:$N$360,10,FALSE)="","",VLOOKUP($A72,'⚪设计'!$A$337:$N$360,10,FALSE))</f>
        <v/>
      </c>
      <c r="W72" s="97" t="str">
        <f t="shared" si="14"/>
        <v/>
      </c>
      <c r="X72" s="97" t="str">
        <f>IF(VLOOKUP($A72,'⚪设计'!$A$337:$N$360,14,FALSE)="","",VLOOKUP($A72,'⚪设计'!$A$337:$N$360,14,FALSE))</f>
        <v/>
      </c>
      <c r="Y72" s="97" t="str">
        <f>IF(V72="","",ROUND($D72*VLOOKUP($A72,'⚪设计'!$A$337:$N$360,4,FALSE)/(IF($G72="",0,VLOOKUP($G72,'⚪设计'!$B$85:$H$113,4,FALSE)*$H72)+IF($L72="",0,VLOOKUP($L72,'⚪设计'!$B$85:$H$113,4,FALSE)*$M72)+IF($Q72="",0,VLOOKUP($Q72,'⚪设计'!$B$85:$H$113,4,FALSE)*$R72)+IF($V72="",0,VLOOKUP($V72,'⚪设计'!$B$85:$H$113,4,FALSE)*$W72))*IF(V72="",0,VLOOKUP(V72,'⚪设计'!$B$85:$H$113,4,FALSE)),0))</f>
        <v/>
      </c>
      <c r="Z72" s="97" t="str">
        <f>IF(V72="","",ROUND(战斗节奏!$B$14/(IF($G72="",0,VLOOKUP($G72,'⚪设计'!$B$85:$H$113,5,FALSE)*$H72)+IF($L72="",0,VLOOKUP($L72,'⚪设计'!$B$85:$H$113,5,FALSE)*$M72)+IF($Q72="",0,VLOOKUP($Q72,'⚪设计'!$B$85:$H$113,5,FALSE)*$R72)+IF($V72="",0,VLOOKUP($V72,'⚪设计'!$B$85:$H$113,5,FALSE)*$W72))*IF(V72="",0,VLOOKUP(V72,'⚪设计'!$B$85:$H$113,5,FALSE)),0))</f>
        <v/>
      </c>
    </row>
    <row r="73" spans="1:26" x14ac:dyDescent="0.2">
      <c r="A73" s="2" t="str">
        <f t="shared" si="10"/>
        <v>4_3</v>
      </c>
      <c r="B73" s="2">
        <v>4</v>
      </c>
      <c r="C73" s="2">
        <v>3</v>
      </c>
      <c r="D73" s="97">
        <f>VLOOKUP(C73,无限模式!$A$3:$B$22,2,FALSE)</f>
        <v>3600</v>
      </c>
      <c r="E73" s="98">
        <v>1</v>
      </c>
      <c r="F73" s="97">
        <f>VLOOKUP(A73,'⚪设计'!$A$337:$N$360,6,FALSE)</f>
        <v>15</v>
      </c>
      <c r="G73" s="97" t="str">
        <f>IF(VLOOKUP($A73,'⚪设计'!$A$337:$N$360,7,FALSE)="","",VLOOKUP($A73,'⚪设计'!$A$337:$N$360,7,FALSE))</f>
        <v>鬼1</v>
      </c>
      <c r="H73" s="97">
        <f t="shared" si="11"/>
        <v>10</v>
      </c>
      <c r="I73" s="97">
        <f>IF(VLOOKUP($A73,'⚪设计'!$A$337:$N$360,11,FALSE)="","",VLOOKUP($A73,'⚪设计'!$A$337:$N$360,11,FALSE))</f>
        <v>1.5</v>
      </c>
      <c r="J73" s="97">
        <f>IF(G73="","",ROUND($D73*VLOOKUP($A73,'⚪设计'!$A$337:$N$360,4,FALSE)/(IF($G73="",0,VLOOKUP($G73,'⚪设计'!$B$85:$H$113,4,FALSE)*$H73)+IF($L73="",0,VLOOKUP($L73,'⚪设计'!$B$85:$H$113,4,FALSE)*$M73)+IF($Q73="",0,VLOOKUP($Q73,'⚪设计'!$B$85:$H$113,4,FALSE)*$R73)+IF($V73="",0,VLOOKUP($V73,'⚪设计'!$B$85:$H$113,4,FALSE)*$W73))*IF(G73="",0,VLOOKUP(G73,'⚪设计'!$B$85:$H$113,4,FALSE)),0))</f>
        <v>452</v>
      </c>
      <c r="K73" s="97">
        <f>IF(G73="","",ROUND(战斗节奏!$B$14/(IF($G73="",0,VLOOKUP($G73,'⚪设计'!$B$85:$H$113,5,FALSE)*$H73)+IF($L73="",0,VLOOKUP($L73,'⚪设计'!$B$85:$H$113,5,FALSE)*$M73)+IF($Q73="",0,VLOOKUP($Q73,'⚪设计'!$B$85:$H$113,5,FALSE)*$R73)+IF($V73="",0,VLOOKUP($V73,'⚪设计'!$B$85:$H$113,5,FALSE)*$W73))*IF(G73="",0,VLOOKUP(G73,'⚪设计'!$B$85:$H$113,5,FALSE)),0))</f>
        <v>9</v>
      </c>
      <c r="L73" s="97" t="str">
        <f>IF(VLOOKUP($A73,'⚪设计'!$A$337:$N$360,8,FALSE)="","",VLOOKUP($A73,'⚪设计'!$A$337:$N$360,8,FALSE))</f>
        <v>蝙蝠1</v>
      </c>
      <c r="M73" s="97">
        <f t="shared" si="12"/>
        <v>75</v>
      </c>
      <c r="N73" s="97">
        <f>IF(VLOOKUP($A73,'⚪设计'!$A$337:$N$360,12,FALSE)="","",VLOOKUP($A73,'⚪设计'!$A$337:$N$360,12,FALSE))</f>
        <v>0.2</v>
      </c>
      <c r="O73" s="97">
        <f>IF(L73="","",ROUND($D73*VLOOKUP($A73,'⚪设计'!$A$337:$N$360,4,FALSE)/(IF($G73="",0,VLOOKUP($G73,'⚪设计'!$B$85:$H$113,4,FALSE)*$H73)+IF($L73="",0,VLOOKUP($L73,'⚪设计'!$B$85:$H$113,4,FALSE)*$M73)+IF($Q73="",0,VLOOKUP($Q73,'⚪设计'!$B$85:$H$113,4,FALSE)*$R73)+IF($V73="",0,VLOOKUP($V73,'⚪设计'!$B$85:$H$113,4,FALSE)*$W73))*IF(L73="",0,VLOOKUP(L73,'⚪设计'!$B$85:$H$113,4,FALSE)),0))</f>
        <v>226</v>
      </c>
      <c r="P73" s="97">
        <f>IF(L73="","",ROUND(战斗节奏!$B$14/(IF($G73="",0,VLOOKUP($G73,'⚪设计'!$B$85:$H$113,5,FALSE)*$H73)+IF($L73="",0,VLOOKUP($L73,'⚪设计'!$B$85:$H$113,5,FALSE)*$M73)+IF($Q73="",0,VLOOKUP($Q73,'⚪设计'!$B$85:$H$113,5,FALSE)*$R73)+IF($V73="",0,VLOOKUP($V73,'⚪设计'!$B$85:$H$113,5,FALSE)*$W73))*IF(L73="",0,VLOOKUP(L73,'⚪设计'!$B$85:$H$113,5,FALSE)),0))</f>
        <v>5</v>
      </c>
      <c r="Q73" s="97" t="str">
        <f>IF(VLOOKUP($A73,'⚪设计'!$A$337:$N$360,9,FALSE)="","",VLOOKUP($A73,'⚪设计'!$A$337:$N$360,9,FALSE))</f>
        <v>雪人2</v>
      </c>
      <c r="R73" s="97">
        <f t="shared" si="13"/>
        <v>8</v>
      </c>
      <c r="S73" s="97">
        <f>IF(VLOOKUP($A73,'⚪设计'!$A$337:$N$360,13,FALSE)="","",VLOOKUP($A73,'⚪设计'!$A$337:$N$360,13,FALSE))</f>
        <v>2</v>
      </c>
      <c r="T73" s="97">
        <f>IF(Q73="","",ROUND($D73*VLOOKUP($A73,'⚪设计'!$A$337:$N$360,4,FALSE)/(IF($G73="",0,VLOOKUP($G73,'⚪设计'!$B$85:$H$113,4,FALSE)*$H73)+IF($L73="",0,VLOOKUP($L73,'⚪设计'!$B$85:$H$113,4,FALSE)*$M73)+IF($Q73="",0,VLOOKUP($Q73,'⚪设计'!$B$85:$H$113,4,FALSE)*$R73)+IF($V73="",0,VLOOKUP($V73,'⚪设计'!$B$85:$H$113,4,FALSE)*$W73))*IF(Q73="",0,VLOOKUP(Q73,'⚪设计'!$B$85:$H$113,4,FALSE)),0))</f>
        <v>5419</v>
      </c>
      <c r="U73" s="97">
        <f>IF(Q73="","",ROUND(战斗节奏!$B$14/(IF($G73="",0,VLOOKUP($G73,'⚪设计'!$B$85:$H$113,5,FALSE)*$H73)+IF($L73="",0,VLOOKUP($L73,'⚪设计'!$B$85:$H$113,5,FALSE)*$M73)+IF($Q73="",0,VLOOKUP($Q73,'⚪设计'!$B$85:$H$113,5,FALSE)*$R73)+IF($V73="",0,VLOOKUP($V73,'⚪设计'!$B$85:$H$113,5,FALSE)*$W73))*IF(Q73="",0,VLOOKUP(Q73,'⚪设计'!$B$85:$H$113,5,FALSE)),0))</f>
        <v>19</v>
      </c>
      <c r="V73" s="97" t="str">
        <f>IF(VLOOKUP($A73,'⚪设计'!$A$337:$N$360,10,FALSE)="","",VLOOKUP($A73,'⚪设计'!$A$337:$N$360,10,FALSE))</f>
        <v/>
      </c>
      <c r="W73" s="97" t="str">
        <f t="shared" si="14"/>
        <v/>
      </c>
      <c r="X73" s="97" t="str">
        <f>IF(VLOOKUP($A73,'⚪设计'!$A$337:$N$360,14,FALSE)="","",VLOOKUP($A73,'⚪设计'!$A$337:$N$360,14,FALSE))</f>
        <v/>
      </c>
      <c r="Y73" s="97" t="str">
        <f>IF(V73="","",ROUND($D73*VLOOKUP($A73,'⚪设计'!$A$337:$N$360,4,FALSE)/(IF($G73="",0,VLOOKUP($G73,'⚪设计'!$B$85:$H$113,4,FALSE)*$H73)+IF($L73="",0,VLOOKUP($L73,'⚪设计'!$B$85:$H$113,4,FALSE)*$M73)+IF($Q73="",0,VLOOKUP($Q73,'⚪设计'!$B$85:$H$113,4,FALSE)*$R73)+IF($V73="",0,VLOOKUP($V73,'⚪设计'!$B$85:$H$113,4,FALSE)*$W73))*IF(V73="",0,VLOOKUP(V73,'⚪设计'!$B$85:$H$113,4,FALSE)),0))</f>
        <v/>
      </c>
      <c r="Z73" s="97" t="str">
        <f>IF(V73="","",ROUND(战斗节奏!$B$14/(IF($G73="",0,VLOOKUP($G73,'⚪设计'!$B$85:$H$113,5,FALSE)*$H73)+IF($L73="",0,VLOOKUP($L73,'⚪设计'!$B$85:$H$113,5,FALSE)*$M73)+IF($Q73="",0,VLOOKUP($Q73,'⚪设计'!$B$85:$H$113,5,FALSE)*$R73)+IF($V73="",0,VLOOKUP($V73,'⚪设计'!$B$85:$H$113,5,FALSE)*$W73))*IF(V73="",0,VLOOKUP(V73,'⚪设计'!$B$85:$H$113,5,FALSE)),0))</f>
        <v/>
      </c>
    </row>
    <row r="74" spans="1:26" x14ac:dyDescent="0.2">
      <c r="A74" s="2" t="str">
        <f t="shared" si="10"/>
        <v>4_4</v>
      </c>
      <c r="B74" s="2">
        <v>4</v>
      </c>
      <c r="C74" s="2">
        <v>4</v>
      </c>
      <c r="D74" s="97">
        <f>VLOOKUP(C74,无限模式!$A$3:$B$22,2,FALSE)</f>
        <v>4500</v>
      </c>
      <c r="E74" s="98">
        <v>1</v>
      </c>
      <c r="F74" s="97">
        <f>VLOOKUP(A74,'⚪设计'!$A$337:$N$360,6,FALSE)</f>
        <v>17.5</v>
      </c>
      <c r="G74" s="97" t="str">
        <f>IF(VLOOKUP($A74,'⚪设计'!$A$337:$N$360,7,FALSE)="","",VLOOKUP($A74,'⚪设计'!$A$337:$N$360,7,FALSE))</f>
        <v>鬼1</v>
      </c>
      <c r="H74" s="97">
        <f t="shared" si="11"/>
        <v>12</v>
      </c>
      <c r="I74" s="97">
        <f>IF(VLOOKUP($A74,'⚪设计'!$A$337:$N$360,11,FALSE)="","",VLOOKUP($A74,'⚪设计'!$A$337:$N$360,11,FALSE))</f>
        <v>1.5</v>
      </c>
      <c r="J74" s="97">
        <f>IF(G74="","",ROUND($D74*VLOOKUP($A74,'⚪设计'!$A$337:$N$360,4,FALSE)/(IF($G74="",0,VLOOKUP($G74,'⚪设计'!$B$85:$H$113,4,FALSE)*$H74)+IF($L74="",0,VLOOKUP($L74,'⚪设计'!$B$85:$H$113,4,FALSE)*$M74)+IF($Q74="",0,VLOOKUP($Q74,'⚪设计'!$B$85:$H$113,4,FALSE)*$R74)+IF($V74="",0,VLOOKUP($V74,'⚪设计'!$B$85:$H$113,4,FALSE)*$W74))*IF(G74="",0,VLOOKUP(G74,'⚪设计'!$B$85:$H$113,4,FALSE)),0))</f>
        <v>50</v>
      </c>
      <c r="K74" s="97">
        <f>IF(G74="","",ROUND(战斗节奏!$B$14/(IF($G74="",0,VLOOKUP($G74,'⚪设计'!$B$85:$H$113,5,FALSE)*$H74)+IF($L74="",0,VLOOKUP($L74,'⚪设计'!$B$85:$H$113,5,FALSE)*$M74)+IF($Q74="",0,VLOOKUP($Q74,'⚪设计'!$B$85:$H$113,5,FALSE)*$R74)+IF($V74="",0,VLOOKUP($V74,'⚪设计'!$B$85:$H$113,5,FALSE)*$W74))*IF(G74="",0,VLOOKUP(G74,'⚪设计'!$B$85:$H$113,5,FALSE)),0))</f>
        <v>7</v>
      </c>
      <c r="L74" s="97" t="str">
        <f>IF(VLOOKUP($A74,'⚪设计'!$A$337:$N$360,8,FALSE)="","",VLOOKUP($A74,'⚪设计'!$A$337:$N$360,8,FALSE))</f>
        <v>蜘蛛1</v>
      </c>
      <c r="M74" s="97">
        <f t="shared" si="12"/>
        <v>44</v>
      </c>
      <c r="N74" s="97">
        <f>IF(VLOOKUP($A74,'⚪设计'!$A$337:$N$360,12,FALSE)="","",VLOOKUP($A74,'⚪设计'!$A$337:$N$360,12,FALSE))</f>
        <v>0.4</v>
      </c>
      <c r="O74" s="97">
        <f>IF(L74="","",ROUND($D74*VLOOKUP($A74,'⚪设计'!$A$337:$N$360,4,FALSE)/(IF($G74="",0,VLOOKUP($G74,'⚪设计'!$B$85:$H$113,4,FALSE)*$H74)+IF($L74="",0,VLOOKUP($L74,'⚪设计'!$B$85:$H$113,4,FALSE)*$M74)+IF($Q74="",0,VLOOKUP($Q74,'⚪设计'!$B$85:$H$113,4,FALSE)*$R74)+IF($V74="",0,VLOOKUP($V74,'⚪设计'!$B$85:$H$113,4,FALSE)*$W74))*IF(L74="",0,VLOOKUP(L74,'⚪设计'!$B$85:$H$113,4,FALSE)),0))</f>
        <v>50</v>
      </c>
      <c r="P74" s="97">
        <f>IF(L74="","",ROUND(战斗节奏!$B$14/(IF($G74="",0,VLOOKUP($G74,'⚪设计'!$B$85:$H$113,5,FALSE)*$H74)+IF($L74="",0,VLOOKUP($L74,'⚪设计'!$B$85:$H$113,5,FALSE)*$M74)+IF($Q74="",0,VLOOKUP($Q74,'⚪设计'!$B$85:$H$113,5,FALSE)*$R74)+IF($V74="",0,VLOOKUP($V74,'⚪设计'!$B$85:$H$113,5,FALSE)*$W74))*IF(L74="",0,VLOOKUP(L74,'⚪设计'!$B$85:$H$113,5,FALSE)),0))</f>
        <v>7</v>
      </c>
      <c r="Q74" s="97" t="str">
        <f>IF(VLOOKUP($A74,'⚪设计'!$A$337:$N$360,9,FALSE)="","",VLOOKUP($A74,'⚪设计'!$A$337:$N$360,9,FALSE))</f>
        <v>雪人2</v>
      </c>
      <c r="R74" s="97">
        <f t="shared" si="13"/>
        <v>18</v>
      </c>
      <c r="S74" s="97">
        <f>IF(VLOOKUP($A74,'⚪设计'!$A$337:$N$360,13,FALSE)="","",VLOOKUP($A74,'⚪设计'!$A$337:$N$360,13,FALSE))</f>
        <v>1</v>
      </c>
      <c r="T74" s="97">
        <f>IF(Q74="","",ROUND($D74*VLOOKUP($A74,'⚪设计'!$A$337:$N$360,4,FALSE)/(IF($G74="",0,VLOOKUP($G74,'⚪设计'!$B$85:$H$113,4,FALSE)*$H74)+IF($L74="",0,VLOOKUP($L74,'⚪设计'!$B$85:$H$113,4,FALSE)*$M74)+IF($Q74="",0,VLOOKUP($Q74,'⚪设计'!$B$85:$H$113,4,FALSE)*$R74)+IF($V74="",0,VLOOKUP($V74,'⚪设计'!$B$85:$H$113,4,FALSE)*$W74))*IF(Q74="",0,VLOOKUP(Q74,'⚪设计'!$B$85:$H$113,4,FALSE)),0))</f>
        <v>596</v>
      </c>
      <c r="U74" s="97">
        <f>IF(Q74="","",ROUND(战斗节奏!$B$14/(IF($G74="",0,VLOOKUP($G74,'⚪设计'!$B$85:$H$113,5,FALSE)*$H74)+IF($L74="",0,VLOOKUP($L74,'⚪设计'!$B$85:$H$113,5,FALSE)*$M74)+IF($Q74="",0,VLOOKUP($Q74,'⚪设计'!$B$85:$H$113,5,FALSE)*$R74)+IF($V74="",0,VLOOKUP($V74,'⚪设计'!$B$85:$H$113,5,FALSE)*$W74))*IF(Q74="",0,VLOOKUP(Q74,'⚪设计'!$B$85:$H$113,5,FALSE)),0))</f>
        <v>13</v>
      </c>
      <c r="V74" s="97" t="str">
        <f>IF(VLOOKUP($A74,'⚪设计'!$A$337:$N$360,10,FALSE)="","",VLOOKUP($A74,'⚪设计'!$A$337:$N$360,10,FALSE))</f>
        <v/>
      </c>
      <c r="W74" s="97" t="str">
        <f t="shared" si="14"/>
        <v/>
      </c>
      <c r="X74" s="97" t="str">
        <f>IF(VLOOKUP($A74,'⚪设计'!$A$337:$N$360,14,FALSE)="","",VLOOKUP($A74,'⚪设计'!$A$337:$N$360,14,FALSE))</f>
        <v/>
      </c>
      <c r="Y74" s="97" t="str">
        <f>IF(V74="","",ROUND($D74*VLOOKUP($A74,'⚪设计'!$A$337:$N$360,4,FALSE)/(IF($G74="",0,VLOOKUP($G74,'⚪设计'!$B$85:$H$113,4,FALSE)*$H74)+IF($L74="",0,VLOOKUP($L74,'⚪设计'!$B$85:$H$113,4,FALSE)*$M74)+IF($Q74="",0,VLOOKUP($Q74,'⚪设计'!$B$85:$H$113,4,FALSE)*$R74)+IF($V74="",0,VLOOKUP($V74,'⚪设计'!$B$85:$H$113,4,FALSE)*$W74))*IF(V74="",0,VLOOKUP(V74,'⚪设计'!$B$85:$H$113,4,FALSE)),0))</f>
        <v/>
      </c>
      <c r="Z74" s="97" t="str">
        <f>IF(V74="","",ROUND(战斗节奏!$B$14/(IF($G74="",0,VLOOKUP($G74,'⚪设计'!$B$85:$H$113,5,FALSE)*$H74)+IF($L74="",0,VLOOKUP($L74,'⚪设计'!$B$85:$H$113,5,FALSE)*$M74)+IF($Q74="",0,VLOOKUP($Q74,'⚪设计'!$B$85:$H$113,5,FALSE)*$R74)+IF($V74="",0,VLOOKUP($V74,'⚪设计'!$B$85:$H$113,5,FALSE)*$W74))*IF(V74="",0,VLOOKUP(V74,'⚪设计'!$B$85:$H$113,5,FALSE)),0))</f>
        <v/>
      </c>
    </row>
    <row r="75" spans="1:26" x14ac:dyDescent="0.2">
      <c r="A75" s="2" t="str">
        <f t="shared" si="10"/>
        <v>4_5</v>
      </c>
      <c r="B75" s="2">
        <v>4</v>
      </c>
      <c r="C75" s="2">
        <v>5</v>
      </c>
      <c r="D75" s="97">
        <f>VLOOKUP(C75,无限模式!$A$3:$B$22,2,FALSE)</f>
        <v>5400</v>
      </c>
      <c r="E75" s="98">
        <v>1</v>
      </c>
      <c r="F75" s="97">
        <f>VLOOKUP(A75,'⚪设计'!$A$337:$N$360,6,FALSE)</f>
        <v>20</v>
      </c>
      <c r="G75" s="97" t="str">
        <f>IF(VLOOKUP($A75,'⚪设计'!$A$337:$N$360,7,FALSE)="","",VLOOKUP($A75,'⚪设计'!$A$337:$N$360,7,FALSE))</f>
        <v>鬼1</v>
      </c>
      <c r="H75" s="97">
        <f t="shared" si="11"/>
        <v>40</v>
      </c>
      <c r="I75" s="97">
        <f>IF(VLOOKUP($A75,'⚪设计'!$A$337:$N$360,11,FALSE)="","",VLOOKUP($A75,'⚪设计'!$A$337:$N$360,11,FALSE))</f>
        <v>0.5</v>
      </c>
      <c r="J75" s="97">
        <f>IF(G75="","",ROUND($D75*VLOOKUP($A75,'⚪设计'!$A$337:$N$360,4,FALSE)/(IF($G75="",0,VLOOKUP($G75,'⚪设计'!$B$85:$H$113,4,FALSE)*$H75)+IF($L75="",0,VLOOKUP($L75,'⚪设计'!$B$85:$H$113,4,FALSE)*$M75)+IF($Q75="",0,VLOOKUP($Q75,'⚪设计'!$B$85:$H$113,4,FALSE)*$R75)+IF($V75="",0,VLOOKUP($V75,'⚪设计'!$B$85:$H$113,4,FALSE)*$W75))*IF(G75="",0,VLOOKUP(G75,'⚪设计'!$B$85:$H$113,4,FALSE)),0))</f>
        <v>52</v>
      </c>
      <c r="K75" s="97">
        <f>IF(G75="","",ROUND(战斗节奏!$B$14/(IF($G75="",0,VLOOKUP($G75,'⚪设计'!$B$85:$H$113,5,FALSE)*$H75)+IF($L75="",0,VLOOKUP($L75,'⚪设计'!$B$85:$H$113,5,FALSE)*$M75)+IF($Q75="",0,VLOOKUP($Q75,'⚪设计'!$B$85:$H$113,5,FALSE)*$R75)+IF($V75="",0,VLOOKUP($V75,'⚪设计'!$B$85:$H$113,5,FALSE)*$W75))*IF(G75="",0,VLOOKUP(G75,'⚪设计'!$B$85:$H$113,5,FALSE)),0))</f>
        <v>6</v>
      </c>
      <c r="L75" s="97" t="str">
        <f>IF(VLOOKUP($A75,'⚪设计'!$A$337:$N$360,8,FALSE)="","",VLOOKUP($A75,'⚪设计'!$A$337:$N$360,8,FALSE))</f>
        <v>种子1</v>
      </c>
      <c r="M75" s="97">
        <f t="shared" si="12"/>
        <v>10</v>
      </c>
      <c r="N75" s="97">
        <f>IF(VLOOKUP($A75,'⚪设计'!$A$337:$N$360,12,FALSE)="","",VLOOKUP($A75,'⚪设计'!$A$337:$N$360,12,FALSE))</f>
        <v>2</v>
      </c>
      <c r="O75" s="97">
        <f>IF(L75="","",ROUND($D75*VLOOKUP($A75,'⚪设计'!$A$337:$N$360,4,FALSE)/(IF($G75="",0,VLOOKUP($G75,'⚪设计'!$B$85:$H$113,4,FALSE)*$H75)+IF($L75="",0,VLOOKUP($L75,'⚪设计'!$B$85:$H$113,4,FALSE)*$M75)+IF($Q75="",0,VLOOKUP($Q75,'⚪设计'!$B$85:$H$113,4,FALSE)*$R75)+IF($V75="",0,VLOOKUP($V75,'⚪设计'!$B$85:$H$113,4,FALSE)*$W75))*IF(L75="",0,VLOOKUP(L75,'⚪设计'!$B$85:$H$113,4,FALSE)),0))</f>
        <v>157</v>
      </c>
      <c r="P75" s="97">
        <f>IF(L75="","",ROUND(战斗节奏!$B$14/(IF($G75="",0,VLOOKUP($G75,'⚪设计'!$B$85:$H$113,5,FALSE)*$H75)+IF($L75="",0,VLOOKUP($L75,'⚪设计'!$B$85:$H$113,5,FALSE)*$M75)+IF($Q75="",0,VLOOKUP($Q75,'⚪设计'!$B$85:$H$113,5,FALSE)*$R75)+IF($V75="",0,VLOOKUP($V75,'⚪设计'!$B$85:$H$113,5,FALSE)*$W75))*IF(L75="",0,VLOOKUP(L75,'⚪设计'!$B$85:$H$113,5,FALSE)),0))</f>
        <v>12</v>
      </c>
      <c r="Q75" s="97" t="str">
        <f>IF(VLOOKUP($A75,'⚪设计'!$A$337:$N$360,9,FALSE)="","",VLOOKUP($A75,'⚪设计'!$A$337:$N$360,9,FALSE))</f>
        <v>雪人2</v>
      </c>
      <c r="R75" s="97">
        <f t="shared" si="13"/>
        <v>20</v>
      </c>
      <c r="S75" s="97">
        <f>IF(VLOOKUP($A75,'⚪设计'!$A$337:$N$360,13,FALSE)="","",VLOOKUP($A75,'⚪设计'!$A$337:$N$360,13,FALSE))</f>
        <v>1</v>
      </c>
      <c r="T75" s="97">
        <f>IF(Q75="","",ROUND($D75*VLOOKUP($A75,'⚪设计'!$A$337:$N$360,4,FALSE)/(IF($G75="",0,VLOOKUP($G75,'⚪设计'!$B$85:$H$113,4,FALSE)*$H75)+IF($L75="",0,VLOOKUP($L75,'⚪设计'!$B$85:$H$113,4,FALSE)*$M75)+IF($Q75="",0,VLOOKUP($Q75,'⚪设计'!$B$85:$H$113,4,FALSE)*$R75)+IF($V75="",0,VLOOKUP($V75,'⚪设计'!$B$85:$H$113,4,FALSE)*$W75))*IF(Q75="",0,VLOOKUP(Q75,'⚪设计'!$B$85:$H$113,4,FALSE)),0))</f>
        <v>627</v>
      </c>
      <c r="U75" s="97">
        <f>IF(Q75="","",ROUND(战斗节奏!$B$14/(IF($G75="",0,VLOOKUP($G75,'⚪设计'!$B$85:$H$113,5,FALSE)*$H75)+IF($L75="",0,VLOOKUP($L75,'⚪设计'!$B$85:$H$113,5,FALSE)*$M75)+IF($Q75="",0,VLOOKUP($Q75,'⚪设计'!$B$85:$H$113,5,FALSE)*$R75)+IF($V75="",0,VLOOKUP($V75,'⚪设计'!$B$85:$H$113,5,FALSE)*$W75))*IF(Q75="",0,VLOOKUP(Q75,'⚪设计'!$B$85:$H$113,5,FALSE)),0))</f>
        <v>12</v>
      </c>
      <c r="V75" s="97" t="str">
        <f>IF(VLOOKUP($A75,'⚪设计'!$A$337:$N$360,10,FALSE)="","",VLOOKUP($A75,'⚪设计'!$A$337:$N$360,10,FALSE))</f>
        <v/>
      </c>
      <c r="W75" s="97" t="str">
        <f t="shared" si="14"/>
        <v/>
      </c>
      <c r="X75" s="97" t="str">
        <f>IF(VLOOKUP($A75,'⚪设计'!$A$337:$N$360,14,FALSE)="","",VLOOKUP($A75,'⚪设计'!$A$337:$N$360,14,FALSE))</f>
        <v/>
      </c>
      <c r="Y75" s="97" t="str">
        <f>IF(V75="","",ROUND($D75*VLOOKUP($A75,'⚪设计'!$A$337:$N$360,4,FALSE)/(IF($G75="",0,VLOOKUP($G75,'⚪设计'!$B$85:$H$113,4,FALSE)*$H75)+IF($L75="",0,VLOOKUP($L75,'⚪设计'!$B$85:$H$113,4,FALSE)*$M75)+IF($Q75="",0,VLOOKUP($Q75,'⚪设计'!$B$85:$H$113,4,FALSE)*$R75)+IF($V75="",0,VLOOKUP($V75,'⚪设计'!$B$85:$H$113,4,FALSE)*$W75))*IF(V75="",0,VLOOKUP(V75,'⚪设计'!$B$85:$H$113,4,FALSE)),0))</f>
        <v/>
      </c>
      <c r="Z75" s="97" t="str">
        <f>IF(V75="","",ROUND(战斗节奏!$B$14/(IF($G75="",0,VLOOKUP($G75,'⚪设计'!$B$85:$H$113,5,FALSE)*$H75)+IF($L75="",0,VLOOKUP($L75,'⚪设计'!$B$85:$H$113,5,FALSE)*$M75)+IF($Q75="",0,VLOOKUP($Q75,'⚪设计'!$B$85:$H$113,5,FALSE)*$R75)+IF($V75="",0,VLOOKUP($V75,'⚪设计'!$B$85:$H$113,5,FALSE)*$W75))*IF(V75="",0,VLOOKUP(V75,'⚪设计'!$B$85:$H$113,5,FALSE)),0))</f>
        <v/>
      </c>
    </row>
    <row r="76" spans="1:26" x14ac:dyDescent="0.2">
      <c r="A76" s="2" t="str">
        <f t="shared" si="10"/>
        <v>5_1</v>
      </c>
      <c r="B76" s="2">
        <v>5</v>
      </c>
      <c r="C76" s="2">
        <v>1</v>
      </c>
      <c r="D76" s="97">
        <f>VLOOKUP(C76,无限模式!$A$3:$B$22,2,FALSE)</f>
        <v>900</v>
      </c>
      <c r="E76" s="98">
        <v>1</v>
      </c>
      <c r="F76" s="97">
        <f>VLOOKUP(A76,'⚪设计'!$A$337:$N$360,6,FALSE)</f>
        <v>10</v>
      </c>
      <c r="G76" s="97" t="str">
        <f>IF(VLOOKUP($A76,'⚪设计'!$A$337:$N$360,7,FALSE)="","",VLOOKUP($A76,'⚪设计'!$A$337:$N$360,7,FALSE))</f>
        <v>蛋2</v>
      </c>
      <c r="H76" s="97">
        <f t="shared" si="11"/>
        <v>7</v>
      </c>
      <c r="I76" s="97">
        <f>IF(VLOOKUP($A76,'⚪设计'!$A$337:$N$360,11,FALSE)="","",VLOOKUP($A76,'⚪设计'!$A$337:$N$360,11,FALSE))</f>
        <v>1.5</v>
      </c>
      <c r="J76" s="97">
        <f>IF(G76="","",ROUND($D76*VLOOKUP($A76,'⚪设计'!$A$337:$N$360,4,FALSE)/(IF($G76="",0,VLOOKUP($G76,'⚪设计'!$B$85:$H$113,4,FALSE)*$H76)+IF($L76="",0,VLOOKUP($L76,'⚪设计'!$B$85:$H$113,4,FALSE)*$M76)+IF($Q76="",0,VLOOKUP($Q76,'⚪设计'!$B$85:$H$113,4,FALSE)*$R76)+IF($V76="",0,VLOOKUP($V76,'⚪设计'!$B$85:$H$113,4,FALSE)*$W76))*IF(G76="",0,VLOOKUP(G76,'⚪设计'!$B$85:$H$113,4,FALSE)),0))</f>
        <v>196</v>
      </c>
      <c r="K76" s="97">
        <f>IF(G76="","",ROUND(战斗节奏!$B$14/(IF($G76="",0,VLOOKUP($G76,'⚪设计'!$B$85:$H$113,5,FALSE)*$H76)+IF($L76="",0,VLOOKUP($L76,'⚪设计'!$B$85:$H$113,5,FALSE)*$M76)+IF($Q76="",0,VLOOKUP($Q76,'⚪设计'!$B$85:$H$113,5,FALSE)*$R76)+IF($V76="",0,VLOOKUP($V76,'⚪设计'!$B$85:$H$113,5,FALSE)*$W76))*IF(G76="",0,VLOOKUP(G76,'⚪设计'!$B$85:$H$113,5,FALSE)),0))</f>
        <v>50</v>
      </c>
      <c r="L76" s="97" t="str">
        <f>IF(VLOOKUP($A76,'⚪设计'!$A$337:$N$360,8,FALSE)="","",VLOOKUP($A76,'⚪设计'!$A$337:$N$360,8,FALSE))</f>
        <v>雪人2</v>
      </c>
      <c r="M76" s="97">
        <f t="shared" si="12"/>
        <v>5</v>
      </c>
      <c r="N76" s="97">
        <f>IF(VLOOKUP($A76,'⚪设计'!$A$337:$N$360,12,FALSE)="","",VLOOKUP($A76,'⚪设计'!$A$337:$N$360,12,FALSE))</f>
        <v>2</v>
      </c>
      <c r="O76" s="97">
        <f>IF(L76="","",ROUND($D76*VLOOKUP($A76,'⚪设计'!$A$337:$N$360,4,FALSE)/(IF($G76="",0,VLOOKUP($G76,'⚪设计'!$B$85:$H$113,4,FALSE)*$H76)+IF($L76="",0,VLOOKUP($L76,'⚪设计'!$B$85:$H$113,4,FALSE)*$M76)+IF($Q76="",0,VLOOKUP($Q76,'⚪设计'!$B$85:$H$113,4,FALSE)*$R76)+IF($V76="",0,VLOOKUP($V76,'⚪设计'!$B$85:$H$113,4,FALSE)*$W76))*IF(L76="",0,VLOOKUP(L76,'⚪设计'!$B$85:$H$113,4,FALSE)),0))</f>
        <v>589</v>
      </c>
      <c r="P76" s="97">
        <f>IF(L76="","",ROUND(战斗节奏!$B$14/(IF($G76="",0,VLOOKUP($G76,'⚪设计'!$B$85:$H$113,5,FALSE)*$H76)+IF($L76="",0,VLOOKUP($L76,'⚪设计'!$B$85:$H$113,5,FALSE)*$M76)+IF($Q76="",0,VLOOKUP($Q76,'⚪设计'!$B$85:$H$113,5,FALSE)*$R76)+IF($V76="",0,VLOOKUP($V76,'⚪设计'!$B$85:$H$113,5,FALSE)*$W76))*IF(L76="",0,VLOOKUP(L76,'⚪设计'!$B$85:$H$113,5,FALSE)),0))</f>
        <v>50</v>
      </c>
      <c r="Q76" s="97" t="str">
        <f>IF(VLOOKUP($A76,'⚪设计'!$A$337:$N$360,9,FALSE)="","",VLOOKUP($A76,'⚪设计'!$A$337:$N$360,9,FALSE))</f>
        <v/>
      </c>
      <c r="R76" s="97" t="str">
        <f t="shared" si="13"/>
        <v/>
      </c>
      <c r="S76" s="97" t="str">
        <f>IF(VLOOKUP($A76,'⚪设计'!$A$337:$N$360,13,FALSE)="","",VLOOKUP($A76,'⚪设计'!$A$337:$N$360,13,FALSE))</f>
        <v/>
      </c>
      <c r="T76" s="97" t="str">
        <f>IF(Q76="","",ROUND($D76*VLOOKUP($A76,'⚪设计'!$A$337:$N$360,4,FALSE)/(IF($G76="",0,VLOOKUP($G76,'⚪设计'!$B$85:$H$113,4,FALSE)*$H76)+IF($L76="",0,VLOOKUP($L76,'⚪设计'!$B$85:$H$113,4,FALSE)*$M76)+IF($Q76="",0,VLOOKUP($Q76,'⚪设计'!$B$85:$H$113,4,FALSE)*$R76)+IF($V76="",0,VLOOKUP($V76,'⚪设计'!$B$85:$H$113,4,FALSE)*$W76))*IF(Q76="",0,VLOOKUP(Q76,'⚪设计'!$B$85:$H$113,4,FALSE)),0))</f>
        <v/>
      </c>
      <c r="U76" s="97" t="str">
        <f>IF(Q76="","",ROUND(战斗节奏!$B$14/(IF($G76="",0,VLOOKUP($G76,'⚪设计'!$B$85:$H$113,5,FALSE)*$H76)+IF($L76="",0,VLOOKUP($L76,'⚪设计'!$B$85:$H$113,5,FALSE)*$M76)+IF($Q76="",0,VLOOKUP($Q76,'⚪设计'!$B$85:$H$113,5,FALSE)*$R76)+IF($V76="",0,VLOOKUP($V76,'⚪设计'!$B$85:$H$113,5,FALSE)*$W76))*IF(Q76="",0,VLOOKUP(Q76,'⚪设计'!$B$85:$H$113,5,FALSE)),0))</f>
        <v/>
      </c>
      <c r="V76" s="97" t="str">
        <f>IF(VLOOKUP($A76,'⚪设计'!$A$337:$N$360,10,FALSE)="","",VLOOKUP($A76,'⚪设计'!$A$337:$N$360,10,FALSE))</f>
        <v/>
      </c>
      <c r="W76" s="97" t="str">
        <f t="shared" si="14"/>
        <v/>
      </c>
      <c r="X76" s="97" t="str">
        <f>IF(VLOOKUP($A76,'⚪设计'!$A$337:$N$360,14,FALSE)="","",VLOOKUP($A76,'⚪设计'!$A$337:$N$360,14,FALSE))</f>
        <v/>
      </c>
      <c r="Y76" s="97" t="str">
        <f>IF(V76="","",ROUND($D76*VLOOKUP($A76,'⚪设计'!$A$337:$N$360,4,FALSE)/(IF($G76="",0,VLOOKUP($G76,'⚪设计'!$B$85:$H$113,4,FALSE)*$H76)+IF($L76="",0,VLOOKUP($L76,'⚪设计'!$B$85:$H$113,4,FALSE)*$M76)+IF($Q76="",0,VLOOKUP($Q76,'⚪设计'!$B$85:$H$113,4,FALSE)*$R76)+IF($V76="",0,VLOOKUP($V76,'⚪设计'!$B$85:$H$113,4,FALSE)*$W76))*IF(V76="",0,VLOOKUP(V76,'⚪设计'!$B$85:$H$113,4,FALSE)),0))</f>
        <v/>
      </c>
      <c r="Z76" s="97" t="str">
        <f>IF(V76="","",ROUND(战斗节奏!$B$14/(IF($G76="",0,VLOOKUP($G76,'⚪设计'!$B$85:$H$113,5,FALSE)*$H76)+IF($L76="",0,VLOOKUP($L76,'⚪设计'!$B$85:$H$113,5,FALSE)*$M76)+IF($Q76="",0,VLOOKUP($Q76,'⚪设计'!$B$85:$H$113,5,FALSE)*$R76)+IF($V76="",0,VLOOKUP($V76,'⚪设计'!$B$85:$H$113,5,FALSE)*$W76))*IF(V76="",0,VLOOKUP(V76,'⚪设计'!$B$85:$H$113,5,FALSE)),0))</f>
        <v/>
      </c>
    </row>
    <row r="77" spans="1:26" x14ac:dyDescent="0.2">
      <c r="A77" s="2" t="str">
        <f t="shared" si="10"/>
        <v>5_2</v>
      </c>
      <c r="B77" s="2">
        <v>5</v>
      </c>
      <c r="C77" s="2">
        <v>2</v>
      </c>
      <c r="D77" s="97">
        <f>VLOOKUP(C77,无限模式!$A$3:$B$22,2,FALSE)</f>
        <v>1800</v>
      </c>
      <c r="E77" s="98">
        <v>1</v>
      </c>
      <c r="F77" s="97">
        <f>VLOOKUP(A77,'⚪设计'!$A$337:$N$360,6,FALSE)</f>
        <v>12.5</v>
      </c>
      <c r="G77" s="97" t="str">
        <f>IF(VLOOKUP($A77,'⚪设计'!$A$337:$N$360,7,FALSE)="","",VLOOKUP($A77,'⚪设计'!$A$337:$N$360,7,FALSE))</f>
        <v>蛋2</v>
      </c>
      <c r="H77" s="97">
        <f t="shared" si="11"/>
        <v>8</v>
      </c>
      <c r="I77" s="97">
        <f>IF(VLOOKUP($A77,'⚪设计'!$A$337:$N$360,11,FALSE)="","",VLOOKUP($A77,'⚪设计'!$A$337:$N$360,11,FALSE))</f>
        <v>1.5</v>
      </c>
      <c r="J77" s="97">
        <f>IF(G77="","",ROUND($D77*VLOOKUP($A77,'⚪设计'!$A$337:$N$360,4,FALSE)/(IF($G77="",0,VLOOKUP($G77,'⚪设计'!$B$85:$H$113,4,FALSE)*$H77)+IF($L77="",0,VLOOKUP($L77,'⚪设计'!$B$85:$H$113,4,FALSE)*$M77)+IF($Q77="",0,VLOOKUP($Q77,'⚪设计'!$B$85:$H$113,4,FALSE)*$R77)+IF($V77="",0,VLOOKUP($V77,'⚪设计'!$B$85:$H$113,4,FALSE)*$W77))*IF(G77="",0,VLOOKUP(G77,'⚪设计'!$B$85:$H$113,4,FALSE)),0))</f>
        <v>531</v>
      </c>
      <c r="K77" s="97">
        <f>IF(G77="","",ROUND(战斗节奏!$B$14/(IF($G77="",0,VLOOKUP($G77,'⚪设计'!$B$85:$H$113,5,FALSE)*$H77)+IF($L77="",0,VLOOKUP($L77,'⚪设计'!$B$85:$H$113,5,FALSE)*$M77)+IF($Q77="",0,VLOOKUP($Q77,'⚪设计'!$B$85:$H$113,5,FALSE)*$R77)+IF($V77="",0,VLOOKUP($V77,'⚪设计'!$B$85:$H$113,5,FALSE)*$W77))*IF(G77="",0,VLOOKUP(G77,'⚪设计'!$B$85:$H$113,5,FALSE)),0))</f>
        <v>20</v>
      </c>
      <c r="L77" s="97" t="str">
        <f>IF(VLOOKUP($A77,'⚪设计'!$A$337:$N$360,8,FALSE)="","",VLOOKUP($A77,'⚪设计'!$A$337:$N$360,8,FALSE))</f>
        <v>蝙蝠1</v>
      </c>
      <c r="M77" s="97">
        <f t="shared" si="12"/>
        <v>63</v>
      </c>
      <c r="N77" s="97">
        <f>IF(VLOOKUP($A77,'⚪设计'!$A$337:$N$360,12,FALSE)="","",VLOOKUP($A77,'⚪设计'!$A$337:$N$360,12,FALSE))</f>
        <v>0.2</v>
      </c>
      <c r="O77" s="97">
        <f>IF(L77="","",ROUND($D77*VLOOKUP($A77,'⚪设计'!$A$337:$N$360,4,FALSE)/(IF($G77="",0,VLOOKUP($G77,'⚪设计'!$B$85:$H$113,4,FALSE)*$H77)+IF($L77="",0,VLOOKUP($L77,'⚪设计'!$B$85:$H$113,4,FALSE)*$M77)+IF($Q77="",0,VLOOKUP($Q77,'⚪设计'!$B$85:$H$113,4,FALSE)*$R77)+IF($V77="",0,VLOOKUP($V77,'⚪设计'!$B$85:$H$113,4,FALSE)*$W77))*IF(L77="",0,VLOOKUP(L77,'⚪设计'!$B$85:$H$113,4,FALSE)),0))</f>
        <v>66</v>
      </c>
      <c r="P77" s="97">
        <f>IF(L77="","",ROUND(战斗节奏!$B$14/(IF($G77="",0,VLOOKUP($G77,'⚪设计'!$B$85:$H$113,5,FALSE)*$H77)+IF($L77="",0,VLOOKUP($L77,'⚪设计'!$B$85:$H$113,5,FALSE)*$M77)+IF($Q77="",0,VLOOKUP($Q77,'⚪设计'!$B$85:$H$113,5,FALSE)*$R77)+IF($V77="",0,VLOOKUP($V77,'⚪设计'!$B$85:$H$113,5,FALSE)*$W77))*IF(L77="",0,VLOOKUP(L77,'⚪设计'!$B$85:$H$113,5,FALSE)),0))</f>
        <v>5</v>
      </c>
      <c r="Q77" s="97" t="str">
        <f>IF(VLOOKUP($A77,'⚪设计'!$A$337:$N$360,9,FALSE)="","",VLOOKUP($A77,'⚪设计'!$A$337:$N$360,9,FALSE))</f>
        <v>雪人2</v>
      </c>
      <c r="R77" s="97">
        <f t="shared" si="13"/>
        <v>6</v>
      </c>
      <c r="S77" s="97">
        <f>IF(VLOOKUP($A77,'⚪设计'!$A$337:$N$360,13,FALSE)="","",VLOOKUP($A77,'⚪设计'!$A$337:$N$360,13,FALSE))</f>
        <v>2</v>
      </c>
      <c r="T77" s="97">
        <f>IF(Q77="","",ROUND($D77*VLOOKUP($A77,'⚪设计'!$A$337:$N$360,4,FALSE)/(IF($G77="",0,VLOOKUP($G77,'⚪设计'!$B$85:$H$113,4,FALSE)*$H77)+IF($L77="",0,VLOOKUP($L77,'⚪设计'!$B$85:$H$113,4,FALSE)*$M77)+IF($Q77="",0,VLOOKUP($Q77,'⚪设计'!$B$85:$H$113,4,FALSE)*$R77)+IF($V77="",0,VLOOKUP($V77,'⚪设计'!$B$85:$H$113,4,FALSE)*$W77))*IF(Q77="",0,VLOOKUP(Q77,'⚪设计'!$B$85:$H$113,4,FALSE)),0))</f>
        <v>1594</v>
      </c>
      <c r="U77" s="97">
        <f>IF(Q77="","",ROUND(战斗节奏!$B$14/(IF($G77="",0,VLOOKUP($G77,'⚪设计'!$B$85:$H$113,5,FALSE)*$H77)+IF($L77="",0,VLOOKUP($L77,'⚪设计'!$B$85:$H$113,5,FALSE)*$M77)+IF($Q77="",0,VLOOKUP($Q77,'⚪设计'!$B$85:$H$113,5,FALSE)*$R77)+IF($V77="",0,VLOOKUP($V77,'⚪设计'!$B$85:$H$113,5,FALSE)*$W77))*IF(Q77="",0,VLOOKUP(Q77,'⚪设计'!$B$85:$H$113,5,FALSE)),0))</f>
        <v>20</v>
      </c>
      <c r="V77" s="97" t="str">
        <f>IF(VLOOKUP($A77,'⚪设计'!$A$337:$N$360,10,FALSE)="","",VLOOKUP($A77,'⚪设计'!$A$337:$N$360,10,FALSE))</f>
        <v/>
      </c>
      <c r="W77" s="97" t="str">
        <f t="shared" si="14"/>
        <v/>
      </c>
      <c r="X77" s="97" t="str">
        <f>IF(VLOOKUP($A77,'⚪设计'!$A$337:$N$360,14,FALSE)="","",VLOOKUP($A77,'⚪设计'!$A$337:$N$360,14,FALSE))</f>
        <v/>
      </c>
      <c r="Y77" s="97" t="str">
        <f>IF(V77="","",ROUND($D77*VLOOKUP($A77,'⚪设计'!$A$337:$N$360,4,FALSE)/(IF($G77="",0,VLOOKUP($G77,'⚪设计'!$B$85:$H$113,4,FALSE)*$H77)+IF($L77="",0,VLOOKUP($L77,'⚪设计'!$B$85:$H$113,4,FALSE)*$M77)+IF($Q77="",0,VLOOKUP($Q77,'⚪设计'!$B$85:$H$113,4,FALSE)*$R77)+IF($V77="",0,VLOOKUP($V77,'⚪设计'!$B$85:$H$113,4,FALSE)*$W77))*IF(V77="",0,VLOOKUP(V77,'⚪设计'!$B$85:$H$113,4,FALSE)),0))</f>
        <v/>
      </c>
      <c r="Z77" s="97" t="str">
        <f>IF(V77="","",ROUND(战斗节奏!$B$14/(IF($G77="",0,VLOOKUP($G77,'⚪设计'!$B$85:$H$113,5,FALSE)*$H77)+IF($L77="",0,VLOOKUP($L77,'⚪设计'!$B$85:$H$113,5,FALSE)*$M77)+IF($Q77="",0,VLOOKUP($Q77,'⚪设计'!$B$85:$H$113,5,FALSE)*$R77)+IF($V77="",0,VLOOKUP($V77,'⚪设计'!$B$85:$H$113,5,FALSE)*$W77))*IF(V77="",0,VLOOKUP(V77,'⚪设计'!$B$85:$H$113,5,FALSE)),0))</f>
        <v/>
      </c>
    </row>
    <row r="78" spans="1:26" x14ac:dyDescent="0.2">
      <c r="A78" s="2" t="str">
        <f t="shared" si="10"/>
        <v>5_3</v>
      </c>
      <c r="B78" s="2">
        <v>5</v>
      </c>
      <c r="C78" s="2">
        <v>3</v>
      </c>
      <c r="D78" s="97">
        <f>VLOOKUP(C78,无限模式!$A$3:$B$22,2,FALSE)</f>
        <v>3600</v>
      </c>
      <c r="E78" s="98">
        <v>1</v>
      </c>
      <c r="F78" s="97">
        <f>VLOOKUP(A78,'⚪设计'!$A$337:$N$360,6,FALSE)</f>
        <v>15</v>
      </c>
      <c r="G78" s="97" t="str">
        <f>IF(VLOOKUP($A78,'⚪设计'!$A$337:$N$360,7,FALSE)="","",VLOOKUP($A78,'⚪设计'!$A$337:$N$360,7,FALSE))</f>
        <v>蛋2</v>
      </c>
      <c r="H78" s="97">
        <f t="shared" si="11"/>
        <v>10</v>
      </c>
      <c r="I78" s="97">
        <f>IF(VLOOKUP($A78,'⚪设计'!$A$337:$N$360,11,FALSE)="","",VLOOKUP($A78,'⚪设计'!$A$337:$N$360,11,FALSE))</f>
        <v>1.5</v>
      </c>
      <c r="J78" s="97">
        <f>IF(G78="","",ROUND($D78*VLOOKUP($A78,'⚪设计'!$A$337:$N$360,4,FALSE)/(IF($G78="",0,VLOOKUP($G78,'⚪设计'!$B$85:$H$113,4,FALSE)*$H78)+IF($L78="",0,VLOOKUP($L78,'⚪设计'!$B$85:$H$113,4,FALSE)*$M78)+IF($Q78="",0,VLOOKUP($Q78,'⚪设计'!$B$85:$H$113,4,FALSE)*$R78)+IF($V78="",0,VLOOKUP($V78,'⚪设计'!$B$85:$H$113,4,FALSE)*$W78))*IF(G78="",0,VLOOKUP(G78,'⚪设计'!$B$85:$H$113,4,FALSE)),0))</f>
        <v>1409</v>
      </c>
      <c r="K78" s="97">
        <f>IF(G78="","",ROUND(战斗节奏!$B$14/(IF($G78="",0,VLOOKUP($G78,'⚪设计'!$B$85:$H$113,5,FALSE)*$H78)+IF($L78="",0,VLOOKUP($L78,'⚪设计'!$B$85:$H$113,5,FALSE)*$M78)+IF($Q78="",0,VLOOKUP($Q78,'⚪设计'!$B$85:$H$113,5,FALSE)*$R78)+IF($V78="",0,VLOOKUP($V78,'⚪设计'!$B$85:$H$113,5,FALSE)*$W78))*IF(G78="",0,VLOOKUP(G78,'⚪设计'!$B$85:$H$113,5,FALSE)),0))</f>
        <v>14</v>
      </c>
      <c r="L78" s="97" t="str">
        <f>IF(VLOOKUP($A78,'⚪设计'!$A$337:$N$360,8,FALSE)="","",VLOOKUP($A78,'⚪设计'!$A$337:$N$360,8,FALSE))</f>
        <v>蜘蛛1</v>
      </c>
      <c r="M78" s="97">
        <f t="shared" si="12"/>
        <v>38</v>
      </c>
      <c r="N78" s="97">
        <f>IF(VLOOKUP($A78,'⚪设计'!$A$337:$N$360,12,FALSE)="","",VLOOKUP($A78,'⚪设计'!$A$337:$N$360,12,FALSE))</f>
        <v>0.4</v>
      </c>
      <c r="O78" s="97">
        <f>IF(L78="","",ROUND($D78*VLOOKUP($A78,'⚪设计'!$A$337:$N$360,4,FALSE)/(IF($G78="",0,VLOOKUP($G78,'⚪设计'!$B$85:$H$113,4,FALSE)*$H78)+IF($L78="",0,VLOOKUP($L78,'⚪设计'!$B$85:$H$113,4,FALSE)*$M78)+IF($Q78="",0,VLOOKUP($Q78,'⚪设计'!$B$85:$H$113,4,FALSE)*$R78)+IF($V78="",0,VLOOKUP($V78,'⚪设计'!$B$85:$H$113,4,FALSE)*$W78))*IF(L78="",0,VLOOKUP(L78,'⚪设计'!$B$85:$H$113,4,FALSE)),0))</f>
        <v>352</v>
      </c>
      <c r="P78" s="97">
        <f>IF(L78="","",ROUND(战斗节奏!$B$14/(IF($G78="",0,VLOOKUP($G78,'⚪设计'!$B$85:$H$113,5,FALSE)*$H78)+IF($L78="",0,VLOOKUP($L78,'⚪设计'!$B$85:$H$113,5,FALSE)*$M78)+IF($Q78="",0,VLOOKUP($Q78,'⚪设计'!$B$85:$H$113,5,FALSE)*$R78)+IF($V78="",0,VLOOKUP($V78,'⚪设计'!$B$85:$H$113,5,FALSE)*$W78))*IF(L78="",0,VLOOKUP(L78,'⚪设计'!$B$85:$H$113,5,FALSE)),0))</f>
        <v>7</v>
      </c>
      <c r="Q78" s="97" t="str">
        <f>IF(VLOOKUP($A78,'⚪设计'!$A$337:$N$360,9,FALSE)="","",VLOOKUP($A78,'⚪设计'!$A$337:$N$360,9,FALSE))</f>
        <v>鬼1</v>
      </c>
      <c r="R78" s="97">
        <f t="shared" si="13"/>
        <v>10</v>
      </c>
      <c r="S78" s="97">
        <f>IF(VLOOKUP($A78,'⚪设计'!$A$337:$N$360,13,FALSE)="","",VLOOKUP($A78,'⚪设计'!$A$337:$N$360,13,FALSE))</f>
        <v>1.5</v>
      </c>
      <c r="T78" s="97">
        <f>IF(Q78="","",ROUND($D78*VLOOKUP($A78,'⚪设计'!$A$337:$N$360,4,FALSE)/(IF($G78="",0,VLOOKUP($G78,'⚪设计'!$B$85:$H$113,4,FALSE)*$H78)+IF($L78="",0,VLOOKUP($L78,'⚪设计'!$B$85:$H$113,4,FALSE)*$M78)+IF($Q78="",0,VLOOKUP($Q78,'⚪设计'!$B$85:$H$113,4,FALSE)*$R78)+IF($V78="",0,VLOOKUP($V78,'⚪设计'!$B$85:$H$113,4,FALSE)*$W78))*IF(Q78="",0,VLOOKUP(Q78,'⚪设计'!$B$85:$H$113,4,FALSE)),0))</f>
        <v>352</v>
      </c>
      <c r="U78" s="97">
        <f>IF(Q78="","",ROUND(战斗节奏!$B$14/(IF($G78="",0,VLOOKUP($G78,'⚪设计'!$B$85:$H$113,5,FALSE)*$H78)+IF($L78="",0,VLOOKUP($L78,'⚪设计'!$B$85:$H$113,5,FALSE)*$M78)+IF($Q78="",0,VLOOKUP($Q78,'⚪设计'!$B$85:$H$113,5,FALSE)*$R78)+IF($V78="",0,VLOOKUP($V78,'⚪设计'!$B$85:$H$113,5,FALSE)*$W78))*IF(Q78="",0,VLOOKUP(Q78,'⚪设计'!$B$85:$H$113,5,FALSE)),0))</f>
        <v>7</v>
      </c>
      <c r="V78" s="97" t="str">
        <f>IF(VLOOKUP($A78,'⚪设计'!$A$337:$N$360,10,FALSE)="","",VLOOKUP($A78,'⚪设计'!$A$337:$N$360,10,FALSE))</f>
        <v>雪人2</v>
      </c>
      <c r="W78" s="97">
        <f t="shared" si="14"/>
        <v>8</v>
      </c>
      <c r="X78" s="97">
        <f>IF(VLOOKUP($A78,'⚪设计'!$A$337:$N$360,14,FALSE)="","",VLOOKUP($A78,'⚪设计'!$A$337:$N$360,14,FALSE))</f>
        <v>2</v>
      </c>
      <c r="Y78" s="97">
        <f>IF(V78="","",ROUND($D78*VLOOKUP($A78,'⚪设计'!$A$337:$N$360,4,FALSE)/(IF($G78="",0,VLOOKUP($G78,'⚪设计'!$B$85:$H$113,4,FALSE)*$H78)+IF($L78="",0,VLOOKUP($L78,'⚪设计'!$B$85:$H$113,4,FALSE)*$M78)+IF($Q78="",0,VLOOKUP($Q78,'⚪设计'!$B$85:$H$113,4,FALSE)*$R78)+IF($V78="",0,VLOOKUP($V78,'⚪设计'!$B$85:$H$113,4,FALSE)*$W78))*IF(V78="",0,VLOOKUP(V78,'⚪设计'!$B$85:$H$113,4,FALSE)),0))</f>
        <v>4226</v>
      </c>
      <c r="Z78" s="97">
        <f>IF(V78="","",ROUND(战斗节奏!$B$14/(IF($G78="",0,VLOOKUP($G78,'⚪设计'!$B$85:$H$113,5,FALSE)*$H78)+IF($L78="",0,VLOOKUP($L78,'⚪设计'!$B$85:$H$113,5,FALSE)*$M78)+IF($Q78="",0,VLOOKUP($Q78,'⚪设计'!$B$85:$H$113,5,FALSE)*$R78)+IF($V78="",0,VLOOKUP($V78,'⚪设计'!$B$85:$H$113,5,FALSE)*$W78))*IF(V78="",0,VLOOKUP(V78,'⚪设计'!$B$85:$H$113,5,FALSE)),0))</f>
        <v>14</v>
      </c>
    </row>
    <row r="79" spans="1:26" x14ac:dyDescent="0.2">
      <c r="A79" s="2" t="str">
        <f t="shared" si="10"/>
        <v>5_4</v>
      </c>
      <c r="B79" s="2">
        <v>5</v>
      </c>
      <c r="C79" s="2">
        <v>4</v>
      </c>
      <c r="D79" s="97">
        <f>VLOOKUP(C79,无限模式!$A$3:$B$22,2,FALSE)</f>
        <v>4500</v>
      </c>
      <c r="E79" s="98">
        <v>1</v>
      </c>
      <c r="F79" s="97">
        <f>VLOOKUP(A79,'⚪设计'!$A$337:$N$360,6,FALSE)</f>
        <v>17.5</v>
      </c>
      <c r="G79" s="97" t="str">
        <f>IF(VLOOKUP($A79,'⚪设计'!$A$337:$N$360,7,FALSE)="","",VLOOKUP($A79,'⚪设计'!$A$337:$N$360,7,FALSE))</f>
        <v>蛋2</v>
      </c>
      <c r="H79" s="97">
        <f t="shared" si="11"/>
        <v>12</v>
      </c>
      <c r="I79" s="97">
        <f>IF(VLOOKUP($A79,'⚪设计'!$A$337:$N$360,11,FALSE)="","",VLOOKUP($A79,'⚪设计'!$A$337:$N$360,11,FALSE))</f>
        <v>1.5</v>
      </c>
      <c r="J79" s="97">
        <f>IF(G79="","",ROUND($D79*VLOOKUP($A79,'⚪设计'!$A$337:$N$360,4,FALSE)/(IF($G79="",0,VLOOKUP($G79,'⚪设计'!$B$85:$H$113,4,FALSE)*$H79)+IF($L79="",0,VLOOKUP($L79,'⚪设计'!$B$85:$H$113,4,FALSE)*$M79)+IF($Q79="",0,VLOOKUP($Q79,'⚪设计'!$B$85:$H$113,4,FALSE)*$R79)+IF($V79="",0,VLOOKUP($V79,'⚪设计'!$B$85:$H$113,4,FALSE)*$W79))*IF(G79="",0,VLOOKUP(G79,'⚪设计'!$B$85:$H$113,4,FALSE)),0))</f>
        <v>565</v>
      </c>
      <c r="K79" s="97">
        <f>IF(G79="","",ROUND(战斗节奏!$B$14/(IF($G79="",0,VLOOKUP($G79,'⚪设计'!$B$85:$H$113,5,FALSE)*$H79)+IF($L79="",0,VLOOKUP($L79,'⚪设计'!$B$85:$H$113,5,FALSE)*$M79)+IF($Q79="",0,VLOOKUP($Q79,'⚪设计'!$B$85:$H$113,5,FALSE)*$R79)+IF($V79="",0,VLOOKUP($V79,'⚪设计'!$B$85:$H$113,5,FALSE)*$W79))*IF(G79="",0,VLOOKUP(G79,'⚪设计'!$B$85:$H$113,5,FALSE)),0))</f>
        <v>16</v>
      </c>
      <c r="L79" s="97" t="str">
        <f>IF(VLOOKUP($A79,'⚪设计'!$A$337:$N$360,8,FALSE)="","",VLOOKUP($A79,'⚪设计'!$A$337:$N$360,8,FALSE))</f>
        <v>鬼1</v>
      </c>
      <c r="M79" s="97">
        <f t="shared" si="12"/>
        <v>35</v>
      </c>
      <c r="N79" s="97">
        <f>IF(VLOOKUP($A79,'⚪设计'!$A$337:$N$360,12,FALSE)="","",VLOOKUP($A79,'⚪设计'!$A$337:$N$360,12,FALSE))</f>
        <v>0.5</v>
      </c>
      <c r="O79" s="97">
        <f>IF(L79="","",ROUND($D79*VLOOKUP($A79,'⚪设计'!$A$337:$N$360,4,FALSE)/(IF($G79="",0,VLOOKUP($G79,'⚪设计'!$B$85:$H$113,4,FALSE)*$H79)+IF($L79="",0,VLOOKUP($L79,'⚪设计'!$B$85:$H$113,4,FALSE)*$M79)+IF($Q79="",0,VLOOKUP($Q79,'⚪设计'!$B$85:$H$113,4,FALSE)*$R79)+IF($V79="",0,VLOOKUP($V79,'⚪设计'!$B$85:$H$113,4,FALSE)*$W79))*IF(L79="",0,VLOOKUP(L79,'⚪设计'!$B$85:$H$113,4,FALSE)),0))</f>
        <v>141</v>
      </c>
      <c r="P79" s="97">
        <f>IF(L79="","",ROUND(战斗节奏!$B$14/(IF($G79="",0,VLOOKUP($G79,'⚪设计'!$B$85:$H$113,5,FALSE)*$H79)+IF($L79="",0,VLOOKUP($L79,'⚪设计'!$B$85:$H$113,5,FALSE)*$M79)+IF($Q79="",0,VLOOKUP($Q79,'⚪设计'!$B$85:$H$113,5,FALSE)*$R79)+IF($V79="",0,VLOOKUP($V79,'⚪设计'!$B$85:$H$113,5,FALSE)*$W79))*IF(L79="",0,VLOOKUP(L79,'⚪设计'!$B$85:$H$113,5,FALSE)),0))</f>
        <v>8</v>
      </c>
      <c r="Q79" s="97" t="str">
        <f>IF(VLOOKUP($A79,'⚪设计'!$A$337:$N$360,9,FALSE)="","",VLOOKUP($A79,'⚪设计'!$A$337:$N$360,9,FALSE))</f>
        <v>雪人2</v>
      </c>
      <c r="R79" s="97">
        <f t="shared" si="13"/>
        <v>9</v>
      </c>
      <c r="S79" s="97">
        <f>IF(VLOOKUP($A79,'⚪设计'!$A$337:$N$360,13,FALSE)="","",VLOOKUP($A79,'⚪设计'!$A$337:$N$360,13,FALSE))</f>
        <v>2</v>
      </c>
      <c r="T79" s="97">
        <f>IF(Q79="","",ROUND($D79*VLOOKUP($A79,'⚪设计'!$A$337:$N$360,4,FALSE)/(IF($G79="",0,VLOOKUP($G79,'⚪设计'!$B$85:$H$113,4,FALSE)*$H79)+IF($L79="",0,VLOOKUP($L79,'⚪设计'!$B$85:$H$113,4,FALSE)*$M79)+IF($Q79="",0,VLOOKUP($Q79,'⚪设计'!$B$85:$H$113,4,FALSE)*$R79)+IF($V79="",0,VLOOKUP($V79,'⚪设计'!$B$85:$H$113,4,FALSE)*$W79))*IF(Q79="",0,VLOOKUP(Q79,'⚪设计'!$B$85:$H$113,4,FALSE)),0))</f>
        <v>1696</v>
      </c>
      <c r="U79" s="97">
        <f>IF(Q79="","",ROUND(战斗节奏!$B$14/(IF($G79="",0,VLOOKUP($G79,'⚪设计'!$B$85:$H$113,5,FALSE)*$H79)+IF($L79="",0,VLOOKUP($L79,'⚪设计'!$B$85:$H$113,5,FALSE)*$M79)+IF($Q79="",0,VLOOKUP($Q79,'⚪设计'!$B$85:$H$113,5,FALSE)*$R79)+IF($V79="",0,VLOOKUP($V79,'⚪设计'!$B$85:$H$113,5,FALSE)*$W79))*IF(Q79="",0,VLOOKUP(Q79,'⚪设计'!$B$85:$H$113,5,FALSE)),0))</f>
        <v>16</v>
      </c>
      <c r="V79" s="97" t="str">
        <f>IF(VLOOKUP($A79,'⚪设计'!$A$337:$N$360,10,FALSE)="","",VLOOKUP($A79,'⚪设计'!$A$337:$N$360,10,FALSE))</f>
        <v/>
      </c>
      <c r="W79" s="97" t="str">
        <f t="shared" si="14"/>
        <v/>
      </c>
      <c r="X79" s="97" t="str">
        <f>IF(VLOOKUP($A79,'⚪设计'!$A$337:$N$360,14,FALSE)="","",VLOOKUP($A79,'⚪设计'!$A$337:$N$360,14,FALSE))</f>
        <v/>
      </c>
      <c r="Y79" s="97" t="str">
        <f>IF(V79="","",ROUND($D79*VLOOKUP($A79,'⚪设计'!$A$337:$N$360,4,FALSE)/(IF($G79="",0,VLOOKUP($G79,'⚪设计'!$B$85:$H$113,4,FALSE)*$H79)+IF($L79="",0,VLOOKUP($L79,'⚪设计'!$B$85:$H$113,4,FALSE)*$M79)+IF($Q79="",0,VLOOKUP($Q79,'⚪设计'!$B$85:$H$113,4,FALSE)*$R79)+IF($V79="",0,VLOOKUP($V79,'⚪设计'!$B$85:$H$113,4,FALSE)*$W79))*IF(V79="",0,VLOOKUP(V79,'⚪设计'!$B$85:$H$113,4,FALSE)),0))</f>
        <v/>
      </c>
      <c r="Z79" s="97" t="str">
        <f>IF(V79="","",ROUND(战斗节奏!$B$14/(IF($G79="",0,VLOOKUP($G79,'⚪设计'!$B$85:$H$113,5,FALSE)*$H79)+IF($L79="",0,VLOOKUP($L79,'⚪设计'!$B$85:$H$113,5,FALSE)*$M79)+IF($Q79="",0,VLOOKUP($Q79,'⚪设计'!$B$85:$H$113,5,FALSE)*$R79)+IF($V79="",0,VLOOKUP($V79,'⚪设计'!$B$85:$H$113,5,FALSE)*$W79))*IF(V79="",0,VLOOKUP(V79,'⚪设计'!$B$85:$H$113,5,FALSE)),0))</f>
        <v/>
      </c>
    </row>
    <row r="80" spans="1:26" x14ac:dyDescent="0.2">
      <c r="A80" s="2" t="str">
        <f t="shared" si="10"/>
        <v>5_5</v>
      </c>
      <c r="B80" s="2">
        <v>5</v>
      </c>
      <c r="C80" s="2">
        <v>5</v>
      </c>
      <c r="D80" s="97">
        <f>VLOOKUP(C80,无限模式!$A$3:$B$22,2,FALSE)</f>
        <v>5400</v>
      </c>
      <c r="E80" s="98">
        <v>1</v>
      </c>
      <c r="F80" s="97">
        <f>VLOOKUP(A80,'⚪设计'!$A$337:$N$360,6,FALSE)</f>
        <v>20</v>
      </c>
      <c r="G80" s="97" t="str">
        <f>IF(VLOOKUP($A80,'⚪设计'!$A$337:$N$360,7,FALSE)="","",VLOOKUP($A80,'⚪设计'!$A$337:$N$360,7,FALSE))</f>
        <v>蛋2</v>
      </c>
      <c r="H80" s="97">
        <f t="shared" si="11"/>
        <v>13</v>
      </c>
      <c r="I80" s="97">
        <f>IF(VLOOKUP($A80,'⚪设计'!$A$337:$N$360,11,FALSE)="","",VLOOKUP($A80,'⚪设计'!$A$337:$N$360,11,FALSE))</f>
        <v>1.5</v>
      </c>
      <c r="J80" s="97">
        <f>IF(G80="","",ROUND($D80*VLOOKUP($A80,'⚪设计'!$A$337:$N$360,4,FALSE)/(IF($G80="",0,VLOOKUP($G80,'⚪设计'!$B$85:$H$113,4,FALSE)*$H80)+IF($L80="",0,VLOOKUP($L80,'⚪设计'!$B$85:$H$113,4,FALSE)*$M80)+IF($Q80="",0,VLOOKUP($Q80,'⚪设计'!$B$85:$H$113,4,FALSE)*$R80)+IF($V80="",0,VLOOKUP($V80,'⚪设计'!$B$85:$H$113,4,FALSE)*$W80))*IF(G80="",0,VLOOKUP(G80,'⚪设计'!$B$85:$H$113,4,FALSE)),0))</f>
        <v>358</v>
      </c>
      <c r="K80" s="97">
        <f>IF(G80="","",ROUND(战斗节奏!$B$14/(IF($G80="",0,VLOOKUP($G80,'⚪设计'!$B$85:$H$113,5,FALSE)*$H80)+IF($L80="",0,VLOOKUP($L80,'⚪设计'!$B$85:$H$113,5,FALSE)*$M80)+IF($Q80="",0,VLOOKUP($Q80,'⚪设计'!$B$85:$H$113,5,FALSE)*$R80)+IF($V80="",0,VLOOKUP($V80,'⚪设计'!$B$85:$H$113,5,FALSE)*$W80))*IF(G80="",0,VLOOKUP(G80,'⚪设计'!$B$85:$H$113,5,FALSE)),0))</f>
        <v>10</v>
      </c>
      <c r="L80" s="97" t="str">
        <f>IF(VLOOKUP($A80,'⚪设计'!$A$337:$N$360,8,FALSE)="","",VLOOKUP($A80,'⚪设计'!$A$337:$N$360,8,FALSE))</f>
        <v>鬼1</v>
      </c>
      <c r="M80" s="97">
        <f t="shared" si="12"/>
        <v>40</v>
      </c>
      <c r="N80" s="97">
        <f>IF(VLOOKUP($A80,'⚪设计'!$A$337:$N$360,12,FALSE)="","",VLOOKUP($A80,'⚪设计'!$A$337:$N$360,12,FALSE))</f>
        <v>0.5</v>
      </c>
      <c r="O80" s="97">
        <f>IF(L80="","",ROUND($D80*VLOOKUP($A80,'⚪设计'!$A$337:$N$360,4,FALSE)/(IF($G80="",0,VLOOKUP($G80,'⚪设计'!$B$85:$H$113,4,FALSE)*$H80)+IF($L80="",0,VLOOKUP($L80,'⚪设计'!$B$85:$H$113,4,FALSE)*$M80)+IF($Q80="",0,VLOOKUP($Q80,'⚪设计'!$B$85:$H$113,4,FALSE)*$R80)+IF($V80="",0,VLOOKUP($V80,'⚪设计'!$B$85:$H$113,4,FALSE)*$W80))*IF(L80="",0,VLOOKUP(L80,'⚪设计'!$B$85:$H$113,4,FALSE)),0))</f>
        <v>90</v>
      </c>
      <c r="P80" s="97">
        <f>IF(L80="","",ROUND(战斗节奏!$B$14/(IF($G80="",0,VLOOKUP($G80,'⚪设计'!$B$85:$H$113,5,FALSE)*$H80)+IF($L80="",0,VLOOKUP($L80,'⚪设计'!$B$85:$H$113,5,FALSE)*$M80)+IF($Q80="",0,VLOOKUP($Q80,'⚪设计'!$B$85:$H$113,5,FALSE)*$R80)+IF($V80="",0,VLOOKUP($V80,'⚪设计'!$B$85:$H$113,5,FALSE)*$W80))*IF(L80="",0,VLOOKUP(L80,'⚪设计'!$B$85:$H$113,5,FALSE)),0))</f>
        <v>5</v>
      </c>
      <c r="Q80" s="97" t="str">
        <f>IF(VLOOKUP($A80,'⚪设计'!$A$337:$N$360,9,FALSE)="","",VLOOKUP($A80,'⚪设计'!$A$337:$N$360,9,FALSE))</f>
        <v>种子1</v>
      </c>
      <c r="R80" s="97">
        <f t="shared" si="13"/>
        <v>10</v>
      </c>
      <c r="S80" s="97">
        <f>IF(VLOOKUP($A80,'⚪设计'!$A$337:$N$360,13,FALSE)="","",VLOOKUP($A80,'⚪设计'!$A$337:$N$360,13,FALSE))</f>
        <v>2</v>
      </c>
      <c r="T80" s="97">
        <f>IF(Q80="","",ROUND($D80*VLOOKUP($A80,'⚪设计'!$A$337:$N$360,4,FALSE)/(IF($G80="",0,VLOOKUP($G80,'⚪设计'!$B$85:$H$113,4,FALSE)*$H80)+IF($L80="",0,VLOOKUP($L80,'⚪设计'!$B$85:$H$113,4,FALSE)*$M80)+IF($Q80="",0,VLOOKUP($Q80,'⚪设计'!$B$85:$H$113,4,FALSE)*$R80)+IF($V80="",0,VLOOKUP($V80,'⚪设计'!$B$85:$H$113,4,FALSE)*$W80))*IF(Q80="",0,VLOOKUP(Q80,'⚪设计'!$B$85:$H$113,4,FALSE)),0))</f>
        <v>269</v>
      </c>
      <c r="U80" s="97">
        <f>IF(Q80="","",ROUND(战斗节奏!$B$14/(IF($G80="",0,VLOOKUP($G80,'⚪设计'!$B$85:$H$113,5,FALSE)*$H80)+IF($L80="",0,VLOOKUP($L80,'⚪设计'!$B$85:$H$113,5,FALSE)*$M80)+IF($Q80="",0,VLOOKUP($Q80,'⚪设计'!$B$85:$H$113,5,FALSE)*$R80)+IF($V80="",0,VLOOKUP($V80,'⚪设计'!$B$85:$H$113,5,FALSE)*$W80))*IF(Q80="",0,VLOOKUP(Q80,'⚪设计'!$B$85:$H$113,5,FALSE)),0))</f>
        <v>10</v>
      </c>
      <c r="V80" s="97" t="str">
        <f>IF(VLOOKUP($A80,'⚪设计'!$A$337:$N$360,10,FALSE)="","",VLOOKUP($A80,'⚪设计'!$A$337:$N$360,10,FALSE))</f>
        <v>雪人2</v>
      </c>
      <c r="W80" s="97">
        <f t="shared" si="14"/>
        <v>20</v>
      </c>
      <c r="X80" s="97">
        <f>IF(VLOOKUP($A80,'⚪设计'!$A$337:$N$360,14,FALSE)="","",VLOOKUP($A80,'⚪设计'!$A$337:$N$360,14,FALSE))</f>
        <v>1</v>
      </c>
      <c r="Y80" s="97">
        <f>IF(V80="","",ROUND($D80*VLOOKUP($A80,'⚪设计'!$A$337:$N$360,4,FALSE)/(IF($G80="",0,VLOOKUP($G80,'⚪设计'!$B$85:$H$113,4,FALSE)*$H80)+IF($L80="",0,VLOOKUP($L80,'⚪设计'!$B$85:$H$113,4,FALSE)*$M80)+IF($Q80="",0,VLOOKUP($Q80,'⚪设计'!$B$85:$H$113,4,FALSE)*$R80)+IF($V80="",0,VLOOKUP($V80,'⚪设计'!$B$85:$H$113,4,FALSE)*$W80))*IF(V80="",0,VLOOKUP(V80,'⚪设计'!$B$85:$H$113,4,FALSE)),0))</f>
        <v>1074</v>
      </c>
      <c r="Z80" s="97">
        <f>IF(V80="","",ROUND(战斗节奏!$B$14/(IF($G80="",0,VLOOKUP($G80,'⚪设计'!$B$85:$H$113,5,FALSE)*$H80)+IF($L80="",0,VLOOKUP($L80,'⚪设计'!$B$85:$H$113,5,FALSE)*$M80)+IF($Q80="",0,VLOOKUP($Q80,'⚪设计'!$B$85:$H$113,5,FALSE)*$R80)+IF($V80="",0,VLOOKUP($V80,'⚪设计'!$B$85:$H$113,5,FALSE)*$W80))*IF(V80="",0,VLOOKUP(V80,'⚪设计'!$B$85:$H$113,5,FALSE)),0))</f>
        <v>10</v>
      </c>
    </row>
    <row r="81" spans="1:26" x14ac:dyDescent="0.2">
      <c r="A81" s="2" t="str">
        <f t="shared" si="10"/>
        <v>5_6</v>
      </c>
      <c r="B81" s="2">
        <v>5</v>
      </c>
      <c r="C81" s="2">
        <v>6</v>
      </c>
      <c r="D81" s="97">
        <f>VLOOKUP(C81,无限模式!$A$3:$B$22,2,FALSE)</f>
        <v>7200</v>
      </c>
      <c r="E81" s="98">
        <v>1</v>
      </c>
      <c r="F81" s="97">
        <f>VLOOKUP(A81,'⚪设计'!$A$337:$N$360,6,FALSE)</f>
        <v>22.5</v>
      </c>
      <c r="G81" s="97" t="str">
        <f>IF(VLOOKUP($A81,'⚪设计'!$A$337:$N$360,7,FALSE)="","",VLOOKUP($A81,'⚪设计'!$A$337:$N$360,7,FALSE))</f>
        <v>蛋2</v>
      </c>
      <c r="H81" s="97">
        <f t="shared" si="11"/>
        <v>15</v>
      </c>
      <c r="I81" s="97">
        <f>IF(VLOOKUP($A81,'⚪设计'!$A$337:$N$360,11,FALSE)="","",VLOOKUP($A81,'⚪设计'!$A$337:$N$360,11,FALSE))</f>
        <v>1.5</v>
      </c>
      <c r="J81" s="97">
        <f>IF(G81="","",ROUND($D81*VLOOKUP($A81,'⚪设计'!$A$337:$N$360,4,FALSE)/(IF($G81="",0,VLOOKUP($G81,'⚪设计'!$B$85:$H$113,4,FALSE)*$H81)+IF($L81="",0,VLOOKUP($L81,'⚪设计'!$B$85:$H$113,4,FALSE)*$M81)+IF($Q81="",0,VLOOKUP($Q81,'⚪设计'!$B$85:$H$113,4,FALSE)*$R81)+IF($V81="",0,VLOOKUP($V81,'⚪设计'!$B$85:$H$113,4,FALSE)*$W81))*IF(G81="",0,VLOOKUP(G81,'⚪设计'!$B$85:$H$113,4,FALSE)),0))</f>
        <v>533</v>
      </c>
      <c r="K81" s="97">
        <f>IF(G81="","",ROUND(战斗节奏!$B$14/(IF($G81="",0,VLOOKUP($G81,'⚪设计'!$B$85:$H$113,5,FALSE)*$H81)+IF($L81="",0,VLOOKUP($L81,'⚪设计'!$B$85:$H$113,5,FALSE)*$M81)+IF($Q81="",0,VLOOKUP($Q81,'⚪设计'!$B$85:$H$113,5,FALSE)*$R81)+IF($V81="",0,VLOOKUP($V81,'⚪设计'!$B$85:$H$113,5,FALSE)*$W81))*IF(G81="",0,VLOOKUP(G81,'⚪设计'!$B$85:$H$113,5,FALSE)),0))</f>
        <v>11</v>
      </c>
      <c r="L81" s="97" t="str">
        <f>IF(VLOOKUP($A81,'⚪设计'!$A$337:$N$360,8,FALSE)="","",VLOOKUP($A81,'⚪设计'!$A$337:$N$360,8,FALSE))</f>
        <v>种子2</v>
      </c>
      <c r="M81" s="97">
        <f t="shared" si="12"/>
        <v>11</v>
      </c>
      <c r="N81" s="97">
        <f>IF(VLOOKUP($A81,'⚪设计'!$A$337:$N$360,12,FALSE)="","",VLOOKUP($A81,'⚪设计'!$A$337:$N$360,12,FALSE))</f>
        <v>2</v>
      </c>
      <c r="O81" s="97">
        <f>IF(L81="","",ROUND($D81*VLOOKUP($A81,'⚪设计'!$A$337:$N$360,4,FALSE)/(IF($G81="",0,VLOOKUP($G81,'⚪设计'!$B$85:$H$113,4,FALSE)*$H81)+IF($L81="",0,VLOOKUP($L81,'⚪设计'!$B$85:$H$113,4,FALSE)*$M81)+IF($Q81="",0,VLOOKUP($Q81,'⚪设计'!$B$85:$H$113,4,FALSE)*$R81)+IF($V81="",0,VLOOKUP($V81,'⚪设计'!$B$85:$H$113,4,FALSE)*$W81))*IF(L81="",0,VLOOKUP(L81,'⚪设计'!$B$85:$H$113,4,FALSE)),0))</f>
        <v>800</v>
      </c>
      <c r="P81" s="97">
        <f>IF(L81="","",ROUND(战斗节奏!$B$14/(IF($G81="",0,VLOOKUP($G81,'⚪设计'!$B$85:$H$113,5,FALSE)*$H81)+IF($L81="",0,VLOOKUP($L81,'⚪设计'!$B$85:$H$113,5,FALSE)*$M81)+IF($Q81="",0,VLOOKUP($Q81,'⚪设计'!$B$85:$H$113,5,FALSE)*$R81)+IF($V81="",0,VLOOKUP($V81,'⚪设计'!$B$85:$H$113,5,FALSE)*$W81))*IF(L81="",0,VLOOKUP(L81,'⚪设计'!$B$85:$H$113,5,FALSE)),0))</f>
        <v>11</v>
      </c>
      <c r="Q81" s="97" t="str">
        <f>IF(VLOOKUP($A81,'⚪设计'!$A$337:$N$360,9,FALSE)="","",VLOOKUP($A81,'⚪设计'!$A$337:$N$360,9,FALSE))</f>
        <v>蜘蛛2</v>
      </c>
      <c r="R81" s="97">
        <f t="shared" si="13"/>
        <v>15</v>
      </c>
      <c r="S81" s="97">
        <f>IF(VLOOKUP($A81,'⚪设计'!$A$337:$N$360,13,FALSE)="","",VLOOKUP($A81,'⚪设计'!$A$337:$N$360,13,FALSE))</f>
        <v>1.5</v>
      </c>
      <c r="T81" s="97">
        <f>IF(Q81="","",ROUND($D81*VLOOKUP($A81,'⚪设计'!$A$337:$N$360,4,FALSE)/(IF($G81="",0,VLOOKUP($G81,'⚪设计'!$B$85:$H$113,4,FALSE)*$H81)+IF($L81="",0,VLOOKUP($L81,'⚪设计'!$B$85:$H$113,4,FALSE)*$M81)+IF($Q81="",0,VLOOKUP($Q81,'⚪设计'!$B$85:$H$113,4,FALSE)*$R81)+IF($V81="",0,VLOOKUP($V81,'⚪设计'!$B$85:$H$113,4,FALSE)*$W81))*IF(Q81="",0,VLOOKUP(Q81,'⚪设计'!$B$85:$H$113,4,FALSE)),0))</f>
        <v>267</v>
      </c>
      <c r="U81" s="97">
        <f>IF(Q81="","",ROUND(战斗节奏!$B$14/(IF($G81="",0,VLOOKUP($G81,'⚪设计'!$B$85:$H$113,5,FALSE)*$H81)+IF($L81="",0,VLOOKUP($L81,'⚪设计'!$B$85:$H$113,5,FALSE)*$M81)+IF($Q81="",0,VLOOKUP($Q81,'⚪设计'!$B$85:$H$113,5,FALSE)*$R81)+IF($V81="",0,VLOOKUP($V81,'⚪设计'!$B$85:$H$113,5,FALSE)*$W81))*IF(Q81="",0,VLOOKUP(Q81,'⚪设计'!$B$85:$H$113,5,FALSE)),0))</f>
        <v>5</v>
      </c>
      <c r="V81" s="97" t="str">
        <f>IF(VLOOKUP($A81,'⚪设计'!$A$337:$N$360,10,FALSE)="","",VLOOKUP($A81,'⚪设计'!$A$337:$N$360,10,FALSE))</f>
        <v>雪人2</v>
      </c>
      <c r="W81" s="97">
        <f t="shared" si="14"/>
        <v>23</v>
      </c>
      <c r="X81" s="97">
        <f>IF(VLOOKUP($A81,'⚪设计'!$A$337:$N$360,14,FALSE)="","",VLOOKUP($A81,'⚪设计'!$A$337:$N$360,14,FALSE))</f>
        <v>1</v>
      </c>
      <c r="Y81" s="97">
        <f>IF(V81="","",ROUND($D81*VLOOKUP($A81,'⚪设计'!$A$337:$N$360,4,FALSE)/(IF($G81="",0,VLOOKUP($G81,'⚪设计'!$B$85:$H$113,4,FALSE)*$H81)+IF($L81="",0,VLOOKUP($L81,'⚪设计'!$B$85:$H$113,4,FALSE)*$M81)+IF($Q81="",0,VLOOKUP($Q81,'⚪设计'!$B$85:$H$113,4,FALSE)*$R81)+IF($V81="",0,VLOOKUP($V81,'⚪设计'!$B$85:$H$113,4,FALSE)*$W81))*IF(V81="",0,VLOOKUP(V81,'⚪设计'!$B$85:$H$113,4,FALSE)),0))</f>
        <v>1600</v>
      </c>
      <c r="Z81" s="97">
        <f>IF(V81="","",ROUND(战斗节奏!$B$14/(IF($G81="",0,VLOOKUP($G81,'⚪设计'!$B$85:$H$113,5,FALSE)*$H81)+IF($L81="",0,VLOOKUP($L81,'⚪设计'!$B$85:$H$113,5,FALSE)*$M81)+IF($Q81="",0,VLOOKUP($Q81,'⚪设计'!$B$85:$H$113,5,FALSE)*$R81)+IF($V81="",0,VLOOKUP($V81,'⚪设计'!$B$85:$H$113,5,FALSE)*$W81))*IF(V81="",0,VLOOKUP(V81,'⚪设计'!$B$85:$H$113,5,FALSE)),0))</f>
        <v>11</v>
      </c>
    </row>
    <row r="82" spans="1:26" x14ac:dyDescent="0.2">
      <c r="A82" s="2" t="str">
        <f t="shared" si="10"/>
        <v>5_7</v>
      </c>
      <c r="B82" s="2">
        <v>5</v>
      </c>
      <c r="C82" s="2">
        <v>7</v>
      </c>
      <c r="D82" s="97">
        <f>VLOOKUP(C82,无限模式!$A$3:$B$22,2,FALSE)</f>
        <v>8100</v>
      </c>
      <c r="E82" s="98">
        <v>1</v>
      </c>
      <c r="F82" s="97">
        <f>VLOOKUP(A82,'⚪设计'!$A$337:$N$360,6,FALSE)</f>
        <v>25</v>
      </c>
      <c r="G82" s="97" t="str">
        <f>IF(VLOOKUP($A82,'⚪设计'!$A$337:$N$360,7,FALSE)="","",VLOOKUP($A82,'⚪设计'!$A$337:$N$360,7,FALSE))</f>
        <v>蛋2</v>
      </c>
      <c r="H82" s="97">
        <f t="shared" si="11"/>
        <v>25</v>
      </c>
      <c r="I82" s="97">
        <f>IF(VLOOKUP($A82,'⚪设计'!$A$337:$N$360,11,FALSE)="","",VLOOKUP($A82,'⚪设计'!$A$337:$N$360,11,FALSE))</f>
        <v>1</v>
      </c>
      <c r="J82" s="97">
        <f>IF(G82="","",ROUND($D82*VLOOKUP($A82,'⚪设计'!$A$337:$N$360,4,FALSE)/(IF($G82="",0,VLOOKUP($G82,'⚪设计'!$B$85:$H$113,4,FALSE)*$H82)+IF($L82="",0,VLOOKUP($L82,'⚪设计'!$B$85:$H$113,4,FALSE)*$M82)+IF($Q82="",0,VLOOKUP($Q82,'⚪设计'!$B$85:$H$113,4,FALSE)*$R82)+IF($V82="",0,VLOOKUP($V82,'⚪设计'!$B$85:$H$113,4,FALSE)*$W82))*IF(G82="",0,VLOOKUP(G82,'⚪设计'!$B$85:$H$113,4,FALSE)),0))</f>
        <v>563</v>
      </c>
      <c r="K82" s="97">
        <f>IF(G82="","",ROUND(战斗节奏!$B$14/(IF($G82="",0,VLOOKUP($G82,'⚪设计'!$B$85:$H$113,5,FALSE)*$H82)+IF($L82="",0,VLOOKUP($L82,'⚪设计'!$B$85:$H$113,5,FALSE)*$M82)+IF($Q82="",0,VLOOKUP($Q82,'⚪设计'!$B$85:$H$113,5,FALSE)*$R82)+IF($V82="",0,VLOOKUP($V82,'⚪设计'!$B$85:$H$113,5,FALSE)*$W82))*IF(G82="",0,VLOOKUP(G82,'⚪设计'!$B$85:$H$113,5,FALSE)),0))</f>
        <v>6</v>
      </c>
      <c r="L82" s="97" t="str">
        <f>IF(VLOOKUP($A82,'⚪设计'!$A$337:$N$360,8,FALSE)="","",VLOOKUP($A82,'⚪设计'!$A$337:$N$360,8,FALSE))</f>
        <v>鬼2</v>
      </c>
      <c r="M82" s="97">
        <f t="shared" si="12"/>
        <v>25</v>
      </c>
      <c r="N82" s="97">
        <f>IF(VLOOKUP($A82,'⚪设计'!$A$337:$N$360,12,FALSE)="","",VLOOKUP($A82,'⚪设计'!$A$337:$N$360,12,FALSE))</f>
        <v>1</v>
      </c>
      <c r="O82" s="97">
        <f>IF(L82="","",ROUND($D82*VLOOKUP($A82,'⚪设计'!$A$337:$N$360,4,FALSE)/(IF($G82="",0,VLOOKUP($G82,'⚪设计'!$B$85:$H$113,4,FALSE)*$H82)+IF($L82="",0,VLOOKUP($L82,'⚪设计'!$B$85:$H$113,4,FALSE)*$M82)+IF($Q82="",0,VLOOKUP($Q82,'⚪设计'!$B$85:$H$113,4,FALSE)*$R82)+IF($V82="",0,VLOOKUP($V82,'⚪设计'!$B$85:$H$113,4,FALSE)*$W82))*IF(L82="",0,VLOOKUP(L82,'⚪设计'!$B$85:$H$113,4,FALSE)),0))</f>
        <v>282</v>
      </c>
      <c r="P82" s="97">
        <f>IF(L82="","",ROUND(战斗节奏!$B$14/(IF($G82="",0,VLOOKUP($G82,'⚪设计'!$B$85:$H$113,5,FALSE)*$H82)+IF($L82="",0,VLOOKUP($L82,'⚪设计'!$B$85:$H$113,5,FALSE)*$M82)+IF($Q82="",0,VLOOKUP($Q82,'⚪设计'!$B$85:$H$113,5,FALSE)*$R82)+IF($V82="",0,VLOOKUP($V82,'⚪设计'!$B$85:$H$113,5,FALSE)*$W82))*IF(L82="",0,VLOOKUP(L82,'⚪设计'!$B$85:$H$113,5,FALSE)),0))</f>
        <v>3</v>
      </c>
      <c r="Q82" s="97" t="str">
        <f>IF(VLOOKUP($A82,'⚪设计'!$A$337:$N$360,9,FALSE)="","",VLOOKUP($A82,'⚪设计'!$A$337:$N$360,9,FALSE))</f>
        <v>蝙蝠2</v>
      </c>
      <c r="R82" s="97">
        <f t="shared" si="13"/>
        <v>125</v>
      </c>
      <c r="S82" s="97">
        <f>IF(VLOOKUP($A82,'⚪设计'!$A$337:$N$360,13,FALSE)="","",VLOOKUP($A82,'⚪设计'!$A$337:$N$360,13,FALSE))</f>
        <v>0.2</v>
      </c>
      <c r="T82" s="97">
        <f>IF(Q82="","",ROUND($D82*VLOOKUP($A82,'⚪设计'!$A$337:$N$360,4,FALSE)/(IF($G82="",0,VLOOKUP($G82,'⚪设计'!$B$85:$H$113,4,FALSE)*$H82)+IF($L82="",0,VLOOKUP($L82,'⚪设计'!$B$85:$H$113,4,FALSE)*$M82)+IF($Q82="",0,VLOOKUP($Q82,'⚪设计'!$B$85:$H$113,4,FALSE)*$R82)+IF($V82="",0,VLOOKUP($V82,'⚪设计'!$B$85:$H$113,4,FALSE)*$W82))*IF(Q82="",0,VLOOKUP(Q82,'⚪设计'!$B$85:$H$113,4,FALSE)),0))</f>
        <v>141</v>
      </c>
      <c r="U82" s="97">
        <f>IF(Q82="","",ROUND(战斗节奏!$B$14/(IF($G82="",0,VLOOKUP($G82,'⚪设计'!$B$85:$H$113,5,FALSE)*$H82)+IF($L82="",0,VLOOKUP($L82,'⚪设计'!$B$85:$H$113,5,FALSE)*$M82)+IF($Q82="",0,VLOOKUP($Q82,'⚪设计'!$B$85:$H$113,5,FALSE)*$R82)+IF($V82="",0,VLOOKUP($V82,'⚪设计'!$B$85:$H$113,5,FALSE)*$W82))*IF(Q82="",0,VLOOKUP(Q82,'⚪设计'!$B$85:$H$113,5,FALSE)),0))</f>
        <v>2</v>
      </c>
      <c r="V82" s="97" t="str">
        <f>IF(VLOOKUP($A82,'⚪设计'!$A$337:$N$360,10,FALSE)="","",VLOOKUP($A82,'⚪设计'!$A$337:$N$360,10,FALSE))</f>
        <v>雪人2</v>
      </c>
      <c r="W82" s="97">
        <f t="shared" si="14"/>
        <v>25</v>
      </c>
      <c r="X82" s="97">
        <f>IF(VLOOKUP($A82,'⚪设计'!$A$337:$N$360,14,FALSE)="","",VLOOKUP($A82,'⚪设计'!$A$337:$N$360,14,FALSE))</f>
        <v>1</v>
      </c>
      <c r="Y82" s="97">
        <f>IF(V82="","",ROUND($D82*VLOOKUP($A82,'⚪设计'!$A$337:$N$360,4,FALSE)/(IF($G82="",0,VLOOKUP($G82,'⚪设计'!$B$85:$H$113,4,FALSE)*$H82)+IF($L82="",0,VLOOKUP($L82,'⚪设计'!$B$85:$H$113,4,FALSE)*$M82)+IF($Q82="",0,VLOOKUP($Q82,'⚪设计'!$B$85:$H$113,4,FALSE)*$R82)+IF($V82="",0,VLOOKUP($V82,'⚪设计'!$B$85:$H$113,4,FALSE)*$W82))*IF(V82="",0,VLOOKUP(V82,'⚪设计'!$B$85:$H$113,4,FALSE)),0))</f>
        <v>1690</v>
      </c>
      <c r="Z82" s="97">
        <f>IF(V82="","",ROUND(战斗节奏!$B$14/(IF($G82="",0,VLOOKUP($G82,'⚪设计'!$B$85:$H$113,5,FALSE)*$H82)+IF($L82="",0,VLOOKUP($L82,'⚪设计'!$B$85:$H$113,5,FALSE)*$M82)+IF($Q82="",0,VLOOKUP($Q82,'⚪设计'!$B$85:$H$113,5,FALSE)*$R82)+IF($V82="",0,VLOOKUP($V82,'⚪设计'!$B$85:$H$113,5,FALSE)*$W82))*IF(V82="",0,VLOOKUP(V82,'⚪设计'!$B$85:$H$113,5,FALSE)),0))</f>
        <v>6</v>
      </c>
    </row>
    <row r="83" spans="1:26" x14ac:dyDescent="0.2">
      <c r="A83" s="2" t="str">
        <f t="shared" si="10"/>
        <v>5_8</v>
      </c>
      <c r="B83" s="2">
        <v>5</v>
      </c>
      <c r="C83" s="2">
        <v>8</v>
      </c>
      <c r="D83" s="97">
        <f>VLOOKUP(C83,无限模式!$A$3:$B$22,2,FALSE)</f>
        <v>9000</v>
      </c>
      <c r="E83" s="98">
        <v>1</v>
      </c>
      <c r="F83" s="97">
        <f>VLOOKUP(A83,'⚪设计'!$A$337:$N$360,6,FALSE)</f>
        <v>27.5</v>
      </c>
      <c r="G83" s="97" t="str">
        <f>IF(VLOOKUP($A83,'⚪设计'!$A$337:$N$360,7,FALSE)="","",VLOOKUP($A83,'⚪设计'!$A$337:$N$360,7,FALSE))</f>
        <v>蛋3</v>
      </c>
      <c r="H83" s="97">
        <f t="shared" si="11"/>
        <v>1</v>
      </c>
      <c r="I83" s="97">
        <f>IF(VLOOKUP($A83,'⚪设计'!$A$337:$N$360,11,FALSE)="","",VLOOKUP($A83,'⚪设计'!$A$337:$N$360,11,FALSE))</f>
        <v>0</v>
      </c>
      <c r="J83" s="97">
        <f>IF(G83="","",ROUND($D83*VLOOKUP($A83,'⚪设计'!$A$337:$N$360,4,FALSE)/(IF($G83="",0,VLOOKUP($G83,'⚪设计'!$B$85:$H$113,4,FALSE)*$H83)+IF($L83="",0,VLOOKUP($L83,'⚪设计'!$B$85:$H$113,4,FALSE)*$M83)+IF($Q83="",0,VLOOKUP($Q83,'⚪设计'!$B$85:$H$113,4,FALSE)*$R83)+IF($V83="",0,VLOOKUP($V83,'⚪设计'!$B$85:$H$113,4,FALSE)*$W83))*IF(G83="",0,VLOOKUP(G83,'⚪设计'!$B$85:$H$113,4,FALSE)),0))</f>
        <v>25116</v>
      </c>
      <c r="K83" s="97">
        <f>IF(G83="","",ROUND(战斗节奏!$B$14/(IF($G83="",0,VLOOKUP($G83,'⚪设计'!$B$85:$H$113,5,FALSE)*$H83)+IF($L83="",0,VLOOKUP($L83,'⚪设计'!$B$85:$H$113,5,FALSE)*$M83)+IF($Q83="",0,VLOOKUP($Q83,'⚪设计'!$B$85:$H$113,5,FALSE)*$R83)+IF($V83="",0,VLOOKUP($V83,'⚪设计'!$B$85:$H$113,5,FALSE)*$W83))*IF(G83="",0,VLOOKUP(G83,'⚪设计'!$B$85:$H$113,5,FALSE)),0))</f>
        <v>192</v>
      </c>
      <c r="L83" s="97" t="str">
        <f>IF(VLOOKUP($A83,'⚪设计'!$A$337:$N$360,8,FALSE)="","",VLOOKUP($A83,'⚪设计'!$A$337:$N$360,8,FALSE))</f>
        <v>鬼2</v>
      </c>
      <c r="M83" s="97">
        <f t="shared" si="12"/>
        <v>55</v>
      </c>
      <c r="N83" s="97">
        <f>IF(VLOOKUP($A83,'⚪设计'!$A$337:$N$360,12,FALSE)="","",VLOOKUP($A83,'⚪设计'!$A$337:$N$360,12,FALSE))</f>
        <v>0.5</v>
      </c>
      <c r="O83" s="97">
        <f>IF(L83="","",ROUND($D83*VLOOKUP($A83,'⚪设计'!$A$337:$N$360,4,FALSE)/(IF($G83="",0,VLOOKUP($G83,'⚪设计'!$B$85:$H$113,4,FALSE)*$H83)+IF($L83="",0,VLOOKUP($L83,'⚪设计'!$B$85:$H$113,4,FALSE)*$M83)+IF($Q83="",0,VLOOKUP($Q83,'⚪设计'!$B$85:$H$113,4,FALSE)*$R83)+IF($V83="",0,VLOOKUP($V83,'⚪设计'!$B$85:$H$113,4,FALSE)*$W83))*IF(L83="",0,VLOOKUP(L83,'⚪设计'!$B$85:$H$113,4,FALSE)),0))</f>
        <v>1256</v>
      </c>
      <c r="P83" s="97">
        <f>IF(L83="","",ROUND(战斗节奏!$B$14/(IF($G83="",0,VLOOKUP($G83,'⚪设计'!$B$85:$H$113,5,FALSE)*$H83)+IF($L83="",0,VLOOKUP($L83,'⚪设计'!$B$85:$H$113,5,FALSE)*$M83)+IF($Q83="",0,VLOOKUP($Q83,'⚪设计'!$B$85:$H$113,5,FALSE)*$R83)+IF($V83="",0,VLOOKUP($V83,'⚪设计'!$B$85:$H$113,5,FALSE)*$W83))*IF(L83="",0,VLOOKUP(L83,'⚪设计'!$B$85:$H$113,5,FALSE)),0))</f>
        <v>5</v>
      </c>
      <c r="Q83" s="97" t="str">
        <f>IF(VLOOKUP($A83,'⚪设计'!$A$337:$N$360,9,FALSE)="","",VLOOKUP($A83,'⚪设计'!$A$337:$N$360,9,FALSE))</f>
        <v>种子2</v>
      </c>
      <c r="R83" s="97">
        <f t="shared" si="13"/>
        <v>14</v>
      </c>
      <c r="S83" s="97">
        <f>IF(VLOOKUP($A83,'⚪设计'!$A$337:$N$360,13,FALSE)="","",VLOOKUP($A83,'⚪设计'!$A$337:$N$360,13,FALSE))</f>
        <v>2</v>
      </c>
      <c r="T83" s="97">
        <f>IF(Q83="","",ROUND($D83*VLOOKUP($A83,'⚪设计'!$A$337:$N$360,4,FALSE)/(IF($G83="",0,VLOOKUP($G83,'⚪设计'!$B$85:$H$113,4,FALSE)*$H83)+IF($L83="",0,VLOOKUP($L83,'⚪设计'!$B$85:$H$113,4,FALSE)*$M83)+IF($Q83="",0,VLOOKUP($Q83,'⚪设计'!$B$85:$H$113,4,FALSE)*$R83)+IF($V83="",0,VLOOKUP($V83,'⚪设计'!$B$85:$H$113,4,FALSE)*$W83))*IF(Q83="",0,VLOOKUP(Q83,'⚪设计'!$B$85:$H$113,4,FALSE)),0))</f>
        <v>3767</v>
      </c>
      <c r="U83" s="97">
        <f>IF(Q83="","",ROUND(战斗节奏!$B$14/(IF($G83="",0,VLOOKUP($G83,'⚪设计'!$B$85:$H$113,5,FALSE)*$H83)+IF($L83="",0,VLOOKUP($L83,'⚪设计'!$B$85:$H$113,5,FALSE)*$M83)+IF($Q83="",0,VLOOKUP($Q83,'⚪设计'!$B$85:$H$113,5,FALSE)*$R83)+IF($V83="",0,VLOOKUP($V83,'⚪设计'!$B$85:$H$113,5,FALSE)*$W83))*IF(Q83="",0,VLOOKUP(Q83,'⚪设计'!$B$85:$H$113,5,FALSE)),0))</f>
        <v>10</v>
      </c>
      <c r="V83" s="97" t="str">
        <f>IF(VLOOKUP($A83,'⚪设计'!$A$337:$N$360,10,FALSE)="","",VLOOKUP($A83,'⚪设计'!$A$337:$N$360,10,FALSE))</f>
        <v>雪人3</v>
      </c>
      <c r="W83" s="97">
        <f t="shared" si="14"/>
        <v>1</v>
      </c>
      <c r="X83" s="97">
        <f>IF(VLOOKUP($A83,'⚪设计'!$A$337:$N$360,14,FALSE)="","",VLOOKUP($A83,'⚪设计'!$A$337:$N$360,14,FALSE))</f>
        <v>0</v>
      </c>
      <c r="Y83" s="97">
        <f>IF(V83="","",ROUND($D83*VLOOKUP($A83,'⚪设计'!$A$337:$N$360,4,FALSE)/(IF($G83="",0,VLOOKUP($G83,'⚪设计'!$B$85:$H$113,4,FALSE)*$H83)+IF($L83="",0,VLOOKUP($L83,'⚪设计'!$B$85:$H$113,4,FALSE)*$M83)+IF($Q83="",0,VLOOKUP($Q83,'⚪设计'!$B$85:$H$113,4,FALSE)*$R83)+IF($V83="",0,VLOOKUP($V83,'⚪设计'!$B$85:$H$113,4,FALSE)*$W83))*IF(V83="",0,VLOOKUP(V83,'⚪设计'!$B$85:$H$113,4,FALSE)),0))</f>
        <v>15070</v>
      </c>
      <c r="Z83" s="97">
        <f>IF(V83="","",ROUND(战斗节奏!$B$14/(IF($G83="",0,VLOOKUP($G83,'⚪设计'!$B$85:$H$113,5,FALSE)*$H83)+IF($L83="",0,VLOOKUP($L83,'⚪设计'!$B$85:$H$113,5,FALSE)*$M83)+IF($Q83="",0,VLOOKUP($Q83,'⚪设计'!$B$85:$H$113,5,FALSE)*$R83)+IF($V83="",0,VLOOKUP($V83,'⚪设计'!$B$85:$H$113,5,FALSE)*$W83))*IF(V83="",0,VLOOKUP(V83,'⚪设计'!$B$85:$H$113,5,FALSE)),0))</f>
        <v>10</v>
      </c>
    </row>
    <row r="85" spans="1:26" s="161" customFormat="1" x14ac:dyDescent="0.2">
      <c r="A85" s="161" t="s">
        <v>2187</v>
      </c>
    </row>
    <row r="86" spans="1:26" x14ac:dyDescent="0.2">
      <c r="A86" s="158" t="s">
        <v>665</v>
      </c>
      <c r="B86" s="158" t="s">
        <v>62</v>
      </c>
      <c r="C86" s="158" t="s">
        <v>380</v>
      </c>
      <c r="D86" s="158" t="s">
        <v>428</v>
      </c>
      <c r="E86" s="160" t="s">
        <v>430</v>
      </c>
      <c r="F86" s="160" t="s">
        <v>396</v>
      </c>
      <c r="G86" s="158" t="s">
        <v>400</v>
      </c>
      <c r="H86" s="159"/>
      <c r="I86" s="159"/>
      <c r="J86" s="159"/>
      <c r="K86" s="159"/>
      <c r="L86" s="158" t="s">
        <v>401</v>
      </c>
      <c r="M86" s="159"/>
      <c r="N86" s="159"/>
      <c r="O86" s="159"/>
      <c r="P86" s="159"/>
      <c r="Q86" s="158" t="s">
        <v>402</v>
      </c>
      <c r="R86" s="159"/>
      <c r="S86" s="159"/>
      <c r="T86" s="159"/>
      <c r="U86" s="159"/>
      <c r="V86" s="158" t="s">
        <v>403</v>
      </c>
      <c r="W86" s="159"/>
      <c r="X86" s="159"/>
      <c r="Y86" s="159"/>
      <c r="Z86" s="160"/>
    </row>
    <row r="87" spans="1:26" x14ac:dyDescent="0.2">
      <c r="A87" s="85"/>
      <c r="B87" s="85"/>
      <c r="C87" s="85"/>
      <c r="D87" s="85"/>
      <c r="E87" s="86"/>
      <c r="F87" s="86"/>
      <c r="G87" s="85" t="s">
        <v>397</v>
      </c>
      <c r="H87" s="87" t="s">
        <v>283</v>
      </c>
      <c r="I87" s="87" t="s">
        <v>404</v>
      </c>
      <c r="J87" s="87" t="s">
        <v>398</v>
      </c>
      <c r="K87" s="87" t="s">
        <v>399</v>
      </c>
      <c r="L87" s="85" t="s">
        <v>397</v>
      </c>
      <c r="M87" s="87" t="s">
        <v>283</v>
      </c>
      <c r="N87" s="87" t="s">
        <v>404</v>
      </c>
      <c r="O87" s="87" t="s">
        <v>398</v>
      </c>
      <c r="P87" s="87" t="s">
        <v>399</v>
      </c>
      <c r="Q87" s="85" t="s">
        <v>397</v>
      </c>
      <c r="R87" s="87" t="s">
        <v>283</v>
      </c>
      <c r="S87" s="87" t="s">
        <v>404</v>
      </c>
      <c r="T87" s="87" t="s">
        <v>398</v>
      </c>
      <c r="U87" s="87" t="s">
        <v>399</v>
      </c>
      <c r="V87" s="85" t="s">
        <v>397</v>
      </c>
      <c r="W87" s="87" t="s">
        <v>283</v>
      </c>
      <c r="X87" s="87" t="s">
        <v>404</v>
      </c>
      <c r="Y87" s="87" t="s">
        <v>398</v>
      </c>
      <c r="Z87" s="86" t="s">
        <v>399</v>
      </c>
    </row>
    <row r="88" spans="1:26" x14ac:dyDescent="0.2">
      <c r="A88" s="2" t="str">
        <f>B88&amp;"_"&amp;C88</f>
        <v>1_1</v>
      </c>
      <c r="B88" s="2">
        <v>1</v>
      </c>
      <c r="C88" s="2">
        <v>1</v>
      </c>
      <c r="D88" s="97">
        <f>VLOOKUP(C88,无限模式!$A$3:$B$22,2,FALSE)</f>
        <v>900</v>
      </c>
      <c r="E88" s="98">
        <v>1</v>
      </c>
      <c r="F88" s="97">
        <f>VLOOKUP(A88,'⚪设计'!$A$364:$N$387,6,FALSE)</f>
        <v>10</v>
      </c>
      <c r="G88" s="97" t="str">
        <f>IF(VLOOKUP($A88,'⚪设计'!$A$364:$N$387,7,FALSE)="","",VLOOKUP($A88,'⚪设计'!$A$364:$N$387,7,FALSE))</f>
        <v>蜜蜂1</v>
      </c>
      <c r="H88" s="97">
        <f>IF(I88=0,1,IF(I88="","",ROUND($F88/I88,0)))</f>
        <v>5</v>
      </c>
      <c r="I88" s="97">
        <f>IF(VLOOKUP($A88,'⚪设计'!$A$364:$N$387,11,FALSE)="","",VLOOKUP($A88,'⚪设计'!$A$364:$N$387,11,FALSE))</f>
        <v>2</v>
      </c>
      <c r="J88" s="97">
        <f>IF(G88="","",ROUND($D88*VLOOKUP($A88,'⚪设计'!$A$364:$N$387,4,FALSE)/(IF($G88="",0,VLOOKUP($G88,'⚪设计'!$B$85:$H$113,4,FALSE)*$H88)+IF($L88="",0,VLOOKUP($L88,'⚪设计'!$B$85:$H$113,4,FALSE)*$M88)+IF($Q88="",0,VLOOKUP($Q88,'⚪设计'!$B$85:$H$113,4,FALSE)*$R88)+IF($V88="",0,VLOOKUP($V88,'⚪设计'!$B$85:$H$113,4,FALSE)*$W88))*IF(G88="",0,VLOOKUP(G88,'⚪设计'!$B$85:$H$113,4,FALSE)),0))</f>
        <v>53</v>
      </c>
      <c r="K88" s="97">
        <f>IF(G88="","",ROUND(战斗节奏!$B$14/(IF($G88="",0,VLOOKUP($G88,'⚪设计'!$B$85:$H$113,5,FALSE)*$H88)+IF($L88="",0,VLOOKUP($L88,'⚪设计'!$B$85:$H$113,5,FALSE)*$M88)+IF($Q88="",0,VLOOKUP($Q88,'⚪设计'!$B$85:$H$113,5,FALSE)*$R88)+IF($V88="",0,VLOOKUP($V88,'⚪设计'!$B$85:$H$113,5,FALSE)*$W88))*IF(G88="",0,VLOOKUP(G88,'⚪设计'!$B$85:$H$113,5,FALSE)),0))</f>
        <v>35</v>
      </c>
      <c r="L88" s="97" t="str">
        <f>IF(VLOOKUP($A88,'⚪设计'!$A$364:$N$387,8,FALSE)="","",VLOOKUP($A88,'⚪设计'!$A$364:$N$387,8,FALSE))</f>
        <v>乌龟1</v>
      </c>
      <c r="M88" s="97">
        <f>IF(N88=0,1,IF(N88="","",ROUND($F88/N88,0)))</f>
        <v>3</v>
      </c>
      <c r="N88" s="97">
        <f>IF(VLOOKUP($A88,'⚪设计'!$A$364:$N$387,12,FALSE)="","",VLOOKUP($A88,'⚪设计'!$A$364:$N$387,12,FALSE))</f>
        <v>3</v>
      </c>
      <c r="O88" s="97">
        <f>IF(L88="","",ROUND($D88*VLOOKUP($A88,'⚪设计'!$A$364:$N$387,4,FALSE)/(IF($G88="",0,VLOOKUP($G88,'⚪设计'!$B$85:$H$113,4,FALSE)*$H88)+IF($L88="",0,VLOOKUP($L88,'⚪设计'!$B$85:$H$113,4,FALSE)*$M88)+IF($Q88="",0,VLOOKUP($Q88,'⚪设计'!$B$85:$H$113,4,FALSE)*$R88)+IF($V88="",0,VLOOKUP($V88,'⚪设计'!$B$85:$H$113,4,FALSE)*$W88))*IF(L88="",0,VLOOKUP(L88,'⚪设计'!$B$85:$H$113,4,FALSE)),0))</f>
        <v>212</v>
      </c>
      <c r="P88" s="97">
        <f>IF(L88="","",ROUND(战斗节奏!$B$14/(IF($G88="",0,VLOOKUP($G88,'⚪设计'!$B$85:$H$113,5,FALSE)*$H88)+IF($L88="",0,VLOOKUP($L88,'⚪设计'!$B$85:$H$113,5,FALSE)*$M88)+IF($Q88="",0,VLOOKUP($Q88,'⚪设计'!$B$85:$H$113,5,FALSE)*$R88)+IF($V88="",0,VLOOKUP($V88,'⚪设计'!$B$85:$H$113,5,FALSE)*$W88))*IF(L88="",0,VLOOKUP(L88,'⚪设计'!$B$85:$H$113,5,FALSE)),0))</f>
        <v>141</v>
      </c>
      <c r="Q88" s="97" t="str">
        <f>IF(VLOOKUP($A88,'⚪设计'!$A$364:$N$387,9,FALSE)="","",VLOOKUP($A88,'⚪设计'!$A$364:$N$387,9,FALSE))</f>
        <v/>
      </c>
      <c r="R88" s="97" t="str">
        <f>IF(S88=0,1,IF(S88="","",ROUND($F88/S88,0)))</f>
        <v/>
      </c>
      <c r="S88" s="97" t="str">
        <f>IF(VLOOKUP($A88,'⚪设计'!$A$364:$N$387,13,FALSE)="","",VLOOKUP($A88,'⚪设计'!$A$364:$N$387,13,FALSE))</f>
        <v/>
      </c>
      <c r="T88" s="97" t="str">
        <f>IF(Q88="","",ROUND($D88*VLOOKUP($A88,'⚪设计'!$A$364:$N$387,4,FALSE)/(IF($G88="",0,VLOOKUP($G88,'⚪设计'!$B$85:$H$113,4,FALSE)*$H88)+IF($L88="",0,VLOOKUP($L88,'⚪设计'!$B$85:$H$113,4,FALSE)*$M88)+IF($Q88="",0,VLOOKUP($Q88,'⚪设计'!$B$85:$H$113,4,FALSE)*$R88)+IF($V88="",0,VLOOKUP($V88,'⚪设计'!$B$85:$H$113,4,FALSE)*$W88))*IF(Q88="",0,VLOOKUP(Q88,'⚪设计'!$B$85:$H$113,4,FALSE)),0))</f>
        <v/>
      </c>
      <c r="U88" s="97" t="str">
        <f>IF(Q88="","",ROUND(战斗节奏!$B$14/(IF($G88="",0,VLOOKUP($G88,'⚪设计'!$B$85:$H$113,5,FALSE)*$H88)+IF($L88="",0,VLOOKUP($L88,'⚪设计'!$B$85:$H$113,5,FALSE)*$M88)+IF($Q88="",0,VLOOKUP($Q88,'⚪设计'!$B$85:$H$113,5,FALSE)*$R88)+IF($V88="",0,VLOOKUP($V88,'⚪设计'!$B$85:$H$113,5,FALSE)*$W88))*IF(Q88="",0,VLOOKUP(Q88,'⚪设计'!$B$85:$H$113,5,FALSE)),0))</f>
        <v/>
      </c>
      <c r="V88" s="97" t="str">
        <f>IF(VLOOKUP($A88,'⚪设计'!$A$364:$N$387,10,FALSE)="","",VLOOKUP($A88,'⚪设计'!$A$364:$N$387,10,FALSE))</f>
        <v/>
      </c>
      <c r="W88" s="97" t="str">
        <f>IF(X88=0,1,IF(X88="","",ROUND($F88/X88,0)))</f>
        <v/>
      </c>
      <c r="X88" s="97" t="str">
        <f>IF(VLOOKUP($A88,'⚪设计'!$A$364:$N$387,14,FALSE)="","",VLOOKUP($A88,'⚪设计'!$A$364:$N$387,14,FALSE))</f>
        <v/>
      </c>
      <c r="Y88" s="97" t="str">
        <f>IF(V88="","",ROUND($D88*VLOOKUP($A88,'⚪设计'!$A$364:$N$387,4,FALSE)/(IF($G88="",0,VLOOKUP($G88,'⚪设计'!$B$85:$H$113,4,FALSE)*$H88)+IF($L88="",0,VLOOKUP($L88,'⚪设计'!$B$85:$H$113,4,FALSE)*$M88)+IF($Q88="",0,VLOOKUP($Q88,'⚪设计'!$B$85:$H$113,4,FALSE)*$R88)+IF($V88="",0,VLOOKUP($V88,'⚪设计'!$B$85:$H$113,4,FALSE)*$W88))*IF(V88="",0,VLOOKUP(V88,'⚪设计'!$B$85:$H$113,4,FALSE)),0))</f>
        <v/>
      </c>
      <c r="Z88" s="97" t="str">
        <f>IF(V88="","",ROUND(战斗节奏!$B$14/(IF($G88="",0,VLOOKUP($G88,'⚪设计'!$B$85:$H$113,5,FALSE)*$H88)+IF($L88="",0,VLOOKUP($L88,'⚪设计'!$B$85:$H$113,5,FALSE)*$M88)+IF($Q88="",0,VLOOKUP($Q88,'⚪设计'!$B$85:$H$113,5,FALSE)*$R88)+IF($V88="",0,VLOOKUP($V88,'⚪设计'!$B$85:$H$113,5,FALSE)*$W88))*IF(V88="",0,VLOOKUP(V88,'⚪设计'!$B$85:$H$113,5,FALSE)),0))</f>
        <v/>
      </c>
    </row>
    <row r="89" spans="1:26" x14ac:dyDescent="0.2">
      <c r="A89" s="2" t="str">
        <f t="shared" ref="A89:A111" si="15">B89&amp;"_"&amp;C89</f>
        <v>1_2</v>
      </c>
      <c r="B89" s="2">
        <v>1</v>
      </c>
      <c r="C89" s="2">
        <v>2</v>
      </c>
      <c r="D89" s="97">
        <f>VLOOKUP(C89,无限模式!$A$3:$B$22,2,FALSE)</f>
        <v>1800</v>
      </c>
      <c r="E89" s="98">
        <v>1</v>
      </c>
      <c r="F89" s="97">
        <f>VLOOKUP(A89,'⚪设计'!$A$364:$N$387,6,FALSE)</f>
        <v>12.5</v>
      </c>
      <c r="G89" s="97" t="str">
        <f>IF(VLOOKUP($A89,'⚪设计'!$A$364:$N$387,7,FALSE)="","",VLOOKUP($A89,'⚪设计'!$A$364:$N$387,7,FALSE))</f>
        <v>蜜蜂1</v>
      </c>
      <c r="H89" s="97">
        <f t="shared" ref="H89:H111" si="16">IF(I89=0,1,IF(I89="","",ROUND($F89/I89,0)))</f>
        <v>25</v>
      </c>
      <c r="I89" s="97">
        <f>IF(VLOOKUP($A89,'⚪设计'!$A$364:$N$387,11,FALSE)="","",VLOOKUP($A89,'⚪设计'!$A$364:$N$387,11,FALSE))</f>
        <v>0.5</v>
      </c>
      <c r="J89" s="97">
        <f>IF(G89="","",ROUND($D89*VLOOKUP($A89,'⚪设计'!$A$364:$N$387,4,FALSE)/(IF($G89="",0,VLOOKUP($G89,'⚪设计'!$B$85:$H$113,4,FALSE)*$H89)+IF($L89="",0,VLOOKUP($L89,'⚪设计'!$B$85:$H$113,4,FALSE)*$M89)+IF($Q89="",0,VLOOKUP($Q89,'⚪设计'!$B$85:$H$113,4,FALSE)*$R89)+IF($V89="",0,VLOOKUP($V89,'⚪设计'!$B$85:$H$113,4,FALSE)*$W89))*IF(G89="",0,VLOOKUP(G89,'⚪设计'!$B$85:$H$113,4,FALSE)),0))</f>
        <v>105</v>
      </c>
      <c r="K89" s="97">
        <f>IF(G89="","",ROUND(战斗节奏!$B$14/(IF($G89="",0,VLOOKUP($G89,'⚪设计'!$B$85:$H$113,5,FALSE)*$H89)+IF($L89="",0,VLOOKUP($L89,'⚪设计'!$B$85:$H$113,5,FALSE)*$M89)+IF($Q89="",0,VLOOKUP($Q89,'⚪设计'!$B$85:$H$113,5,FALSE)*$R89)+IF($V89="",0,VLOOKUP($V89,'⚪设计'!$B$85:$H$113,5,FALSE)*$W89))*IF(G89="",0,VLOOKUP(G89,'⚪设计'!$B$85:$H$113,5,FALSE)),0))</f>
        <v>15</v>
      </c>
      <c r="L89" s="97" t="str">
        <f>IF(VLOOKUP($A89,'⚪设计'!$A$364:$N$387,8,FALSE)="","",VLOOKUP($A89,'⚪设计'!$A$364:$N$387,8,FALSE))</f>
        <v>乌龟1</v>
      </c>
      <c r="M89" s="97">
        <f t="shared" ref="M89:M111" si="17">IF(N89=0,1,IF(N89="","",ROUND($F89/N89,0)))</f>
        <v>4</v>
      </c>
      <c r="N89" s="97">
        <f>IF(VLOOKUP($A89,'⚪设计'!$A$364:$N$387,12,FALSE)="","",VLOOKUP($A89,'⚪设计'!$A$364:$N$387,12,FALSE))</f>
        <v>3</v>
      </c>
      <c r="O89" s="97">
        <f>IF(L89="","",ROUND($D89*VLOOKUP($A89,'⚪设计'!$A$364:$N$387,4,FALSE)/(IF($G89="",0,VLOOKUP($G89,'⚪设计'!$B$85:$H$113,4,FALSE)*$H89)+IF($L89="",0,VLOOKUP($L89,'⚪设计'!$B$85:$H$113,4,FALSE)*$M89)+IF($Q89="",0,VLOOKUP($Q89,'⚪设计'!$B$85:$H$113,4,FALSE)*$R89)+IF($V89="",0,VLOOKUP($V89,'⚪设计'!$B$85:$H$113,4,FALSE)*$W89))*IF(L89="",0,VLOOKUP(L89,'⚪设计'!$B$85:$H$113,4,FALSE)),0))</f>
        <v>421</v>
      </c>
      <c r="P89" s="97">
        <f>IF(L89="","",ROUND(战斗节奏!$B$14/(IF($G89="",0,VLOOKUP($G89,'⚪设计'!$B$85:$H$113,5,FALSE)*$H89)+IF($L89="",0,VLOOKUP($L89,'⚪设计'!$B$85:$H$113,5,FALSE)*$M89)+IF($Q89="",0,VLOOKUP($Q89,'⚪设计'!$B$85:$H$113,5,FALSE)*$R89)+IF($V89="",0,VLOOKUP($V89,'⚪设计'!$B$85:$H$113,5,FALSE)*$W89))*IF(L89="",0,VLOOKUP(L89,'⚪设计'!$B$85:$H$113,5,FALSE)),0))</f>
        <v>59</v>
      </c>
      <c r="Q89" s="97" t="str">
        <f>IF(VLOOKUP($A89,'⚪设计'!$A$364:$N$387,9,FALSE)="","",VLOOKUP($A89,'⚪设计'!$A$364:$N$387,9,FALSE))</f>
        <v/>
      </c>
      <c r="R89" s="97" t="str">
        <f t="shared" ref="R89:R111" si="18">IF(S89=0,1,IF(S89="","",ROUND($F89/S89,0)))</f>
        <v/>
      </c>
      <c r="S89" s="97" t="str">
        <f>IF(VLOOKUP($A89,'⚪设计'!$A$364:$N$387,13,FALSE)="","",VLOOKUP($A89,'⚪设计'!$A$364:$N$387,13,FALSE))</f>
        <v/>
      </c>
      <c r="T89" s="97" t="str">
        <f>IF(Q89="","",ROUND($D89*VLOOKUP($A89,'⚪设计'!$A$364:$N$387,4,FALSE)/(IF($G89="",0,VLOOKUP($G89,'⚪设计'!$B$85:$H$113,4,FALSE)*$H89)+IF($L89="",0,VLOOKUP($L89,'⚪设计'!$B$85:$H$113,4,FALSE)*$M89)+IF($Q89="",0,VLOOKUP($Q89,'⚪设计'!$B$85:$H$113,4,FALSE)*$R89)+IF($V89="",0,VLOOKUP($V89,'⚪设计'!$B$85:$H$113,4,FALSE)*$W89))*IF(Q89="",0,VLOOKUP(Q89,'⚪设计'!$B$85:$H$113,4,FALSE)),0))</f>
        <v/>
      </c>
      <c r="U89" s="97" t="str">
        <f>IF(Q89="","",ROUND(战斗节奏!$B$14/(IF($G89="",0,VLOOKUP($G89,'⚪设计'!$B$85:$H$113,5,FALSE)*$H89)+IF($L89="",0,VLOOKUP($L89,'⚪设计'!$B$85:$H$113,5,FALSE)*$M89)+IF($Q89="",0,VLOOKUP($Q89,'⚪设计'!$B$85:$H$113,5,FALSE)*$R89)+IF($V89="",0,VLOOKUP($V89,'⚪设计'!$B$85:$H$113,5,FALSE)*$W89))*IF(Q89="",0,VLOOKUP(Q89,'⚪设计'!$B$85:$H$113,5,FALSE)),0))</f>
        <v/>
      </c>
      <c r="V89" s="97" t="str">
        <f>IF(VLOOKUP($A89,'⚪设计'!$A$364:$N$387,10,FALSE)="","",VLOOKUP($A89,'⚪设计'!$A$364:$N$387,10,FALSE))</f>
        <v/>
      </c>
      <c r="W89" s="97" t="str">
        <f t="shared" ref="W89:W111" si="19">IF(X89=0,1,IF(X89="","",ROUND($F89/X89,0)))</f>
        <v/>
      </c>
      <c r="X89" s="97" t="str">
        <f>IF(VLOOKUP($A89,'⚪设计'!$A$364:$N$387,14,FALSE)="","",VLOOKUP($A89,'⚪设计'!$A$364:$N$387,14,FALSE))</f>
        <v/>
      </c>
      <c r="Y89" s="97" t="str">
        <f>IF(V89="","",ROUND($D89*VLOOKUP($A89,'⚪设计'!$A$364:$N$387,4,FALSE)/(IF($G89="",0,VLOOKUP($G89,'⚪设计'!$B$85:$H$113,4,FALSE)*$H89)+IF($L89="",0,VLOOKUP($L89,'⚪设计'!$B$85:$H$113,4,FALSE)*$M89)+IF($Q89="",0,VLOOKUP($Q89,'⚪设计'!$B$85:$H$113,4,FALSE)*$R89)+IF($V89="",0,VLOOKUP($V89,'⚪设计'!$B$85:$H$113,4,FALSE)*$W89))*IF(V89="",0,VLOOKUP(V89,'⚪设计'!$B$85:$H$113,4,FALSE)),0))</f>
        <v/>
      </c>
      <c r="Z89" s="97" t="str">
        <f>IF(V89="","",ROUND(战斗节奏!$B$14/(IF($G89="",0,VLOOKUP($G89,'⚪设计'!$B$85:$H$113,5,FALSE)*$H89)+IF($L89="",0,VLOOKUP($L89,'⚪设计'!$B$85:$H$113,5,FALSE)*$M89)+IF($Q89="",0,VLOOKUP($Q89,'⚪设计'!$B$85:$H$113,5,FALSE)*$R89)+IF($V89="",0,VLOOKUP($V89,'⚪设计'!$B$85:$H$113,5,FALSE)*$W89))*IF(V89="",0,VLOOKUP(V89,'⚪设计'!$B$85:$H$113,5,FALSE)),0))</f>
        <v/>
      </c>
    </row>
    <row r="90" spans="1:26" x14ac:dyDescent="0.2">
      <c r="A90" s="2" t="str">
        <f t="shared" si="15"/>
        <v>1_3</v>
      </c>
      <c r="B90" s="2">
        <v>1</v>
      </c>
      <c r="C90" s="2">
        <v>3</v>
      </c>
      <c r="D90" s="97">
        <f>VLOOKUP(C90,无限模式!$A$3:$B$22,2,FALSE)</f>
        <v>3600</v>
      </c>
      <c r="E90" s="98">
        <v>1</v>
      </c>
      <c r="F90" s="97">
        <f>VLOOKUP(A90,'⚪设计'!$A$364:$N$387,6,FALSE)</f>
        <v>15</v>
      </c>
      <c r="G90" s="97" t="str">
        <f>IF(VLOOKUP($A90,'⚪设计'!$A$364:$N$387,7,FALSE)="","",VLOOKUP($A90,'⚪设计'!$A$364:$N$387,7,FALSE))</f>
        <v>蜜蜂1</v>
      </c>
      <c r="H90" s="97">
        <f t="shared" si="16"/>
        <v>30</v>
      </c>
      <c r="I90" s="97">
        <f>IF(VLOOKUP($A90,'⚪设计'!$A$364:$N$387,11,FALSE)="","",VLOOKUP($A90,'⚪设计'!$A$364:$N$387,11,FALSE))</f>
        <v>0.5</v>
      </c>
      <c r="J90" s="97">
        <f>IF(G90="","",ROUND($D90*VLOOKUP($A90,'⚪设计'!$A$364:$N$387,4,FALSE)/(IF($G90="",0,VLOOKUP($G90,'⚪设计'!$B$85:$H$113,4,FALSE)*$H90)+IF($L90="",0,VLOOKUP($L90,'⚪设计'!$B$85:$H$113,4,FALSE)*$M90)+IF($Q90="",0,VLOOKUP($Q90,'⚪设计'!$B$85:$H$113,4,FALSE)*$R90)+IF($V90="",0,VLOOKUP($V90,'⚪设计'!$B$85:$H$113,4,FALSE)*$W90))*IF(G90="",0,VLOOKUP(G90,'⚪设计'!$B$85:$H$113,4,FALSE)),0))</f>
        <v>120</v>
      </c>
      <c r="K90" s="97">
        <f>IF(G90="","",ROUND(战斗节奏!$B$14/(IF($G90="",0,VLOOKUP($G90,'⚪设计'!$B$85:$H$113,5,FALSE)*$H90)+IF($L90="",0,VLOOKUP($L90,'⚪设计'!$B$85:$H$113,5,FALSE)*$M90)+IF($Q90="",0,VLOOKUP($Q90,'⚪设计'!$B$85:$H$113,5,FALSE)*$R90)+IF($V90="",0,VLOOKUP($V90,'⚪设计'!$B$85:$H$113,5,FALSE)*$W90))*IF(G90="",0,VLOOKUP(G90,'⚪设计'!$B$85:$H$113,5,FALSE)),0))</f>
        <v>7</v>
      </c>
      <c r="L90" s="97" t="str">
        <f>IF(VLOOKUP($A90,'⚪设计'!$A$364:$N$387,8,FALSE)="","",VLOOKUP($A90,'⚪设计'!$A$364:$N$387,8,FALSE))</f>
        <v>蜜蜂2</v>
      </c>
      <c r="M90" s="97">
        <f t="shared" si="17"/>
        <v>5</v>
      </c>
      <c r="N90" s="97">
        <f>IF(VLOOKUP($A90,'⚪设计'!$A$364:$N$387,12,FALSE)="","",VLOOKUP($A90,'⚪设计'!$A$364:$N$387,12,FALSE))</f>
        <v>3</v>
      </c>
      <c r="O90" s="97">
        <f>IF(L90="","",ROUND($D90*VLOOKUP($A90,'⚪设计'!$A$364:$N$387,4,FALSE)/(IF($G90="",0,VLOOKUP($G90,'⚪设计'!$B$85:$H$113,4,FALSE)*$H90)+IF($L90="",0,VLOOKUP($L90,'⚪设计'!$B$85:$H$113,4,FALSE)*$M90)+IF($Q90="",0,VLOOKUP($Q90,'⚪设计'!$B$85:$H$113,4,FALSE)*$R90)+IF($V90="",0,VLOOKUP($V90,'⚪设计'!$B$85:$H$113,4,FALSE)*$W90))*IF(L90="",0,VLOOKUP(L90,'⚪设计'!$B$85:$H$113,4,FALSE)),0))</f>
        <v>480</v>
      </c>
      <c r="P90" s="97">
        <f>IF(L90="","",ROUND(战斗节奏!$B$14/(IF($G90="",0,VLOOKUP($G90,'⚪设计'!$B$85:$H$113,5,FALSE)*$H90)+IF($L90="",0,VLOOKUP($L90,'⚪设计'!$B$85:$H$113,5,FALSE)*$M90)+IF($Q90="",0,VLOOKUP($Q90,'⚪设计'!$B$85:$H$113,5,FALSE)*$R90)+IF($V90="",0,VLOOKUP($V90,'⚪设计'!$B$85:$H$113,5,FALSE)*$W90))*IF(L90="",0,VLOOKUP(L90,'⚪设计'!$B$85:$H$113,5,FALSE)),0))</f>
        <v>27</v>
      </c>
      <c r="Q90" s="97" t="str">
        <f>IF(VLOOKUP($A90,'⚪设计'!$A$364:$N$387,9,FALSE)="","",VLOOKUP($A90,'⚪设计'!$A$364:$N$387,9,FALSE))</f>
        <v>乌龟1</v>
      </c>
      <c r="R90" s="97">
        <f t="shared" si="18"/>
        <v>10</v>
      </c>
      <c r="S90" s="97">
        <f>IF(VLOOKUP($A90,'⚪设计'!$A$364:$N$387,13,FALSE)="","",VLOOKUP($A90,'⚪设计'!$A$364:$N$387,13,FALSE))</f>
        <v>1.5</v>
      </c>
      <c r="T90" s="97">
        <f>IF(Q90="","",ROUND($D90*VLOOKUP($A90,'⚪设计'!$A$364:$N$387,4,FALSE)/(IF($G90="",0,VLOOKUP($G90,'⚪设计'!$B$85:$H$113,4,FALSE)*$H90)+IF($L90="",0,VLOOKUP($L90,'⚪设计'!$B$85:$H$113,4,FALSE)*$M90)+IF($Q90="",0,VLOOKUP($Q90,'⚪设计'!$B$85:$H$113,4,FALSE)*$R90)+IF($V90="",0,VLOOKUP($V90,'⚪设计'!$B$85:$H$113,4,FALSE)*$W90))*IF(Q90="",0,VLOOKUP(Q90,'⚪设计'!$B$85:$H$113,4,FALSE)),0))</f>
        <v>480</v>
      </c>
      <c r="U90" s="97">
        <f>IF(Q90="","",ROUND(战斗节奏!$B$14/(IF($G90="",0,VLOOKUP($G90,'⚪设计'!$B$85:$H$113,5,FALSE)*$H90)+IF($L90="",0,VLOOKUP($L90,'⚪设计'!$B$85:$H$113,5,FALSE)*$M90)+IF($Q90="",0,VLOOKUP($Q90,'⚪设计'!$B$85:$H$113,5,FALSE)*$R90)+IF($V90="",0,VLOOKUP($V90,'⚪设计'!$B$85:$H$113,5,FALSE)*$W90))*IF(Q90="",0,VLOOKUP(Q90,'⚪设计'!$B$85:$H$113,5,FALSE)),0))</f>
        <v>27</v>
      </c>
      <c r="V90" s="97" t="str">
        <f>IF(VLOOKUP($A90,'⚪设计'!$A$364:$N$387,10,FALSE)="","",VLOOKUP($A90,'⚪设计'!$A$364:$N$387,10,FALSE))</f>
        <v/>
      </c>
      <c r="W90" s="97" t="str">
        <f t="shared" si="19"/>
        <v/>
      </c>
      <c r="X90" s="97" t="str">
        <f>IF(VLOOKUP($A90,'⚪设计'!$A$364:$N$387,14,FALSE)="","",VLOOKUP($A90,'⚪设计'!$A$364:$N$387,14,FALSE))</f>
        <v/>
      </c>
      <c r="Y90" s="97" t="str">
        <f>IF(V90="","",ROUND($D90*VLOOKUP($A90,'⚪设计'!$A$364:$N$387,4,FALSE)/(IF($G90="",0,VLOOKUP($G90,'⚪设计'!$B$85:$H$113,4,FALSE)*$H90)+IF($L90="",0,VLOOKUP($L90,'⚪设计'!$B$85:$H$113,4,FALSE)*$M90)+IF($Q90="",0,VLOOKUP($Q90,'⚪设计'!$B$85:$H$113,4,FALSE)*$R90)+IF($V90="",0,VLOOKUP($V90,'⚪设计'!$B$85:$H$113,4,FALSE)*$W90))*IF(V90="",0,VLOOKUP(V90,'⚪设计'!$B$85:$H$113,4,FALSE)),0))</f>
        <v/>
      </c>
      <c r="Z90" s="97" t="str">
        <f>IF(V90="","",ROUND(战斗节奏!$B$14/(IF($G90="",0,VLOOKUP($G90,'⚪设计'!$B$85:$H$113,5,FALSE)*$H90)+IF($L90="",0,VLOOKUP($L90,'⚪设计'!$B$85:$H$113,5,FALSE)*$M90)+IF($Q90="",0,VLOOKUP($Q90,'⚪设计'!$B$85:$H$113,5,FALSE)*$R90)+IF($V90="",0,VLOOKUP($V90,'⚪设计'!$B$85:$H$113,5,FALSE)*$W90))*IF(V90="",0,VLOOKUP(V90,'⚪设计'!$B$85:$H$113,5,FALSE)),0))</f>
        <v/>
      </c>
    </row>
    <row r="91" spans="1:26" x14ac:dyDescent="0.2">
      <c r="A91" s="2" t="str">
        <f t="shared" si="15"/>
        <v>2_1</v>
      </c>
      <c r="B91" s="2">
        <v>2</v>
      </c>
      <c r="C91" s="2">
        <v>1</v>
      </c>
      <c r="D91" s="97">
        <f>VLOOKUP(C91,无限模式!$A$3:$B$22,2,FALSE)</f>
        <v>900</v>
      </c>
      <c r="E91" s="98">
        <v>1</v>
      </c>
      <c r="F91" s="97">
        <f>VLOOKUP(A91,'⚪设计'!$A$364:$N$387,6,FALSE)</f>
        <v>10</v>
      </c>
      <c r="G91" s="97" t="str">
        <f>IF(VLOOKUP($A91,'⚪设计'!$A$364:$N$387,7,FALSE)="","",VLOOKUP($A91,'⚪设计'!$A$364:$N$387,7,FALSE))</f>
        <v>蜘蛛1</v>
      </c>
      <c r="H91" s="97">
        <f t="shared" si="16"/>
        <v>5</v>
      </c>
      <c r="I91" s="97">
        <f>IF(VLOOKUP($A91,'⚪设计'!$A$364:$N$387,11,FALSE)="","",VLOOKUP($A91,'⚪设计'!$A$364:$N$387,11,FALSE))</f>
        <v>2</v>
      </c>
      <c r="J91" s="97">
        <f>IF(G91="","",ROUND($D91*VLOOKUP($A91,'⚪设计'!$A$364:$N$387,4,FALSE)/(IF($G91="",0,VLOOKUP($G91,'⚪设计'!$B$85:$H$113,4,FALSE)*$H91)+IF($L91="",0,VLOOKUP($L91,'⚪设计'!$B$85:$H$113,4,FALSE)*$M91)+IF($Q91="",0,VLOOKUP($Q91,'⚪设计'!$B$85:$H$113,4,FALSE)*$R91)+IF($V91="",0,VLOOKUP($V91,'⚪设计'!$B$85:$H$113,4,FALSE)*$W91))*IF(G91="",0,VLOOKUP(G91,'⚪设计'!$B$85:$H$113,4,FALSE)),0))</f>
        <v>60</v>
      </c>
      <c r="K91" s="97">
        <f>IF(G91="","",ROUND(战斗节奏!$B$14/(IF($G91="",0,VLOOKUP($G91,'⚪设计'!$B$85:$H$113,5,FALSE)*$H91)+IF($L91="",0,VLOOKUP($L91,'⚪设计'!$B$85:$H$113,5,FALSE)*$M91)+IF($Q91="",0,VLOOKUP($Q91,'⚪设计'!$B$85:$H$113,5,FALSE)*$R91)+IF($V91="",0,VLOOKUP($V91,'⚪设计'!$B$85:$H$113,5,FALSE)*$W91))*IF(G91="",0,VLOOKUP(G91,'⚪设计'!$B$85:$H$113,5,FALSE)),0))</f>
        <v>40</v>
      </c>
      <c r="L91" s="97" t="str">
        <f>IF(VLOOKUP($A91,'⚪设计'!$A$364:$N$387,8,FALSE)="","",VLOOKUP($A91,'⚪设计'!$A$364:$N$387,8,FALSE))</f>
        <v>乌龟1</v>
      </c>
      <c r="M91" s="97">
        <f t="shared" si="17"/>
        <v>5</v>
      </c>
      <c r="N91" s="97">
        <f>IF(VLOOKUP($A91,'⚪设计'!$A$364:$N$387,12,FALSE)="","",VLOOKUP($A91,'⚪设计'!$A$364:$N$387,12,FALSE))</f>
        <v>2</v>
      </c>
      <c r="O91" s="97">
        <f>IF(L91="","",ROUND($D91*VLOOKUP($A91,'⚪设计'!$A$364:$N$387,4,FALSE)/(IF($G91="",0,VLOOKUP($G91,'⚪设计'!$B$85:$H$113,4,FALSE)*$H91)+IF($L91="",0,VLOOKUP($L91,'⚪设计'!$B$85:$H$113,4,FALSE)*$M91)+IF($Q91="",0,VLOOKUP($Q91,'⚪设计'!$B$85:$H$113,4,FALSE)*$R91)+IF($V91="",0,VLOOKUP($V91,'⚪设计'!$B$85:$H$113,4,FALSE)*$W91))*IF(L91="",0,VLOOKUP(L91,'⚪设计'!$B$85:$H$113,4,FALSE)),0))</f>
        <v>120</v>
      </c>
      <c r="P91" s="97">
        <f>IF(L91="","",ROUND(战斗节奏!$B$14/(IF($G91="",0,VLOOKUP($G91,'⚪设计'!$B$85:$H$113,5,FALSE)*$H91)+IF($L91="",0,VLOOKUP($L91,'⚪设计'!$B$85:$H$113,5,FALSE)*$M91)+IF($Q91="",0,VLOOKUP($Q91,'⚪设计'!$B$85:$H$113,5,FALSE)*$R91)+IF($V91="",0,VLOOKUP($V91,'⚪设计'!$B$85:$H$113,5,FALSE)*$W91))*IF(L91="",0,VLOOKUP(L91,'⚪设计'!$B$85:$H$113,5,FALSE)),0))</f>
        <v>80</v>
      </c>
      <c r="Q91" s="97" t="str">
        <f>IF(VLOOKUP($A91,'⚪设计'!$A$364:$N$387,9,FALSE)="","",VLOOKUP($A91,'⚪设计'!$A$364:$N$387,9,FALSE))</f>
        <v/>
      </c>
      <c r="R91" s="97" t="str">
        <f t="shared" si="18"/>
        <v/>
      </c>
      <c r="S91" s="97" t="str">
        <f>IF(VLOOKUP($A91,'⚪设计'!$A$364:$N$387,13,FALSE)="","",VLOOKUP($A91,'⚪设计'!$A$364:$N$387,13,FALSE))</f>
        <v/>
      </c>
      <c r="T91" s="97" t="str">
        <f>IF(Q91="","",ROUND($D91*VLOOKUP($A91,'⚪设计'!$A$364:$N$387,4,FALSE)/(IF($G91="",0,VLOOKUP($G91,'⚪设计'!$B$85:$H$113,4,FALSE)*$H91)+IF($L91="",0,VLOOKUP($L91,'⚪设计'!$B$85:$H$113,4,FALSE)*$M91)+IF($Q91="",0,VLOOKUP($Q91,'⚪设计'!$B$85:$H$113,4,FALSE)*$R91)+IF($V91="",0,VLOOKUP($V91,'⚪设计'!$B$85:$H$113,4,FALSE)*$W91))*IF(Q91="",0,VLOOKUP(Q91,'⚪设计'!$B$85:$H$113,4,FALSE)),0))</f>
        <v/>
      </c>
      <c r="U91" s="97" t="str">
        <f>IF(Q91="","",ROUND(战斗节奏!$B$14/(IF($G91="",0,VLOOKUP($G91,'⚪设计'!$B$85:$H$113,5,FALSE)*$H91)+IF($L91="",0,VLOOKUP($L91,'⚪设计'!$B$85:$H$113,5,FALSE)*$M91)+IF($Q91="",0,VLOOKUP($Q91,'⚪设计'!$B$85:$H$113,5,FALSE)*$R91)+IF($V91="",0,VLOOKUP($V91,'⚪设计'!$B$85:$H$113,5,FALSE)*$W91))*IF(Q91="",0,VLOOKUP(Q91,'⚪设计'!$B$85:$H$113,5,FALSE)),0))</f>
        <v/>
      </c>
      <c r="V91" s="97" t="str">
        <f>IF(VLOOKUP($A91,'⚪设计'!$A$364:$N$387,10,FALSE)="","",VLOOKUP($A91,'⚪设计'!$A$364:$N$387,10,FALSE))</f>
        <v/>
      </c>
      <c r="W91" s="97" t="str">
        <f t="shared" si="19"/>
        <v/>
      </c>
      <c r="X91" s="97" t="str">
        <f>IF(VLOOKUP($A91,'⚪设计'!$A$364:$N$387,14,FALSE)="","",VLOOKUP($A91,'⚪设计'!$A$364:$N$387,14,FALSE))</f>
        <v/>
      </c>
      <c r="Y91" s="97" t="str">
        <f>IF(V91="","",ROUND($D91*VLOOKUP($A91,'⚪设计'!$A$364:$N$387,4,FALSE)/(IF($G91="",0,VLOOKUP($G91,'⚪设计'!$B$85:$H$113,4,FALSE)*$H91)+IF($L91="",0,VLOOKUP($L91,'⚪设计'!$B$85:$H$113,4,FALSE)*$M91)+IF($Q91="",0,VLOOKUP($Q91,'⚪设计'!$B$85:$H$113,4,FALSE)*$R91)+IF($V91="",0,VLOOKUP($V91,'⚪设计'!$B$85:$H$113,4,FALSE)*$W91))*IF(V91="",0,VLOOKUP(V91,'⚪设计'!$B$85:$H$113,4,FALSE)),0))</f>
        <v/>
      </c>
      <c r="Z91" s="97" t="str">
        <f>IF(V91="","",ROUND(战斗节奏!$B$14/(IF($G91="",0,VLOOKUP($G91,'⚪设计'!$B$85:$H$113,5,FALSE)*$H91)+IF($L91="",0,VLOOKUP($L91,'⚪设计'!$B$85:$H$113,5,FALSE)*$M91)+IF($Q91="",0,VLOOKUP($Q91,'⚪设计'!$B$85:$H$113,5,FALSE)*$R91)+IF($V91="",0,VLOOKUP($V91,'⚪设计'!$B$85:$H$113,5,FALSE)*$W91))*IF(V91="",0,VLOOKUP(V91,'⚪设计'!$B$85:$H$113,5,FALSE)),0))</f>
        <v/>
      </c>
    </row>
    <row r="92" spans="1:26" x14ac:dyDescent="0.2">
      <c r="A92" s="2" t="str">
        <f t="shared" si="15"/>
        <v>2_2</v>
      </c>
      <c r="B92" s="2">
        <v>2</v>
      </c>
      <c r="C92" s="2">
        <v>2</v>
      </c>
      <c r="D92" s="97">
        <f>VLOOKUP(C92,无限模式!$A$3:$B$22,2,FALSE)</f>
        <v>1800</v>
      </c>
      <c r="E92" s="98">
        <v>1</v>
      </c>
      <c r="F92" s="97">
        <f>VLOOKUP(A92,'⚪设计'!$A$364:$N$387,6,FALSE)</f>
        <v>12.5</v>
      </c>
      <c r="G92" s="97" t="str">
        <f>IF(VLOOKUP($A92,'⚪设计'!$A$364:$N$387,7,FALSE)="","",VLOOKUP($A92,'⚪设计'!$A$364:$N$387,7,FALSE))</f>
        <v>蜘蛛1</v>
      </c>
      <c r="H92" s="97">
        <f t="shared" si="16"/>
        <v>6</v>
      </c>
      <c r="I92" s="97">
        <f>IF(VLOOKUP($A92,'⚪设计'!$A$364:$N$387,11,FALSE)="","",VLOOKUP($A92,'⚪设计'!$A$364:$N$387,11,FALSE))</f>
        <v>2</v>
      </c>
      <c r="J92" s="97">
        <f>IF(G92="","",ROUND($D92*VLOOKUP($A92,'⚪设计'!$A$364:$N$387,4,FALSE)/(IF($G92="",0,VLOOKUP($G92,'⚪设计'!$B$85:$H$113,4,FALSE)*$H92)+IF($L92="",0,VLOOKUP($L92,'⚪设计'!$B$85:$H$113,4,FALSE)*$M92)+IF($Q92="",0,VLOOKUP($Q92,'⚪设计'!$B$85:$H$113,4,FALSE)*$R92)+IF($V92="",0,VLOOKUP($V92,'⚪设计'!$B$85:$H$113,4,FALSE)*$W92))*IF(G92="",0,VLOOKUP(G92,'⚪设计'!$B$85:$H$113,4,FALSE)),0))</f>
        <v>216</v>
      </c>
      <c r="K92" s="97">
        <f>IF(G92="","",ROUND(战斗节奏!$B$14/(IF($G92="",0,VLOOKUP($G92,'⚪设计'!$B$85:$H$113,5,FALSE)*$H92)+IF($L92="",0,VLOOKUP($L92,'⚪设计'!$B$85:$H$113,5,FALSE)*$M92)+IF($Q92="",0,VLOOKUP($Q92,'⚪设计'!$B$85:$H$113,5,FALSE)*$R92)+IF($V92="",0,VLOOKUP($V92,'⚪设计'!$B$85:$H$113,5,FALSE)*$W92))*IF(G92="",0,VLOOKUP(G92,'⚪设计'!$B$85:$H$113,5,FALSE)),0))</f>
        <v>20</v>
      </c>
      <c r="L92" s="97" t="str">
        <f>IF(VLOOKUP($A92,'⚪设计'!$A$364:$N$387,8,FALSE)="","",VLOOKUP($A92,'⚪设计'!$A$364:$N$387,8,FALSE))</f>
        <v>蜜蜂2</v>
      </c>
      <c r="M92" s="97">
        <f t="shared" si="17"/>
        <v>6</v>
      </c>
      <c r="N92" s="97">
        <f>IF(VLOOKUP($A92,'⚪设计'!$A$364:$N$387,12,FALSE)="","",VLOOKUP($A92,'⚪设计'!$A$364:$N$387,12,FALSE))</f>
        <v>2</v>
      </c>
      <c r="O92" s="97">
        <f>IF(L92="","",ROUND($D92*VLOOKUP($A92,'⚪设计'!$A$364:$N$387,4,FALSE)/(IF($G92="",0,VLOOKUP($G92,'⚪设计'!$B$85:$H$113,4,FALSE)*$H92)+IF($L92="",0,VLOOKUP($L92,'⚪设计'!$B$85:$H$113,4,FALSE)*$M92)+IF($Q92="",0,VLOOKUP($Q92,'⚪设计'!$B$85:$H$113,4,FALSE)*$R92)+IF($V92="",0,VLOOKUP($V92,'⚪设计'!$B$85:$H$113,4,FALSE)*$W92))*IF(L92="",0,VLOOKUP(L92,'⚪设计'!$B$85:$H$113,4,FALSE)),0))</f>
        <v>432</v>
      </c>
      <c r="P92" s="97">
        <f>IF(L92="","",ROUND(战斗节奏!$B$14/(IF($G92="",0,VLOOKUP($G92,'⚪设计'!$B$85:$H$113,5,FALSE)*$H92)+IF($L92="",0,VLOOKUP($L92,'⚪设计'!$B$85:$H$113,5,FALSE)*$M92)+IF($Q92="",0,VLOOKUP($Q92,'⚪设计'!$B$85:$H$113,5,FALSE)*$R92)+IF($V92="",0,VLOOKUP($V92,'⚪设计'!$B$85:$H$113,5,FALSE)*$W92))*IF(L92="",0,VLOOKUP(L92,'⚪设计'!$B$85:$H$113,5,FALSE)),0))</f>
        <v>40</v>
      </c>
      <c r="Q92" s="97" t="str">
        <f>IF(VLOOKUP($A92,'⚪设计'!$A$364:$N$387,9,FALSE)="","",VLOOKUP($A92,'⚪设计'!$A$364:$N$387,9,FALSE))</f>
        <v>乌龟1</v>
      </c>
      <c r="R92" s="97">
        <f t="shared" si="18"/>
        <v>6</v>
      </c>
      <c r="S92" s="97">
        <f>IF(VLOOKUP($A92,'⚪设计'!$A$364:$N$387,13,FALSE)="","",VLOOKUP($A92,'⚪设计'!$A$364:$N$387,13,FALSE))</f>
        <v>2</v>
      </c>
      <c r="T92" s="97">
        <f>IF(Q92="","",ROUND($D92*VLOOKUP($A92,'⚪设计'!$A$364:$N$387,4,FALSE)/(IF($G92="",0,VLOOKUP($G92,'⚪设计'!$B$85:$H$113,4,FALSE)*$H92)+IF($L92="",0,VLOOKUP($L92,'⚪设计'!$B$85:$H$113,4,FALSE)*$M92)+IF($Q92="",0,VLOOKUP($Q92,'⚪设计'!$B$85:$H$113,4,FALSE)*$R92)+IF($V92="",0,VLOOKUP($V92,'⚪设计'!$B$85:$H$113,4,FALSE)*$W92))*IF(Q92="",0,VLOOKUP(Q92,'⚪设计'!$B$85:$H$113,4,FALSE)),0))</f>
        <v>432</v>
      </c>
      <c r="U92" s="97">
        <f>IF(Q92="","",ROUND(战斗节奏!$B$14/(IF($G92="",0,VLOOKUP($G92,'⚪设计'!$B$85:$H$113,5,FALSE)*$H92)+IF($L92="",0,VLOOKUP($L92,'⚪设计'!$B$85:$H$113,5,FALSE)*$M92)+IF($Q92="",0,VLOOKUP($Q92,'⚪设计'!$B$85:$H$113,5,FALSE)*$R92)+IF($V92="",0,VLOOKUP($V92,'⚪设计'!$B$85:$H$113,5,FALSE)*$W92))*IF(Q92="",0,VLOOKUP(Q92,'⚪设计'!$B$85:$H$113,5,FALSE)),0))</f>
        <v>40</v>
      </c>
      <c r="V92" s="97" t="str">
        <f>IF(VLOOKUP($A92,'⚪设计'!$A$364:$N$387,10,FALSE)="","",VLOOKUP($A92,'⚪设计'!$A$364:$N$387,10,FALSE))</f>
        <v/>
      </c>
      <c r="W92" s="97" t="str">
        <f t="shared" si="19"/>
        <v/>
      </c>
      <c r="X92" s="97" t="str">
        <f>IF(VLOOKUP($A92,'⚪设计'!$A$364:$N$387,14,FALSE)="","",VLOOKUP($A92,'⚪设计'!$A$364:$N$387,14,FALSE))</f>
        <v/>
      </c>
      <c r="Y92" s="97" t="str">
        <f>IF(V92="","",ROUND($D92*VLOOKUP($A92,'⚪设计'!$A$364:$N$387,4,FALSE)/(IF($G92="",0,VLOOKUP($G92,'⚪设计'!$B$85:$H$113,4,FALSE)*$H92)+IF($L92="",0,VLOOKUP($L92,'⚪设计'!$B$85:$H$113,4,FALSE)*$M92)+IF($Q92="",0,VLOOKUP($Q92,'⚪设计'!$B$85:$H$113,4,FALSE)*$R92)+IF($V92="",0,VLOOKUP($V92,'⚪设计'!$B$85:$H$113,4,FALSE)*$W92))*IF(V92="",0,VLOOKUP(V92,'⚪设计'!$B$85:$H$113,4,FALSE)),0))</f>
        <v/>
      </c>
      <c r="Z92" s="97" t="str">
        <f>IF(V92="","",ROUND(战斗节奏!$B$14/(IF($G92="",0,VLOOKUP($G92,'⚪设计'!$B$85:$H$113,5,FALSE)*$H92)+IF($L92="",0,VLOOKUP($L92,'⚪设计'!$B$85:$H$113,5,FALSE)*$M92)+IF($Q92="",0,VLOOKUP($Q92,'⚪设计'!$B$85:$H$113,5,FALSE)*$R92)+IF($V92="",0,VLOOKUP($V92,'⚪设计'!$B$85:$H$113,5,FALSE)*$W92))*IF(V92="",0,VLOOKUP(V92,'⚪设计'!$B$85:$H$113,5,FALSE)),0))</f>
        <v/>
      </c>
    </row>
    <row r="93" spans="1:26" x14ac:dyDescent="0.2">
      <c r="A93" s="2" t="str">
        <f t="shared" si="15"/>
        <v>2_3</v>
      </c>
      <c r="B93" s="2">
        <v>2</v>
      </c>
      <c r="C93" s="2">
        <v>3</v>
      </c>
      <c r="D93" s="97">
        <f>VLOOKUP(C93,无限模式!$A$3:$B$22,2,FALSE)</f>
        <v>3600</v>
      </c>
      <c r="E93" s="98">
        <v>1</v>
      </c>
      <c r="F93" s="97">
        <f>VLOOKUP(A93,'⚪设计'!$A$364:$N$387,6,FALSE)</f>
        <v>15</v>
      </c>
      <c r="G93" s="97" t="str">
        <f>IF(VLOOKUP($A93,'⚪设计'!$A$364:$N$387,7,FALSE)="","",VLOOKUP($A93,'⚪设计'!$A$364:$N$387,7,FALSE))</f>
        <v>蜘蛛1</v>
      </c>
      <c r="H93" s="97">
        <f t="shared" si="16"/>
        <v>15</v>
      </c>
      <c r="I93" s="97">
        <f>IF(VLOOKUP($A93,'⚪设计'!$A$364:$N$387,11,FALSE)="","",VLOOKUP($A93,'⚪设计'!$A$364:$N$387,11,FALSE))</f>
        <v>1</v>
      </c>
      <c r="J93" s="97">
        <f>IF(G93="","",ROUND($D93*VLOOKUP($A93,'⚪设计'!$A$364:$N$387,4,FALSE)/(IF($G93="",0,VLOOKUP($G93,'⚪设计'!$B$85:$H$113,4,FALSE)*$H93)+IF($L93="",0,VLOOKUP($L93,'⚪设计'!$B$85:$H$113,4,FALSE)*$M93)+IF($Q93="",0,VLOOKUP($Q93,'⚪设计'!$B$85:$H$113,4,FALSE)*$R93)+IF($V93="",0,VLOOKUP($V93,'⚪设计'!$B$85:$H$113,4,FALSE)*$W93))*IF(G93="",0,VLOOKUP(G93,'⚪设计'!$B$85:$H$113,4,FALSE)),0))</f>
        <v>247</v>
      </c>
      <c r="K93" s="97">
        <f>IF(G93="","",ROUND(战斗节奏!$B$14/(IF($G93="",0,VLOOKUP($G93,'⚪设计'!$B$85:$H$113,5,FALSE)*$H93)+IF($L93="",0,VLOOKUP($L93,'⚪设计'!$B$85:$H$113,5,FALSE)*$M93)+IF($Q93="",0,VLOOKUP($Q93,'⚪设计'!$B$85:$H$113,5,FALSE)*$R93)+IF($V93="",0,VLOOKUP($V93,'⚪设计'!$B$85:$H$113,5,FALSE)*$W93))*IF(G93="",0,VLOOKUP(G93,'⚪设计'!$B$85:$H$113,5,FALSE)),0))</f>
        <v>11</v>
      </c>
      <c r="L93" s="97" t="str">
        <f>IF(VLOOKUP($A93,'⚪设计'!$A$364:$N$387,8,FALSE)="","",VLOOKUP($A93,'⚪设计'!$A$364:$N$387,8,FALSE))</f>
        <v>蝙蝠1</v>
      </c>
      <c r="M93" s="97">
        <f t="shared" si="17"/>
        <v>15</v>
      </c>
      <c r="N93" s="97">
        <f>IF(VLOOKUP($A93,'⚪设计'!$A$364:$N$387,12,FALSE)="","",VLOOKUP($A93,'⚪设计'!$A$364:$N$387,12,FALSE))</f>
        <v>1</v>
      </c>
      <c r="O93" s="97">
        <f>IF(L93="","",ROUND($D93*VLOOKUP($A93,'⚪设计'!$A$364:$N$387,4,FALSE)/(IF($G93="",0,VLOOKUP($G93,'⚪设计'!$B$85:$H$113,4,FALSE)*$H93)+IF($L93="",0,VLOOKUP($L93,'⚪设计'!$B$85:$H$113,4,FALSE)*$M93)+IF($Q93="",0,VLOOKUP($Q93,'⚪设计'!$B$85:$H$113,4,FALSE)*$R93)+IF($V93="",0,VLOOKUP($V93,'⚪设计'!$B$85:$H$113,4,FALSE)*$W93))*IF(L93="",0,VLOOKUP(L93,'⚪设计'!$B$85:$H$113,4,FALSE)),0))</f>
        <v>123</v>
      </c>
      <c r="P93" s="97">
        <f>IF(L93="","",ROUND(战斗节奏!$B$14/(IF($G93="",0,VLOOKUP($G93,'⚪设计'!$B$85:$H$113,5,FALSE)*$H93)+IF($L93="",0,VLOOKUP($L93,'⚪设计'!$B$85:$H$113,5,FALSE)*$M93)+IF($Q93="",0,VLOOKUP($Q93,'⚪设计'!$B$85:$H$113,5,FALSE)*$R93)+IF($V93="",0,VLOOKUP($V93,'⚪设计'!$B$85:$H$113,5,FALSE)*$W93))*IF(L93="",0,VLOOKUP(L93,'⚪设计'!$B$85:$H$113,5,FALSE)),0))</f>
        <v>6</v>
      </c>
      <c r="Q93" s="97" t="str">
        <f>IF(VLOOKUP($A93,'⚪设计'!$A$364:$N$387,9,FALSE)="","",VLOOKUP($A93,'⚪设计'!$A$364:$N$387,9,FALSE))</f>
        <v>乌龟1</v>
      </c>
      <c r="R93" s="97">
        <f t="shared" si="18"/>
        <v>15</v>
      </c>
      <c r="S93" s="97">
        <f>IF(VLOOKUP($A93,'⚪设计'!$A$364:$N$387,13,FALSE)="","",VLOOKUP($A93,'⚪设计'!$A$364:$N$387,13,FALSE))</f>
        <v>1</v>
      </c>
      <c r="T93" s="97">
        <f>IF(Q93="","",ROUND($D93*VLOOKUP($A93,'⚪设计'!$A$364:$N$387,4,FALSE)/(IF($G93="",0,VLOOKUP($G93,'⚪设计'!$B$85:$H$113,4,FALSE)*$H93)+IF($L93="",0,VLOOKUP($L93,'⚪设计'!$B$85:$H$113,4,FALSE)*$M93)+IF($Q93="",0,VLOOKUP($Q93,'⚪设计'!$B$85:$H$113,4,FALSE)*$R93)+IF($V93="",0,VLOOKUP($V93,'⚪设计'!$B$85:$H$113,4,FALSE)*$W93))*IF(Q93="",0,VLOOKUP(Q93,'⚪设计'!$B$85:$H$113,4,FALSE)),0))</f>
        <v>494</v>
      </c>
      <c r="U93" s="97">
        <f>IF(Q93="","",ROUND(战斗节奏!$B$14/(IF($G93="",0,VLOOKUP($G93,'⚪设计'!$B$85:$H$113,5,FALSE)*$H93)+IF($L93="",0,VLOOKUP($L93,'⚪设计'!$B$85:$H$113,5,FALSE)*$M93)+IF($Q93="",0,VLOOKUP($Q93,'⚪设计'!$B$85:$H$113,5,FALSE)*$R93)+IF($V93="",0,VLOOKUP($V93,'⚪设计'!$B$85:$H$113,5,FALSE)*$W93))*IF(Q93="",0,VLOOKUP(Q93,'⚪设计'!$B$85:$H$113,5,FALSE)),0))</f>
        <v>23</v>
      </c>
      <c r="V93" s="97" t="str">
        <f>IF(VLOOKUP($A93,'⚪设计'!$A$364:$N$387,10,FALSE)="","",VLOOKUP($A93,'⚪设计'!$A$364:$N$387,10,FALSE))</f>
        <v/>
      </c>
      <c r="W93" s="97" t="str">
        <f t="shared" si="19"/>
        <v/>
      </c>
      <c r="X93" s="97" t="str">
        <f>IF(VLOOKUP($A93,'⚪设计'!$A$364:$N$387,14,FALSE)="","",VLOOKUP($A93,'⚪设计'!$A$364:$N$387,14,FALSE))</f>
        <v/>
      </c>
      <c r="Y93" s="97" t="str">
        <f>IF(V93="","",ROUND($D93*VLOOKUP($A93,'⚪设计'!$A$364:$N$387,4,FALSE)/(IF($G93="",0,VLOOKUP($G93,'⚪设计'!$B$85:$H$113,4,FALSE)*$H93)+IF($L93="",0,VLOOKUP($L93,'⚪设计'!$B$85:$H$113,4,FALSE)*$M93)+IF($Q93="",0,VLOOKUP($Q93,'⚪设计'!$B$85:$H$113,4,FALSE)*$R93)+IF($V93="",0,VLOOKUP($V93,'⚪设计'!$B$85:$H$113,4,FALSE)*$W93))*IF(V93="",0,VLOOKUP(V93,'⚪设计'!$B$85:$H$113,4,FALSE)),0))</f>
        <v/>
      </c>
      <c r="Z93" s="97" t="str">
        <f>IF(V93="","",ROUND(战斗节奏!$B$14/(IF($G93="",0,VLOOKUP($G93,'⚪设计'!$B$85:$H$113,5,FALSE)*$H93)+IF($L93="",0,VLOOKUP($L93,'⚪设计'!$B$85:$H$113,5,FALSE)*$M93)+IF($Q93="",0,VLOOKUP($Q93,'⚪设计'!$B$85:$H$113,5,FALSE)*$R93)+IF($V93="",0,VLOOKUP($V93,'⚪设计'!$B$85:$H$113,5,FALSE)*$W93))*IF(V93="",0,VLOOKUP(V93,'⚪设计'!$B$85:$H$113,5,FALSE)),0))</f>
        <v/>
      </c>
    </row>
    <row r="94" spans="1:26" x14ac:dyDescent="0.2">
      <c r="A94" s="2" t="str">
        <f t="shared" si="15"/>
        <v>2_4</v>
      </c>
      <c r="B94" s="2">
        <v>2</v>
      </c>
      <c r="C94" s="2">
        <v>4</v>
      </c>
      <c r="D94" s="97">
        <f>VLOOKUP(C94,无限模式!$A$3:$B$22,2,FALSE)</f>
        <v>4500</v>
      </c>
      <c r="E94" s="98">
        <v>1</v>
      </c>
      <c r="F94" s="97">
        <f>VLOOKUP(A94,'⚪设计'!$A$364:$N$387,6,FALSE)</f>
        <v>17.5</v>
      </c>
      <c r="G94" s="97" t="str">
        <f>IF(VLOOKUP($A94,'⚪设计'!$A$364:$N$387,7,FALSE)="","",VLOOKUP($A94,'⚪设计'!$A$364:$N$387,7,FALSE))</f>
        <v>蜘蛛1</v>
      </c>
      <c r="H94" s="97">
        <f t="shared" si="16"/>
        <v>18</v>
      </c>
      <c r="I94" s="97">
        <f>IF(VLOOKUP($A94,'⚪设计'!$A$364:$N$387,11,FALSE)="","",VLOOKUP($A94,'⚪设计'!$A$364:$N$387,11,FALSE))</f>
        <v>1</v>
      </c>
      <c r="J94" s="97">
        <f>IF(G94="","",ROUND($D94*VLOOKUP($A94,'⚪设计'!$A$364:$N$387,4,FALSE)/(IF($G94="",0,VLOOKUP($G94,'⚪设计'!$B$85:$H$113,4,FALSE)*$H94)+IF($L94="",0,VLOOKUP($L94,'⚪设计'!$B$85:$H$113,4,FALSE)*$M94)+IF($Q94="",0,VLOOKUP($Q94,'⚪设计'!$B$85:$H$113,4,FALSE)*$R94)+IF($V94="",0,VLOOKUP($V94,'⚪设计'!$B$85:$H$113,4,FALSE)*$W94))*IF(G94="",0,VLOOKUP(G94,'⚪设计'!$B$85:$H$113,4,FALSE)),0))</f>
        <v>155</v>
      </c>
      <c r="K94" s="97">
        <f>IF(G94="","",ROUND(战斗节奏!$B$14/(IF($G94="",0,VLOOKUP($G94,'⚪设计'!$B$85:$H$113,5,FALSE)*$H94)+IF($L94="",0,VLOOKUP($L94,'⚪设计'!$B$85:$H$113,5,FALSE)*$M94)+IF($Q94="",0,VLOOKUP($Q94,'⚪设计'!$B$85:$H$113,5,FALSE)*$R94)+IF($V94="",0,VLOOKUP($V94,'⚪设计'!$B$85:$H$113,5,FALSE)*$W94))*IF(G94="",0,VLOOKUP(G94,'⚪设计'!$B$85:$H$113,5,FALSE)),0))</f>
        <v>4</v>
      </c>
      <c r="L94" s="97" t="str">
        <f>IF(VLOOKUP($A94,'⚪设计'!$A$364:$N$387,8,FALSE)="","",VLOOKUP($A94,'⚪设计'!$A$364:$N$387,8,FALSE))</f>
        <v>蝙蝠1</v>
      </c>
      <c r="M94" s="97">
        <f t="shared" si="17"/>
        <v>44</v>
      </c>
      <c r="N94" s="97">
        <f>IF(VLOOKUP($A94,'⚪设计'!$A$364:$N$387,12,FALSE)="","",VLOOKUP($A94,'⚪设计'!$A$364:$N$387,12,FALSE))</f>
        <v>0.4</v>
      </c>
      <c r="O94" s="97">
        <f>IF(L94="","",ROUND($D94*VLOOKUP($A94,'⚪设计'!$A$364:$N$387,4,FALSE)/(IF($G94="",0,VLOOKUP($G94,'⚪设计'!$B$85:$H$113,4,FALSE)*$H94)+IF($L94="",0,VLOOKUP($L94,'⚪设计'!$B$85:$H$113,4,FALSE)*$M94)+IF($Q94="",0,VLOOKUP($Q94,'⚪设计'!$B$85:$H$113,4,FALSE)*$R94)+IF($V94="",0,VLOOKUP($V94,'⚪设计'!$B$85:$H$113,4,FALSE)*$W94))*IF(L94="",0,VLOOKUP(L94,'⚪设计'!$B$85:$H$113,4,FALSE)),0))</f>
        <v>77</v>
      </c>
      <c r="P94" s="97">
        <f>IF(L94="","",ROUND(战斗节奏!$B$14/(IF($G94="",0,VLOOKUP($G94,'⚪设计'!$B$85:$H$113,5,FALSE)*$H94)+IF($L94="",0,VLOOKUP($L94,'⚪设计'!$B$85:$H$113,5,FALSE)*$M94)+IF($Q94="",0,VLOOKUP($Q94,'⚪设计'!$B$85:$H$113,5,FALSE)*$R94)+IF($V94="",0,VLOOKUP($V94,'⚪设计'!$B$85:$H$113,5,FALSE)*$W94))*IF(L94="",0,VLOOKUP(L94,'⚪设计'!$B$85:$H$113,5,FALSE)),0))</f>
        <v>2</v>
      </c>
      <c r="Q94" s="97" t="str">
        <f>IF(VLOOKUP($A94,'⚪设计'!$A$364:$N$387,9,FALSE)="","",VLOOKUP($A94,'⚪设计'!$A$364:$N$387,9,FALSE))</f>
        <v>蜜蜂2</v>
      </c>
      <c r="R94" s="97">
        <f t="shared" si="18"/>
        <v>35</v>
      </c>
      <c r="S94" s="97">
        <f>IF(VLOOKUP($A94,'⚪设计'!$A$364:$N$387,13,FALSE)="","",VLOOKUP($A94,'⚪设计'!$A$364:$N$387,13,FALSE))</f>
        <v>0.5</v>
      </c>
      <c r="T94" s="97">
        <f>IF(Q94="","",ROUND($D94*VLOOKUP($A94,'⚪设计'!$A$364:$N$387,4,FALSE)/(IF($G94="",0,VLOOKUP($G94,'⚪设计'!$B$85:$H$113,4,FALSE)*$H94)+IF($L94="",0,VLOOKUP($L94,'⚪设计'!$B$85:$H$113,4,FALSE)*$M94)+IF($Q94="",0,VLOOKUP($Q94,'⚪设计'!$B$85:$H$113,4,FALSE)*$R94)+IF($V94="",0,VLOOKUP($V94,'⚪设计'!$B$85:$H$113,4,FALSE)*$W94))*IF(Q94="",0,VLOOKUP(Q94,'⚪设计'!$B$85:$H$113,4,FALSE)),0))</f>
        <v>310</v>
      </c>
      <c r="U94" s="97">
        <f>IF(Q94="","",ROUND(战斗节奏!$B$14/(IF($G94="",0,VLOOKUP($G94,'⚪设计'!$B$85:$H$113,5,FALSE)*$H94)+IF($L94="",0,VLOOKUP($L94,'⚪设计'!$B$85:$H$113,5,FALSE)*$M94)+IF($Q94="",0,VLOOKUP($Q94,'⚪设计'!$B$85:$H$113,5,FALSE)*$R94)+IF($V94="",0,VLOOKUP($V94,'⚪设计'!$B$85:$H$113,5,FALSE)*$W94))*IF(Q94="",0,VLOOKUP(Q94,'⚪设计'!$B$85:$H$113,5,FALSE)),0))</f>
        <v>8</v>
      </c>
      <c r="V94" s="97" t="str">
        <f>IF(VLOOKUP($A94,'⚪设计'!$A$364:$N$387,10,FALSE)="","",VLOOKUP($A94,'⚪设计'!$A$364:$N$387,10,FALSE))</f>
        <v>乌龟1</v>
      </c>
      <c r="W94" s="97">
        <f t="shared" si="19"/>
        <v>18</v>
      </c>
      <c r="X94" s="97">
        <f>IF(VLOOKUP($A94,'⚪设计'!$A$364:$N$387,14,FALSE)="","",VLOOKUP($A94,'⚪设计'!$A$364:$N$387,14,FALSE))</f>
        <v>1</v>
      </c>
      <c r="Y94" s="97">
        <f>IF(V94="","",ROUND($D94*VLOOKUP($A94,'⚪设计'!$A$364:$N$387,4,FALSE)/(IF($G94="",0,VLOOKUP($G94,'⚪设计'!$B$85:$H$113,4,FALSE)*$H94)+IF($L94="",0,VLOOKUP($L94,'⚪设计'!$B$85:$H$113,4,FALSE)*$M94)+IF($Q94="",0,VLOOKUP($Q94,'⚪设计'!$B$85:$H$113,4,FALSE)*$R94)+IF($V94="",0,VLOOKUP($V94,'⚪设计'!$B$85:$H$113,4,FALSE)*$W94))*IF(V94="",0,VLOOKUP(V94,'⚪设计'!$B$85:$H$113,4,FALSE)),0))</f>
        <v>310</v>
      </c>
      <c r="Z94" s="97">
        <f>IF(V94="","",ROUND(战斗节奏!$B$14/(IF($G94="",0,VLOOKUP($G94,'⚪设计'!$B$85:$H$113,5,FALSE)*$H94)+IF($L94="",0,VLOOKUP($L94,'⚪设计'!$B$85:$H$113,5,FALSE)*$M94)+IF($Q94="",0,VLOOKUP($Q94,'⚪设计'!$B$85:$H$113,5,FALSE)*$R94)+IF($V94="",0,VLOOKUP($V94,'⚪设计'!$B$85:$H$113,5,FALSE)*$W94))*IF(V94="",0,VLOOKUP(V94,'⚪设计'!$B$85:$H$113,5,FALSE)),0))</f>
        <v>8</v>
      </c>
    </row>
    <row r="95" spans="1:26" x14ac:dyDescent="0.2">
      <c r="A95" s="2" t="str">
        <f t="shared" si="15"/>
        <v>2_5</v>
      </c>
      <c r="B95" s="2">
        <v>2</v>
      </c>
      <c r="C95" s="2">
        <v>5</v>
      </c>
      <c r="D95" s="97">
        <f>VLOOKUP(C95,无限模式!$A$3:$B$22,2,FALSE)</f>
        <v>5400</v>
      </c>
      <c r="E95" s="98">
        <v>1</v>
      </c>
      <c r="F95" s="97">
        <f>VLOOKUP(A95,'⚪设计'!$A$364:$N$387,6,FALSE)</f>
        <v>20</v>
      </c>
      <c r="G95" s="97" t="str">
        <f>IF(VLOOKUP($A95,'⚪设计'!$A$364:$N$387,7,FALSE)="","",VLOOKUP($A95,'⚪设计'!$A$364:$N$387,7,FALSE))</f>
        <v>蜘蛛1</v>
      </c>
      <c r="H95" s="97">
        <f t="shared" si="16"/>
        <v>67</v>
      </c>
      <c r="I95" s="97">
        <f>IF(VLOOKUP($A95,'⚪设计'!$A$364:$N$387,11,FALSE)="","",VLOOKUP($A95,'⚪设计'!$A$364:$N$387,11,FALSE))</f>
        <v>0.3</v>
      </c>
      <c r="J95" s="97">
        <f>IF(G95="","",ROUND($D95*VLOOKUP($A95,'⚪设计'!$A$364:$N$387,4,FALSE)/(IF($G95="",0,VLOOKUP($G95,'⚪设计'!$B$85:$H$113,4,FALSE)*$H95)+IF($L95="",0,VLOOKUP($L95,'⚪设计'!$B$85:$H$113,4,FALSE)*$M95)+IF($Q95="",0,VLOOKUP($Q95,'⚪设计'!$B$85:$H$113,4,FALSE)*$R95)+IF($V95="",0,VLOOKUP($V95,'⚪设计'!$B$85:$H$113,4,FALSE)*$W95))*IF(G95="",0,VLOOKUP(G95,'⚪设计'!$B$85:$H$113,4,FALSE)),0))</f>
        <v>222</v>
      </c>
      <c r="K95" s="97">
        <f>IF(G95="","",ROUND(战斗节奏!$B$14/(IF($G95="",0,VLOOKUP($G95,'⚪设计'!$B$85:$H$113,5,FALSE)*$H95)+IF($L95="",0,VLOOKUP($L95,'⚪设计'!$B$85:$H$113,5,FALSE)*$M95)+IF($Q95="",0,VLOOKUP($Q95,'⚪设计'!$B$85:$H$113,5,FALSE)*$R95)+IF($V95="",0,VLOOKUP($V95,'⚪设计'!$B$85:$H$113,5,FALSE)*$W95))*IF(G95="",0,VLOOKUP(G95,'⚪设计'!$B$85:$H$113,5,FALSE)),0))</f>
        <v>3</v>
      </c>
      <c r="L95" s="97" t="str">
        <f>IF(VLOOKUP($A95,'⚪设计'!$A$364:$N$387,8,FALSE)="","",VLOOKUP($A95,'⚪设计'!$A$364:$N$387,8,FALSE))</f>
        <v>蝙蝠1</v>
      </c>
      <c r="M95" s="97">
        <f t="shared" si="17"/>
        <v>100</v>
      </c>
      <c r="N95" s="97">
        <f>IF(VLOOKUP($A95,'⚪设计'!$A$364:$N$387,12,FALSE)="","",VLOOKUP($A95,'⚪设计'!$A$364:$N$387,12,FALSE))</f>
        <v>0.2</v>
      </c>
      <c r="O95" s="97">
        <f>IF(L95="","",ROUND($D95*VLOOKUP($A95,'⚪设计'!$A$364:$N$387,4,FALSE)/(IF($G95="",0,VLOOKUP($G95,'⚪设计'!$B$85:$H$113,4,FALSE)*$H95)+IF($L95="",0,VLOOKUP($L95,'⚪设计'!$B$85:$H$113,4,FALSE)*$M95)+IF($Q95="",0,VLOOKUP($Q95,'⚪设计'!$B$85:$H$113,4,FALSE)*$R95)+IF($V95="",0,VLOOKUP($V95,'⚪设计'!$B$85:$H$113,4,FALSE)*$W95))*IF(L95="",0,VLOOKUP(L95,'⚪设计'!$B$85:$H$113,4,FALSE)),0))</f>
        <v>111</v>
      </c>
      <c r="P95" s="97">
        <f>IF(L95="","",ROUND(战斗节奏!$B$14/(IF($G95="",0,VLOOKUP($G95,'⚪设计'!$B$85:$H$113,5,FALSE)*$H95)+IF($L95="",0,VLOOKUP($L95,'⚪设计'!$B$85:$H$113,5,FALSE)*$M95)+IF($Q95="",0,VLOOKUP($Q95,'⚪设计'!$B$85:$H$113,5,FALSE)*$R95)+IF($V95="",0,VLOOKUP($V95,'⚪设计'!$B$85:$H$113,5,FALSE)*$W95))*IF(L95="",0,VLOOKUP(L95,'⚪设计'!$B$85:$H$113,5,FALSE)),0))</f>
        <v>1</v>
      </c>
      <c r="Q95" s="97" t="str">
        <f>IF(VLOOKUP($A95,'⚪设计'!$A$364:$N$387,9,FALSE)="","",VLOOKUP($A95,'⚪设计'!$A$364:$N$387,9,FALSE))</f>
        <v>蜜蜂2</v>
      </c>
      <c r="R95" s="97">
        <f t="shared" si="18"/>
        <v>40</v>
      </c>
      <c r="S95" s="97">
        <f>IF(VLOOKUP($A95,'⚪设计'!$A$364:$N$387,13,FALSE)="","",VLOOKUP($A95,'⚪设计'!$A$364:$N$387,13,FALSE))</f>
        <v>0.5</v>
      </c>
      <c r="T95" s="97">
        <f>IF(Q95="","",ROUND($D95*VLOOKUP($A95,'⚪设计'!$A$364:$N$387,4,FALSE)/(IF($G95="",0,VLOOKUP($G95,'⚪设计'!$B$85:$H$113,4,FALSE)*$H95)+IF($L95="",0,VLOOKUP($L95,'⚪设计'!$B$85:$H$113,4,FALSE)*$M95)+IF($Q95="",0,VLOOKUP($Q95,'⚪设计'!$B$85:$H$113,4,FALSE)*$R95)+IF($V95="",0,VLOOKUP($V95,'⚪设计'!$B$85:$H$113,4,FALSE)*$W95))*IF(Q95="",0,VLOOKUP(Q95,'⚪设计'!$B$85:$H$113,4,FALSE)),0))</f>
        <v>444</v>
      </c>
      <c r="U95" s="97">
        <f>IF(Q95="","",ROUND(战斗节奏!$B$14/(IF($G95="",0,VLOOKUP($G95,'⚪设计'!$B$85:$H$113,5,FALSE)*$H95)+IF($L95="",0,VLOOKUP($L95,'⚪设计'!$B$85:$H$113,5,FALSE)*$M95)+IF($Q95="",0,VLOOKUP($Q95,'⚪设计'!$B$85:$H$113,5,FALSE)*$R95)+IF($V95="",0,VLOOKUP($V95,'⚪设计'!$B$85:$H$113,5,FALSE)*$W95))*IF(Q95="",0,VLOOKUP(Q95,'⚪设计'!$B$85:$H$113,5,FALSE)),0))</f>
        <v>5</v>
      </c>
      <c r="V95" s="97" t="str">
        <f>IF(VLOOKUP($A95,'⚪设计'!$A$364:$N$387,10,FALSE)="","",VLOOKUP($A95,'⚪设计'!$A$364:$N$387,10,FALSE))</f>
        <v>乌龟1</v>
      </c>
      <c r="W95" s="97">
        <f t="shared" si="19"/>
        <v>20</v>
      </c>
      <c r="X95" s="97">
        <f>IF(VLOOKUP($A95,'⚪设计'!$A$364:$N$387,14,FALSE)="","",VLOOKUP($A95,'⚪设计'!$A$364:$N$387,14,FALSE))</f>
        <v>1</v>
      </c>
      <c r="Y95" s="97">
        <f>IF(V95="","",ROUND($D95*VLOOKUP($A95,'⚪设计'!$A$364:$N$387,4,FALSE)/(IF($G95="",0,VLOOKUP($G95,'⚪设计'!$B$85:$H$113,4,FALSE)*$H95)+IF($L95="",0,VLOOKUP($L95,'⚪设计'!$B$85:$H$113,4,FALSE)*$M95)+IF($Q95="",0,VLOOKUP($Q95,'⚪设计'!$B$85:$H$113,4,FALSE)*$R95)+IF($V95="",0,VLOOKUP($V95,'⚪设计'!$B$85:$H$113,4,FALSE)*$W95))*IF(V95="",0,VLOOKUP(V95,'⚪设计'!$B$85:$H$113,4,FALSE)),0))</f>
        <v>444</v>
      </c>
      <c r="Z95" s="97">
        <f>IF(V95="","",ROUND(战斗节奏!$B$14/(IF($G95="",0,VLOOKUP($G95,'⚪设计'!$B$85:$H$113,5,FALSE)*$H95)+IF($L95="",0,VLOOKUP($L95,'⚪设计'!$B$85:$H$113,5,FALSE)*$M95)+IF($Q95="",0,VLOOKUP($Q95,'⚪设计'!$B$85:$H$113,5,FALSE)*$R95)+IF($V95="",0,VLOOKUP($V95,'⚪设计'!$B$85:$H$113,5,FALSE)*$W95))*IF(V95="",0,VLOOKUP(V95,'⚪设计'!$B$85:$H$113,5,FALSE)),0))</f>
        <v>5</v>
      </c>
    </row>
    <row r="96" spans="1:26" x14ac:dyDescent="0.2">
      <c r="A96" s="2" t="str">
        <f t="shared" si="15"/>
        <v>3_1</v>
      </c>
      <c r="B96" s="2">
        <v>3</v>
      </c>
      <c r="C96" s="2">
        <v>1</v>
      </c>
      <c r="D96" s="97">
        <f>VLOOKUP(C96,无限模式!$A$3:$B$22,2,FALSE)</f>
        <v>900</v>
      </c>
      <c r="E96" s="98">
        <v>1</v>
      </c>
      <c r="F96" s="97">
        <f>VLOOKUP(A96,'⚪设计'!$A$364:$N$387,6,FALSE)</f>
        <v>10</v>
      </c>
      <c r="G96" s="97" t="str">
        <f>IF(VLOOKUP($A96,'⚪设计'!$A$364:$N$387,7,FALSE)="","",VLOOKUP($A96,'⚪设计'!$A$364:$N$387,7,FALSE))</f>
        <v>种子1</v>
      </c>
      <c r="H96" s="97">
        <f t="shared" si="16"/>
        <v>5</v>
      </c>
      <c r="I96" s="97">
        <f>IF(VLOOKUP($A96,'⚪设计'!$A$364:$N$387,11,FALSE)="","",VLOOKUP($A96,'⚪设计'!$A$364:$N$387,11,FALSE))</f>
        <v>2</v>
      </c>
      <c r="J96" s="97">
        <f>IF(G96="","",ROUND($D96*VLOOKUP($A96,'⚪设计'!$A$364:$N$387,4,FALSE)/(IF($G96="",0,VLOOKUP($G96,'⚪设计'!$B$85:$H$113,4,FALSE)*$H96)+IF($L96="",0,VLOOKUP($L96,'⚪设计'!$B$85:$H$113,4,FALSE)*$M96)+IF($Q96="",0,VLOOKUP($Q96,'⚪设计'!$B$85:$H$113,4,FALSE)*$R96)+IF($V96="",0,VLOOKUP($V96,'⚪设计'!$B$85:$H$113,4,FALSE)*$W96))*IF(G96="",0,VLOOKUP(G96,'⚪设计'!$B$85:$H$113,4,FALSE)),0))</f>
        <v>94</v>
      </c>
      <c r="K96" s="97">
        <f>IF(G96="","",ROUND(战斗节奏!$B$14/(IF($G96="",0,VLOOKUP($G96,'⚪设计'!$B$85:$H$113,5,FALSE)*$H96)+IF($L96="",0,VLOOKUP($L96,'⚪设计'!$B$85:$H$113,5,FALSE)*$M96)+IF($Q96="",0,VLOOKUP($Q96,'⚪设计'!$B$85:$H$113,5,FALSE)*$R96)+IF($V96="",0,VLOOKUP($V96,'⚪设计'!$B$85:$H$113,5,FALSE)*$W96))*IF(G96="",0,VLOOKUP(G96,'⚪设计'!$B$85:$H$113,5,FALSE)),0))</f>
        <v>60</v>
      </c>
      <c r="L96" s="97" t="str">
        <f>IF(VLOOKUP($A96,'⚪设计'!$A$364:$N$387,8,FALSE)="","",VLOOKUP($A96,'⚪设计'!$A$364:$N$387,8,FALSE))</f>
        <v>乌龟2</v>
      </c>
      <c r="M96" s="97">
        <f t="shared" si="17"/>
        <v>5</v>
      </c>
      <c r="N96" s="97">
        <f>IF(VLOOKUP($A96,'⚪设计'!$A$364:$N$387,12,FALSE)="","",VLOOKUP($A96,'⚪设计'!$A$364:$N$387,12,FALSE))</f>
        <v>2</v>
      </c>
      <c r="O96" s="97">
        <f>IF(L96="","",ROUND($D96*VLOOKUP($A96,'⚪设计'!$A$364:$N$387,4,FALSE)/(IF($G96="",0,VLOOKUP($G96,'⚪设计'!$B$85:$H$113,4,FALSE)*$H96)+IF($L96="",0,VLOOKUP($L96,'⚪设计'!$B$85:$H$113,4,FALSE)*$M96)+IF($Q96="",0,VLOOKUP($Q96,'⚪设计'!$B$85:$H$113,4,FALSE)*$R96)+IF($V96="",0,VLOOKUP($V96,'⚪设计'!$B$85:$H$113,4,FALSE)*$W96))*IF(L96="",0,VLOOKUP(L96,'⚪设计'!$B$85:$H$113,4,FALSE)),0))</f>
        <v>125</v>
      </c>
      <c r="P96" s="97">
        <f>IF(L96="","",ROUND(战斗节奏!$B$14/(IF($G96="",0,VLOOKUP($G96,'⚪设计'!$B$85:$H$113,5,FALSE)*$H96)+IF($L96="",0,VLOOKUP($L96,'⚪设计'!$B$85:$H$113,5,FALSE)*$M96)+IF($Q96="",0,VLOOKUP($Q96,'⚪设计'!$B$85:$H$113,5,FALSE)*$R96)+IF($V96="",0,VLOOKUP($V96,'⚪设计'!$B$85:$H$113,5,FALSE)*$W96))*IF(L96="",0,VLOOKUP(L96,'⚪设计'!$B$85:$H$113,5,FALSE)),0))</f>
        <v>60</v>
      </c>
      <c r="Q96" s="97" t="str">
        <f>IF(VLOOKUP($A96,'⚪设计'!$A$364:$N$387,9,FALSE)="","",VLOOKUP($A96,'⚪设计'!$A$364:$N$387,9,FALSE))</f>
        <v/>
      </c>
      <c r="R96" s="97" t="str">
        <f t="shared" si="18"/>
        <v/>
      </c>
      <c r="S96" s="97" t="str">
        <f>IF(VLOOKUP($A96,'⚪设计'!$A$364:$N$387,13,FALSE)="","",VLOOKUP($A96,'⚪设计'!$A$364:$N$387,13,FALSE))</f>
        <v/>
      </c>
      <c r="T96" s="97" t="str">
        <f>IF(Q96="","",ROUND($D96*VLOOKUP($A96,'⚪设计'!$A$364:$N$387,4,FALSE)/(IF($G96="",0,VLOOKUP($G96,'⚪设计'!$B$85:$H$113,4,FALSE)*$H96)+IF($L96="",0,VLOOKUP($L96,'⚪设计'!$B$85:$H$113,4,FALSE)*$M96)+IF($Q96="",0,VLOOKUP($Q96,'⚪设计'!$B$85:$H$113,4,FALSE)*$R96)+IF($V96="",0,VLOOKUP($V96,'⚪设计'!$B$85:$H$113,4,FALSE)*$W96))*IF(Q96="",0,VLOOKUP(Q96,'⚪设计'!$B$85:$H$113,4,FALSE)),0))</f>
        <v/>
      </c>
      <c r="U96" s="97" t="str">
        <f>IF(Q96="","",ROUND(战斗节奏!$B$14/(IF($G96="",0,VLOOKUP($G96,'⚪设计'!$B$85:$H$113,5,FALSE)*$H96)+IF($L96="",0,VLOOKUP($L96,'⚪设计'!$B$85:$H$113,5,FALSE)*$M96)+IF($Q96="",0,VLOOKUP($Q96,'⚪设计'!$B$85:$H$113,5,FALSE)*$R96)+IF($V96="",0,VLOOKUP($V96,'⚪设计'!$B$85:$H$113,5,FALSE)*$W96))*IF(Q96="",0,VLOOKUP(Q96,'⚪设计'!$B$85:$H$113,5,FALSE)),0))</f>
        <v/>
      </c>
      <c r="V96" s="97" t="str">
        <f>IF(VLOOKUP($A96,'⚪设计'!$A$364:$N$387,10,FALSE)="","",VLOOKUP($A96,'⚪设计'!$A$364:$N$387,10,FALSE))</f>
        <v/>
      </c>
      <c r="W96" s="97" t="str">
        <f t="shared" si="19"/>
        <v/>
      </c>
      <c r="X96" s="97" t="str">
        <f>IF(VLOOKUP($A96,'⚪设计'!$A$364:$N$387,14,FALSE)="","",VLOOKUP($A96,'⚪设计'!$A$364:$N$387,14,FALSE))</f>
        <v/>
      </c>
      <c r="Y96" s="97" t="str">
        <f>IF(V96="","",ROUND($D96*VLOOKUP($A96,'⚪设计'!$A$364:$N$387,4,FALSE)/(IF($G96="",0,VLOOKUP($G96,'⚪设计'!$B$85:$H$113,4,FALSE)*$H96)+IF($L96="",0,VLOOKUP($L96,'⚪设计'!$B$85:$H$113,4,FALSE)*$M96)+IF($Q96="",0,VLOOKUP($Q96,'⚪设计'!$B$85:$H$113,4,FALSE)*$R96)+IF($V96="",0,VLOOKUP($V96,'⚪设计'!$B$85:$H$113,4,FALSE)*$W96))*IF(V96="",0,VLOOKUP(V96,'⚪设计'!$B$85:$H$113,4,FALSE)),0))</f>
        <v/>
      </c>
      <c r="Z96" s="97" t="str">
        <f>IF(V96="","",ROUND(战斗节奏!$B$14/(IF($G96="",0,VLOOKUP($G96,'⚪设计'!$B$85:$H$113,5,FALSE)*$H96)+IF($L96="",0,VLOOKUP($L96,'⚪设计'!$B$85:$H$113,5,FALSE)*$M96)+IF($Q96="",0,VLOOKUP($Q96,'⚪设计'!$B$85:$H$113,5,FALSE)*$R96)+IF($V96="",0,VLOOKUP($V96,'⚪设计'!$B$85:$H$113,5,FALSE)*$W96))*IF(V96="",0,VLOOKUP(V96,'⚪设计'!$B$85:$H$113,5,FALSE)),0))</f>
        <v/>
      </c>
    </row>
    <row r="97" spans="1:26" x14ac:dyDescent="0.2">
      <c r="A97" s="2" t="str">
        <f t="shared" si="15"/>
        <v>3_2</v>
      </c>
      <c r="B97" s="2">
        <v>3</v>
      </c>
      <c r="C97" s="2">
        <v>2</v>
      </c>
      <c r="D97" s="97">
        <f>VLOOKUP(C97,无限模式!$A$3:$B$22,2,FALSE)</f>
        <v>1800</v>
      </c>
      <c r="E97" s="98">
        <v>1</v>
      </c>
      <c r="F97" s="97">
        <f>VLOOKUP(A97,'⚪设计'!$A$364:$N$387,6,FALSE)</f>
        <v>12.5</v>
      </c>
      <c r="G97" s="97" t="str">
        <f>IF(VLOOKUP($A97,'⚪设计'!$A$364:$N$387,7,FALSE)="","",VLOOKUP($A97,'⚪设计'!$A$364:$N$387,7,FALSE))</f>
        <v>种子1</v>
      </c>
      <c r="H97" s="97">
        <f t="shared" si="16"/>
        <v>6</v>
      </c>
      <c r="I97" s="97">
        <f>IF(VLOOKUP($A97,'⚪设计'!$A$364:$N$387,11,FALSE)="","",VLOOKUP($A97,'⚪设计'!$A$364:$N$387,11,FALSE))</f>
        <v>2</v>
      </c>
      <c r="J97" s="97">
        <f>IF(G97="","",ROUND($D97*VLOOKUP($A97,'⚪设计'!$A$364:$N$387,4,FALSE)/(IF($G97="",0,VLOOKUP($G97,'⚪设计'!$B$85:$H$113,4,FALSE)*$H97)+IF($L97="",0,VLOOKUP($L97,'⚪设计'!$B$85:$H$113,4,FALSE)*$M97)+IF($Q97="",0,VLOOKUP($Q97,'⚪设计'!$B$85:$H$113,4,FALSE)*$R97)+IF($V97="",0,VLOOKUP($V97,'⚪设计'!$B$85:$H$113,4,FALSE)*$W97))*IF(G97="",0,VLOOKUP(G97,'⚪设计'!$B$85:$H$113,4,FALSE)),0))</f>
        <v>240</v>
      </c>
      <c r="K97" s="97">
        <f>IF(G97="","",ROUND(战斗节奏!$B$14/(IF($G97="",0,VLOOKUP($G97,'⚪设计'!$B$85:$H$113,5,FALSE)*$H97)+IF($L97="",0,VLOOKUP($L97,'⚪设计'!$B$85:$H$113,5,FALSE)*$M97)+IF($Q97="",0,VLOOKUP($Q97,'⚪设计'!$B$85:$H$113,5,FALSE)*$R97)+IF($V97="",0,VLOOKUP($V97,'⚪设计'!$B$85:$H$113,5,FALSE)*$W97))*IF(G97="",0,VLOOKUP(G97,'⚪设计'!$B$85:$H$113,5,FALSE)),0))</f>
        <v>33</v>
      </c>
      <c r="L97" s="97" t="str">
        <f>IF(VLOOKUP($A97,'⚪设计'!$A$364:$N$387,8,FALSE)="","",VLOOKUP($A97,'⚪设计'!$A$364:$N$387,8,FALSE))</f>
        <v>蜜蜂2</v>
      </c>
      <c r="M97" s="97">
        <f t="shared" si="17"/>
        <v>6</v>
      </c>
      <c r="N97" s="97">
        <f>IF(VLOOKUP($A97,'⚪设计'!$A$364:$N$387,12,FALSE)="","",VLOOKUP($A97,'⚪设计'!$A$364:$N$387,12,FALSE))</f>
        <v>2</v>
      </c>
      <c r="O97" s="97">
        <f>IF(L97="","",ROUND($D97*VLOOKUP($A97,'⚪设计'!$A$364:$N$387,4,FALSE)/(IF($G97="",0,VLOOKUP($G97,'⚪设计'!$B$85:$H$113,4,FALSE)*$H97)+IF($L97="",0,VLOOKUP($L97,'⚪设计'!$B$85:$H$113,4,FALSE)*$M97)+IF($Q97="",0,VLOOKUP($Q97,'⚪设计'!$B$85:$H$113,4,FALSE)*$R97)+IF($V97="",0,VLOOKUP($V97,'⚪设计'!$B$85:$H$113,4,FALSE)*$W97))*IF(L97="",0,VLOOKUP(L97,'⚪设计'!$B$85:$H$113,4,FALSE)),0))</f>
        <v>160</v>
      </c>
      <c r="P97" s="97">
        <f>IF(L97="","",ROUND(战斗节奏!$B$14/(IF($G97="",0,VLOOKUP($G97,'⚪设计'!$B$85:$H$113,5,FALSE)*$H97)+IF($L97="",0,VLOOKUP($L97,'⚪设计'!$B$85:$H$113,5,FALSE)*$M97)+IF($Q97="",0,VLOOKUP($Q97,'⚪设计'!$B$85:$H$113,5,FALSE)*$R97)+IF($V97="",0,VLOOKUP($V97,'⚪设计'!$B$85:$H$113,5,FALSE)*$W97))*IF(L97="",0,VLOOKUP(L97,'⚪设计'!$B$85:$H$113,5,FALSE)),0))</f>
        <v>33</v>
      </c>
      <c r="Q97" s="97" t="str">
        <f>IF(VLOOKUP($A97,'⚪设计'!$A$364:$N$387,9,FALSE)="","",VLOOKUP($A97,'⚪设计'!$A$364:$N$387,9,FALSE))</f>
        <v>乌龟2</v>
      </c>
      <c r="R97" s="97">
        <f t="shared" si="18"/>
        <v>6</v>
      </c>
      <c r="S97" s="97">
        <f>IF(VLOOKUP($A97,'⚪设计'!$A$364:$N$387,13,FALSE)="","",VLOOKUP($A97,'⚪设计'!$A$364:$N$387,13,FALSE))</f>
        <v>2</v>
      </c>
      <c r="T97" s="97">
        <f>IF(Q97="","",ROUND($D97*VLOOKUP($A97,'⚪设计'!$A$364:$N$387,4,FALSE)/(IF($G97="",0,VLOOKUP($G97,'⚪设计'!$B$85:$H$113,4,FALSE)*$H97)+IF($L97="",0,VLOOKUP($L97,'⚪设计'!$B$85:$H$113,4,FALSE)*$M97)+IF($Q97="",0,VLOOKUP($Q97,'⚪设计'!$B$85:$H$113,4,FALSE)*$R97)+IF($V97="",0,VLOOKUP($V97,'⚪设计'!$B$85:$H$113,4,FALSE)*$W97))*IF(Q97="",0,VLOOKUP(Q97,'⚪设计'!$B$85:$H$113,4,FALSE)),0))</f>
        <v>320</v>
      </c>
      <c r="U97" s="97">
        <f>IF(Q97="","",ROUND(战斗节奏!$B$14/(IF($G97="",0,VLOOKUP($G97,'⚪设计'!$B$85:$H$113,5,FALSE)*$H97)+IF($L97="",0,VLOOKUP($L97,'⚪设计'!$B$85:$H$113,5,FALSE)*$M97)+IF($Q97="",0,VLOOKUP($Q97,'⚪设计'!$B$85:$H$113,5,FALSE)*$R97)+IF($V97="",0,VLOOKUP($V97,'⚪设计'!$B$85:$H$113,5,FALSE)*$W97))*IF(Q97="",0,VLOOKUP(Q97,'⚪设计'!$B$85:$H$113,5,FALSE)),0))</f>
        <v>33</v>
      </c>
      <c r="V97" s="97" t="str">
        <f>IF(VLOOKUP($A97,'⚪设计'!$A$364:$N$387,10,FALSE)="","",VLOOKUP($A97,'⚪设计'!$A$364:$N$387,10,FALSE))</f>
        <v/>
      </c>
      <c r="W97" s="97" t="str">
        <f t="shared" si="19"/>
        <v/>
      </c>
      <c r="X97" s="97" t="str">
        <f>IF(VLOOKUP($A97,'⚪设计'!$A$364:$N$387,14,FALSE)="","",VLOOKUP($A97,'⚪设计'!$A$364:$N$387,14,FALSE))</f>
        <v/>
      </c>
      <c r="Y97" s="97" t="str">
        <f>IF(V97="","",ROUND($D97*VLOOKUP($A97,'⚪设计'!$A$364:$N$387,4,FALSE)/(IF($G97="",0,VLOOKUP($G97,'⚪设计'!$B$85:$H$113,4,FALSE)*$H97)+IF($L97="",0,VLOOKUP($L97,'⚪设计'!$B$85:$H$113,4,FALSE)*$M97)+IF($Q97="",0,VLOOKUP($Q97,'⚪设计'!$B$85:$H$113,4,FALSE)*$R97)+IF($V97="",0,VLOOKUP($V97,'⚪设计'!$B$85:$H$113,4,FALSE)*$W97))*IF(V97="",0,VLOOKUP(V97,'⚪设计'!$B$85:$H$113,4,FALSE)),0))</f>
        <v/>
      </c>
      <c r="Z97" s="97" t="str">
        <f>IF(V97="","",ROUND(战斗节奏!$B$14/(IF($G97="",0,VLOOKUP($G97,'⚪设计'!$B$85:$H$113,5,FALSE)*$H97)+IF($L97="",0,VLOOKUP($L97,'⚪设计'!$B$85:$H$113,5,FALSE)*$M97)+IF($Q97="",0,VLOOKUP($Q97,'⚪设计'!$B$85:$H$113,5,FALSE)*$R97)+IF($V97="",0,VLOOKUP($V97,'⚪设计'!$B$85:$H$113,5,FALSE)*$W97))*IF(V97="",0,VLOOKUP(V97,'⚪设计'!$B$85:$H$113,5,FALSE)),0))</f>
        <v/>
      </c>
    </row>
    <row r="98" spans="1:26" x14ac:dyDescent="0.2">
      <c r="A98" s="2" t="str">
        <f t="shared" si="15"/>
        <v>3_3</v>
      </c>
      <c r="B98" s="2">
        <v>3</v>
      </c>
      <c r="C98" s="2">
        <v>3</v>
      </c>
      <c r="D98" s="97">
        <f>VLOOKUP(C98,无限模式!$A$3:$B$22,2,FALSE)</f>
        <v>3600</v>
      </c>
      <c r="E98" s="98">
        <v>1</v>
      </c>
      <c r="F98" s="97">
        <f>VLOOKUP(A98,'⚪设计'!$A$364:$N$387,6,FALSE)</f>
        <v>15</v>
      </c>
      <c r="G98" s="97" t="str">
        <f>IF(VLOOKUP($A98,'⚪设计'!$A$364:$N$387,7,FALSE)="","",VLOOKUP($A98,'⚪设计'!$A$364:$N$387,7,FALSE))</f>
        <v>种子1</v>
      </c>
      <c r="H98" s="97">
        <f t="shared" si="16"/>
        <v>8</v>
      </c>
      <c r="I98" s="97">
        <f>IF(VLOOKUP($A98,'⚪设计'!$A$364:$N$387,11,FALSE)="","",VLOOKUP($A98,'⚪设计'!$A$364:$N$387,11,FALSE))</f>
        <v>2</v>
      </c>
      <c r="J98" s="97">
        <f>IF(G98="","",ROUND($D98*VLOOKUP($A98,'⚪设计'!$A$364:$N$387,4,FALSE)/(IF($G98="",0,VLOOKUP($G98,'⚪设计'!$B$85:$H$113,4,FALSE)*$H98)+IF($L98="",0,VLOOKUP($L98,'⚪设计'!$B$85:$H$113,4,FALSE)*$M98)+IF($Q98="",0,VLOOKUP($Q98,'⚪设计'!$B$85:$H$113,4,FALSE)*$R98)+IF($V98="",0,VLOOKUP($V98,'⚪设计'!$B$85:$H$113,4,FALSE)*$W98))*IF(G98="",0,VLOOKUP(G98,'⚪设计'!$B$85:$H$113,4,FALSE)),0))</f>
        <v>1020</v>
      </c>
      <c r="K98" s="97">
        <f>IF(G98="","",ROUND(战斗节奏!$B$14/(IF($G98="",0,VLOOKUP($G98,'⚪设计'!$B$85:$H$113,5,FALSE)*$H98)+IF($L98="",0,VLOOKUP($L98,'⚪设计'!$B$85:$H$113,5,FALSE)*$M98)+IF($Q98="",0,VLOOKUP($Q98,'⚪设计'!$B$85:$H$113,5,FALSE)*$R98)+IF($V98="",0,VLOOKUP($V98,'⚪设计'!$B$85:$H$113,5,FALSE)*$W98))*IF(G98="",0,VLOOKUP(G98,'⚪设计'!$B$85:$H$113,5,FALSE)),0))</f>
        <v>30</v>
      </c>
      <c r="L98" s="97" t="str">
        <f>IF(VLOOKUP($A98,'⚪设计'!$A$364:$N$387,8,FALSE)="","",VLOOKUP($A98,'⚪设计'!$A$364:$N$387,8,FALSE))</f>
        <v>蝙蝠1</v>
      </c>
      <c r="M98" s="97">
        <f t="shared" si="17"/>
        <v>15</v>
      </c>
      <c r="N98" s="97">
        <f>IF(VLOOKUP($A98,'⚪设计'!$A$364:$N$387,12,FALSE)="","",VLOOKUP($A98,'⚪设计'!$A$364:$N$387,12,FALSE))</f>
        <v>1</v>
      </c>
      <c r="O98" s="97">
        <f>IF(L98="","",ROUND($D98*VLOOKUP($A98,'⚪设计'!$A$364:$N$387,4,FALSE)/(IF($G98="",0,VLOOKUP($G98,'⚪设计'!$B$85:$H$113,4,FALSE)*$H98)+IF($L98="",0,VLOOKUP($L98,'⚪设计'!$B$85:$H$113,4,FALSE)*$M98)+IF($Q98="",0,VLOOKUP($Q98,'⚪设计'!$B$85:$H$113,4,FALSE)*$R98)+IF($V98="",0,VLOOKUP($V98,'⚪设计'!$B$85:$H$113,4,FALSE)*$W98))*IF(L98="",0,VLOOKUP(L98,'⚪设计'!$B$85:$H$113,4,FALSE)),0))</f>
        <v>170</v>
      </c>
      <c r="P98" s="97">
        <f>IF(L98="","",ROUND(战斗节奏!$B$14/(IF($G98="",0,VLOOKUP($G98,'⚪设计'!$B$85:$H$113,5,FALSE)*$H98)+IF($L98="",0,VLOOKUP($L98,'⚪设计'!$B$85:$H$113,5,FALSE)*$M98)+IF($Q98="",0,VLOOKUP($Q98,'⚪设计'!$B$85:$H$113,5,FALSE)*$R98)+IF($V98="",0,VLOOKUP($V98,'⚪设计'!$B$85:$H$113,5,FALSE)*$W98))*IF(L98="",0,VLOOKUP(L98,'⚪设计'!$B$85:$H$113,5,FALSE)),0))</f>
        <v>8</v>
      </c>
      <c r="Q98" s="97" t="str">
        <f>IF(VLOOKUP($A98,'⚪设计'!$A$364:$N$387,9,FALSE)="","",VLOOKUP($A98,'⚪设计'!$A$364:$N$387,9,FALSE))</f>
        <v>乌龟2</v>
      </c>
      <c r="R98" s="97">
        <f t="shared" si="18"/>
        <v>8</v>
      </c>
      <c r="S98" s="97">
        <f>IF(VLOOKUP($A98,'⚪设计'!$A$364:$N$387,13,FALSE)="","",VLOOKUP($A98,'⚪设计'!$A$364:$N$387,13,FALSE))</f>
        <v>2</v>
      </c>
      <c r="T98" s="97">
        <f>IF(Q98="","",ROUND($D98*VLOOKUP($A98,'⚪设计'!$A$364:$N$387,4,FALSE)/(IF($G98="",0,VLOOKUP($G98,'⚪设计'!$B$85:$H$113,4,FALSE)*$H98)+IF($L98="",0,VLOOKUP($L98,'⚪设计'!$B$85:$H$113,4,FALSE)*$M98)+IF($Q98="",0,VLOOKUP($Q98,'⚪设计'!$B$85:$H$113,4,FALSE)*$R98)+IF($V98="",0,VLOOKUP($V98,'⚪设计'!$B$85:$H$113,4,FALSE)*$W98))*IF(Q98="",0,VLOOKUP(Q98,'⚪设计'!$B$85:$H$113,4,FALSE)),0))</f>
        <v>1361</v>
      </c>
      <c r="U98" s="97">
        <f>IF(Q98="","",ROUND(战斗节奏!$B$14/(IF($G98="",0,VLOOKUP($G98,'⚪设计'!$B$85:$H$113,5,FALSE)*$H98)+IF($L98="",0,VLOOKUP($L98,'⚪设计'!$B$85:$H$113,5,FALSE)*$M98)+IF($Q98="",0,VLOOKUP($Q98,'⚪设计'!$B$85:$H$113,5,FALSE)*$R98)+IF($V98="",0,VLOOKUP($V98,'⚪设计'!$B$85:$H$113,5,FALSE)*$W98))*IF(Q98="",0,VLOOKUP(Q98,'⚪设计'!$B$85:$H$113,5,FALSE)),0))</f>
        <v>30</v>
      </c>
      <c r="V98" s="97" t="str">
        <f>IF(VLOOKUP($A98,'⚪设计'!$A$364:$N$387,10,FALSE)="","",VLOOKUP($A98,'⚪设计'!$A$364:$N$387,10,FALSE))</f>
        <v/>
      </c>
      <c r="W98" s="97" t="str">
        <f t="shared" si="19"/>
        <v/>
      </c>
      <c r="X98" s="97" t="str">
        <f>IF(VLOOKUP($A98,'⚪设计'!$A$364:$N$387,14,FALSE)="","",VLOOKUP($A98,'⚪设计'!$A$364:$N$387,14,FALSE))</f>
        <v/>
      </c>
      <c r="Y98" s="97" t="str">
        <f>IF(V98="","",ROUND($D98*VLOOKUP($A98,'⚪设计'!$A$364:$N$387,4,FALSE)/(IF($G98="",0,VLOOKUP($G98,'⚪设计'!$B$85:$H$113,4,FALSE)*$H98)+IF($L98="",0,VLOOKUP($L98,'⚪设计'!$B$85:$H$113,4,FALSE)*$M98)+IF($Q98="",0,VLOOKUP($Q98,'⚪设计'!$B$85:$H$113,4,FALSE)*$R98)+IF($V98="",0,VLOOKUP($V98,'⚪设计'!$B$85:$H$113,4,FALSE)*$W98))*IF(V98="",0,VLOOKUP(V98,'⚪设计'!$B$85:$H$113,4,FALSE)),0))</f>
        <v/>
      </c>
      <c r="Z98" s="97" t="str">
        <f>IF(V98="","",ROUND(战斗节奏!$B$14/(IF($G98="",0,VLOOKUP($G98,'⚪设计'!$B$85:$H$113,5,FALSE)*$H98)+IF($L98="",0,VLOOKUP($L98,'⚪设计'!$B$85:$H$113,5,FALSE)*$M98)+IF($Q98="",0,VLOOKUP($Q98,'⚪设计'!$B$85:$H$113,5,FALSE)*$R98)+IF($V98="",0,VLOOKUP($V98,'⚪设计'!$B$85:$H$113,5,FALSE)*$W98))*IF(V98="",0,VLOOKUP(V98,'⚪设计'!$B$85:$H$113,5,FALSE)),0))</f>
        <v/>
      </c>
    </row>
    <row r="99" spans="1:26" x14ac:dyDescent="0.2">
      <c r="A99" s="2" t="str">
        <f t="shared" si="15"/>
        <v>4_1</v>
      </c>
      <c r="B99" s="2">
        <v>4</v>
      </c>
      <c r="C99" s="2">
        <v>1</v>
      </c>
      <c r="D99" s="97">
        <f>VLOOKUP(C99,无限模式!$A$3:$B$22,2,FALSE)</f>
        <v>900</v>
      </c>
      <c r="E99" s="98">
        <v>1</v>
      </c>
      <c r="F99" s="97">
        <f>VLOOKUP(A99,'⚪设计'!$A$364:$N$387,6,FALSE)</f>
        <v>10</v>
      </c>
      <c r="G99" s="97" t="str">
        <f>IF(VLOOKUP($A99,'⚪设计'!$A$364:$N$387,7,FALSE)="","",VLOOKUP($A99,'⚪设计'!$A$364:$N$387,7,FALSE))</f>
        <v>鬼1</v>
      </c>
      <c r="H99" s="97">
        <f t="shared" si="16"/>
        <v>7</v>
      </c>
      <c r="I99" s="97">
        <f>IF(VLOOKUP($A99,'⚪设计'!$A$364:$N$387,11,FALSE)="","",VLOOKUP($A99,'⚪设计'!$A$364:$N$387,11,FALSE))</f>
        <v>1.5</v>
      </c>
      <c r="J99" s="97">
        <f>IF(G99="","",ROUND($D99*VLOOKUP($A99,'⚪设计'!$A$364:$N$387,4,FALSE)/(IF($G99="",0,VLOOKUP($G99,'⚪设计'!$B$85:$H$113,4,FALSE)*$H99)+IF($L99="",0,VLOOKUP($L99,'⚪设计'!$B$85:$H$113,4,FALSE)*$M99)+IF($Q99="",0,VLOOKUP($Q99,'⚪设计'!$B$85:$H$113,4,FALSE)*$R99)+IF($V99="",0,VLOOKUP($V99,'⚪设计'!$B$85:$H$113,4,FALSE)*$W99))*IF(G99="",0,VLOOKUP(G99,'⚪设计'!$B$85:$H$113,4,FALSE)),0))</f>
        <v>83</v>
      </c>
      <c r="K99" s="97">
        <f>IF(G99="","",ROUND(战斗节奏!$B$14/(IF($G99="",0,VLOOKUP($G99,'⚪设计'!$B$85:$H$113,5,FALSE)*$H99)+IF($L99="",0,VLOOKUP($L99,'⚪设计'!$B$85:$H$113,5,FALSE)*$M99)+IF($Q99="",0,VLOOKUP($Q99,'⚪设计'!$B$85:$H$113,5,FALSE)*$R99)+IF($V99="",0,VLOOKUP($V99,'⚪设计'!$B$85:$H$113,5,FALSE)*$W99))*IF(G99="",0,VLOOKUP(G99,'⚪设计'!$B$85:$H$113,5,FALSE)),0))</f>
        <v>35</v>
      </c>
      <c r="L99" s="97" t="str">
        <f>IF(VLOOKUP($A99,'⚪设计'!$A$364:$N$387,8,FALSE)="","",VLOOKUP($A99,'⚪设计'!$A$364:$N$387,8,FALSE))</f>
        <v>乌龟2</v>
      </c>
      <c r="M99" s="97">
        <f t="shared" si="17"/>
        <v>5</v>
      </c>
      <c r="N99" s="97">
        <f>IF(VLOOKUP($A99,'⚪设计'!$A$364:$N$387,12,FALSE)="","",VLOOKUP($A99,'⚪设计'!$A$364:$N$387,12,FALSE))</f>
        <v>2</v>
      </c>
      <c r="O99" s="97">
        <f>IF(L99="","",ROUND($D99*VLOOKUP($A99,'⚪设计'!$A$364:$N$387,4,FALSE)/(IF($G99="",0,VLOOKUP($G99,'⚪设计'!$B$85:$H$113,4,FALSE)*$H99)+IF($L99="",0,VLOOKUP($L99,'⚪设计'!$B$85:$H$113,4,FALSE)*$M99)+IF($Q99="",0,VLOOKUP($Q99,'⚪设计'!$B$85:$H$113,4,FALSE)*$R99)+IF($V99="",0,VLOOKUP($V99,'⚪设计'!$B$85:$H$113,4,FALSE)*$W99))*IF(L99="",0,VLOOKUP(L99,'⚪设计'!$B$85:$H$113,4,FALSE)),0))</f>
        <v>333</v>
      </c>
      <c r="P99" s="97">
        <f>IF(L99="","",ROUND(战斗节奏!$B$14/(IF($G99="",0,VLOOKUP($G99,'⚪设计'!$B$85:$H$113,5,FALSE)*$H99)+IF($L99="",0,VLOOKUP($L99,'⚪设计'!$B$85:$H$113,5,FALSE)*$M99)+IF($Q99="",0,VLOOKUP($Q99,'⚪设计'!$B$85:$H$113,5,FALSE)*$R99)+IF($V99="",0,VLOOKUP($V99,'⚪设计'!$B$85:$H$113,5,FALSE)*$W99))*IF(L99="",0,VLOOKUP(L99,'⚪设计'!$B$85:$H$113,5,FALSE)),0))</f>
        <v>71</v>
      </c>
      <c r="Q99" s="97" t="str">
        <f>IF(VLOOKUP($A99,'⚪设计'!$A$364:$N$387,9,FALSE)="","",VLOOKUP($A99,'⚪设计'!$A$364:$N$387,9,FALSE))</f>
        <v/>
      </c>
      <c r="R99" s="97" t="str">
        <f t="shared" si="18"/>
        <v/>
      </c>
      <c r="S99" s="97" t="str">
        <f>IF(VLOOKUP($A99,'⚪设计'!$A$364:$N$387,13,FALSE)="","",VLOOKUP($A99,'⚪设计'!$A$364:$N$387,13,FALSE))</f>
        <v/>
      </c>
      <c r="T99" s="97" t="str">
        <f>IF(Q99="","",ROUND($D99*VLOOKUP($A99,'⚪设计'!$A$364:$N$387,4,FALSE)/(IF($G99="",0,VLOOKUP($G99,'⚪设计'!$B$85:$H$113,4,FALSE)*$H99)+IF($L99="",0,VLOOKUP($L99,'⚪设计'!$B$85:$H$113,4,FALSE)*$M99)+IF($Q99="",0,VLOOKUP($Q99,'⚪设计'!$B$85:$H$113,4,FALSE)*$R99)+IF($V99="",0,VLOOKUP($V99,'⚪设计'!$B$85:$H$113,4,FALSE)*$W99))*IF(Q99="",0,VLOOKUP(Q99,'⚪设计'!$B$85:$H$113,4,FALSE)),0))</f>
        <v/>
      </c>
      <c r="U99" s="97" t="str">
        <f>IF(Q99="","",ROUND(战斗节奏!$B$14/(IF($G99="",0,VLOOKUP($G99,'⚪设计'!$B$85:$H$113,5,FALSE)*$H99)+IF($L99="",0,VLOOKUP($L99,'⚪设计'!$B$85:$H$113,5,FALSE)*$M99)+IF($Q99="",0,VLOOKUP($Q99,'⚪设计'!$B$85:$H$113,5,FALSE)*$R99)+IF($V99="",0,VLOOKUP($V99,'⚪设计'!$B$85:$H$113,5,FALSE)*$W99))*IF(Q99="",0,VLOOKUP(Q99,'⚪设计'!$B$85:$H$113,5,FALSE)),0))</f>
        <v/>
      </c>
      <c r="V99" s="97" t="str">
        <f>IF(VLOOKUP($A99,'⚪设计'!$A$364:$N$387,10,FALSE)="","",VLOOKUP($A99,'⚪设计'!$A$364:$N$387,10,FALSE))</f>
        <v/>
      </c>
      <c r="W99" s="97" t="str">
        <f t="shared" si="19"/>
        <v/>
      </c>
      <c r="X99" s="97" t="str">
        <f>IF(VLOOKUP($A99,'⚪设计'!$A$364:$N$387,14,FALSE)="","",VLOOKUP($A99,'⚪设计'!$A$364:$N$387,14,FALSE))</f>
        <v/>
      </c>
      <c r="Y99" s="97" t="str">
        <f>IF(V99="","",ROUND($D99*VLOOKUP($A99,'⚪设计'!$A$364:$N$387,4,FALSE)/(IF($G99="",0,VLOOKUP($G99,'⚪设计'!$B$85:$H$113,4,FALSE)*$H99)+IF($L99="",0,VLOOKUP($L99,'⚪设计'!$B$85:$H$113,4,FALSE)*$M99)+IF($Q99="",0,VLOOKUP($Q99,'⚪设计'!$B$85:$H$113,4,FALSE)*$R99)+IF($V99="",0,VLOOKUP($V99,'⚪设计'!$B$85:$H$113,4,FALSE)*$W99))*IF(V99="",0,VLOOKUP(V99,'⚪设计'!$B$85:$H$113,4,FALSE)),0))</f>
        <v/>
      </c>
      <c r="Z99" s="97" t="str">
        <f>IF(V99="","",ROUND(战斗节奏!$B$14/(IF($G99="",0,VLOOKUP($G99,'⚪设计'!$B$85:$H$113,5,FALSE)*$H99)+IF($L99="",0,VLOOKUP($L99,'⚪设计'!$B$85:$H$113,5,FALSE)*$M99)+IF($Q99="",0,VLOOKUP($Q99,'⚪设计'!$B$85:$H$113,5,FALSE)*$R99)+IF($V99="",0,VLOOKUP($V99,'⚪设计'!$B$85:$H$113,5,FALSE)*$W99))*IF(V99="",0,VLOOKUP(V99,'⚪设计'!$B$85:$H$113,5,FALSE)),0))</f>
        <v/>
      </c>
    </row>
    <row r="100" spans="1:26" x14ac:dyDescent="0.2">
      <c r="A100" s="2" t="str">
        <f t="shared" si="15"/>
        <v>4_2</v>
      </c>
      <c r="B100" s="2">
        <v>4</v>
      </c>
      <c r="C100" s="2">
        <v>2</v>
      </c>
      <c r="D100" s="97">
        <f>VLOOKUP(C100,无限模式!$A$3:$B$22,2,FALSE)</f>
        <v>1800</v>
      </c>
      <c r="E100" s="98">
        <v>1</v>
      </c>
      <c r="F100" s="97">
        <f>VLOOKUP(A100,'⚪设计'!$A$364:$N$387,6,FALSE)</f>
        <v>12.5</v>
      </c>
      <c r="G100" s="97" t="str">
        <f>IF(VLOOKUP($A100,'⚪设计'!$A$364:$N$387,7,FALSE)="","",VLOOKUP($A100,'⚪设计'!$A$364:$N$387,7,FALSE))</f>
        <v>鬼1</v>
      </c>
      <c r="H100" s="97">
        <f t="shared" si="16"/>
        <v>8</v>
      </c>
      <c r="I100" s="97">
        <f>IF(VLOOKUP($A100,'⚪设计'!$A$364:$N$387,11,FALSE)="","",VLOOKUP($A100,'⚪设计'!$A$364:$N$387,11,FALSE))</f>
        <v>1.5</v>
      </c>
      <c r="J100" s="97">
        <f>IF(G100="","",ROUND($D100*VLOOKUP($A100,'⚪设计'!$A$364:$N$387,4,FALSE)/(IF($G100="",0,VLOOKUP($G100,'⚪设计'!$B$85:$H$113,4,FALSE)*$H100)+IF($L100="",0,VLOOKUP($L100,'⚪设计'!$B$85:$H$113,4,FALSE)*$M100)+IF($Q100="",0,VLOOKUP($Q100,'⚪设计'!$B$85:$H$113,4,FALSE)*$R100)+IF($V100="",0,VLOOKUP($V100,'⚪设计'!$B$85:$H$113,4,FALSE)*$W100))*IF(G100="",0,VLOOKUP(G100,'⚪设计'!$B$85:$H$113,4,FALSE)),0))</f>
        <v>220</v>
      </c>
      <c r="K100" s="97">
        <f>IF(G100="","",ROUND(战斗节奏!$B$14/(IF($G100="",0,VLOOKUP($G100,'⚪设计'!$B$85:$H$113,5,FALSE)*$H100)+IF($L100="",0,VLOOKUP($L100,'⚪设计'!$B$85:$H$113,5,FALSE)*$M100)+IF($Q100="",0,VLOOKUP($Q100,'⚪设计'!$B$85:$H$113,5,FALSE)*$R100)+IF($V100="",0,VLOOKUP($V100,'⚪设计'!$B$85:$H$113,5,FALSE)*$W100))*IF(G100="",0,VLOOKUP(G100,'⚪设计'!$B$85:$H$113,5,FALSE)),0))</f>
        <v>9</v>
      </c>
      <c r="L100" s="97" t="str">
        <f>IF(VLOOKUP($A100,'⚪设计'!$A$364:$N$387,8,FALSE)="","",VLOOKUP($A100,'⚪设计'!$A$364:$N$387,8,FALSE))</f>
        <v>蜜蜂2</v>
      </c>
      <c r="M100" s="97">
        <f t="shared" si="17"/>
        <v>25</v>
      </c>
      <c r="N100" s="97">
        <f>IF(VLOOKUP($A100,'⚪设计'!$A$364:$N$387,12,FALSE)="","",VLOOKUP($A100,'⚪设计'!$A$364:$N$387,12,FALSE))</f>
        <v>0.5</v>
      </c>
      <c r="O100" s="97">
        <f>IF(L100="","",ROUND($D100*VLOOKUP($A100,'⚪设计'!$A$364:$N$387,4,FALSE)/(IF($G100="",0,VLOOKUP($G100,'⚪设计'!$B$85:$H$113,4,FALSE)*$H100)+IF($L100="",0,VLOOKUP($L100,'⚪设计'!$B$85:$H$113,4,FALSE)*$M100)+IF($Q100="",0,VLOOKUP($Q100,'⚪设计'!$B$85:$H$113,4,FALSE)*$R100)+IF($V100="",0,VLOOKUP($V100,'⚪设计'!$B$85:$H$113,4,FALSE)*$W100))*IF(L100="",0,VLOOKUP(L100,'⚪设计'!$B$85:$H$113,4,FALSE)),0))</f>
        <v>439</v>
      </c>
      <c r="P100" s="97">
        <f>IF(L100="","",ROUND(战斗节奏!$B$14/(IF($G100="",0,VLOOKUP($G100,'⚪设计'!$B$85:$H$113,5,FALSE)*$H100)+IF($L100="",0,VLOOKUP($L100,'⚪设计'!$B$85:$H$113,5,FALSE)*$M100)+IF($Q100="",0,VLOOKUP($Q100,'⚪设计'!$B$85:$H$113,5,FALSE)*$R100)+IF($V100="",0,VLOOKUP($V100,'⚪设计'!$B$85:$H$113,5,FALSE)*$W100))*IF(L100="",0,VLOOKUP(L100,'⚪设计'!$B$85:$H$113,5,FALSE)),0))</f>
        <v>17</v>
      </c>
      <c r="Q100" s="97" t="str">
        <f>IF(VLOOKUP($A100,'⚪设计'!$A$364:$N$387,9,FALSE)="","",VLOOKUP($A100,'⚪设计'!$A$364:$N$387,9,FALSE))</f>
        <v>乌龟2</v>
      </c>
      <c r="R100" s="97">
        <f t="shared" si="18"/>
        <v>6</v>
      </c>
      <c r="S100" s="97">
        <f>IF(VLOOKUP($A100,'⚪设计'!$A$364:$N$387,13,FALSE)="","",VLOOKUP($A100,'⚪设计'!$A$364:$N$387,13,FALSE))</f>
        <v>2</v>
      </c>
      <c r="T100" s="97">
        <f>IF(Q100="","",ROUND($D100*VLOOKUP($A100,'⚪设计'!$A$364:$N$387,4,FALSE)/(IF($G100="",0,VLOOKUP($G100,'⚪设计'!$B$85:$H$113,4,FALSE)*$H100)+IF($L100="",0,VLOOKUP($L100,'⚪设计'!$B$85:$H$113,4,FALSE)*$M100)+IF($Q100="",0,VLOOKUP($Q100,'⚪设计'!$B$85:$H$113,4,FALSE)*$R100)+IF($V100="",0,VLOOKUP($V100,'⚪设计'!$B$85:$H$113,4,FALSE)*$W100))*IF(Q100="",0,VLOOKUP(Q100,'⚪设计'!$B$85:$H$113,4,FALSE)),0))</f>
        <v>878</v>
      </c>
      <c r="U100" s="97">
        <f>IF(Q100="","",ROUND(战斗节奏!$B$14/(IF($G100="",0,VLOOKUP($G100,'⚪设计'!$B$85:$H$113,5,FALSE)*$H100)+IF($L100="",0,VLOOKUP($L100,'⚪设计'!$B$85:$H$113,5,FALSE)*$M100)+IF($Q100="",0,VLOOKUP($Q100,'⚪设计'!$B$85:$H$113,5,FALSE)*$R100)+IF($V100="",0,VLOOKUP($V100,'⚪设计'!$B$85:$H$113,5,FALSE)*$W100))*IF(Q100="",0,VLOOKUP(Q100,'⚪设计'!$B$85:$H$113,5,FALSE)),0))</f>
        <v>17</v>
      </c>
      <c r="V100" s="97" t="str">
        <f>IF(VLOOKUP($A100,'⚪设计'!$A$364:$N$387,10,FALSE)="","",VLOOKUP($A100,'⚪设计'!$A$364:$N$387,10,FALSE))</f>
        <v/>
      </c>
      <c r="W100" s="97" t="str">
        <f t="shared" si="19"/>
        <v/>
      </c>
      <c r="X100" s="97" t="str">
        <f>IF(VLOOKUP($A100,'⚪设计'!$A$364:$N$387,14,FALSE)="","",VLOOKUP($A100,'⚪设计'!$A$364:$N$387,14,FALSE))</f>
        <v/>
      </c>
      <c r="Y100" s="97" t="str">
        <f>IF(V100="","",ROUND($D100*VLOOKUP($A100,'⚪设计'!$A$364:$N$387,4,FALSE)/(IF($G100="",0,VLOOKUP($G100,'⚪设计'!$B$85:$H$113,4,FALSE)*$H100)+IF($L100="",0,VLOOKUP($L100,'⚪设计'!$B$85:$H$113,4,FALSE)*$M100)+IF($Q100="",0,VLOOKUP($Q100,'⚪设计'!$B$85:$H$113,4,FALSE)*$R100)+IF($V100="",0,VLOOKUP($V100,'⚪设计'!$B$85:$H$113,4,FALSE)*$W100))*IF(V100="",0,VLOOKUP(V100,'⚪设计'!$B$85:$H$113,4,FALSE)),0))</f>
        <v/>
      </c>
      <c r="Z100" s="97" t="str">
        <f>IF(V100="","",ROUND(战斗节奏!$B$14/(IF($G100="",0,VLOOKUP($G100,'⚪设计'!$B$85:$H$113,5,FALSE)*$H100)+IF($L100="",0,VLOOKUP($L100,'⚪设计'!$B$85:$H$113,5,FALSE)*$M100)+IF($Q100="",0,VLOOKUP($Q100,'⚪设计'!$B$85:$H$113,5,FALSE)*$R100)+IF($V100="",0,VLOOKUP($V100,'⚪设计'!$B$85:$H$113,5,FALSE)*$W100))*IF(V100="",0,VLOOKUP(V100,'⚪设计'!$B$85:$H$113,5,FALSE)),0))</f>
        <v/>
      </c>
    </row>
    <row r="101" spans="1:26" x14ac:dyDescent="0.2">
      <c r="A101" s="2" t="str">
        <f t="shared" si="15"/>
        <v>4_3</v>
      </c>
      <c r="B101" s="2">
        <v>4</v>
      </c>
      <c r="C101" s="2">
        <v>3</v>
      </c>
      <c r="D101" s="97">
        <f>VLOOKUP(C101,无限模式!$A$3:$B$22,2,FALSE)</f>
        <v>3600</v>
      </c>
      <c r="E101" s="98">
        <v>1</v>
      </c>
      <c r="F101" s="97">
        <f>VLOOKUP(A101,'⚪设计'!$A$364:$N$387,6,FALSE)</f>
        <v>15</v>
      </c>
      <c r="G101" s="97" t="str">
        <f>IF(VLOOKUP($A101,'⚪设计'!$A$364:$N$387,7,FALSE)="","",VLOOKUP($A101,'⚪设计'!$A$364:$N$387,7,FALSE))</f>
        <v>鬼1</v>
      </c>
      <c r="H101" s="97">
        <f t="shared" si="16"/>
        <v>10</v>
      </c>
      <c r="I101" s="97">
        <f>IF(VLOOKUP($A101,'⚪设计'!$A$364:$N$387,11,FALSE)="","",VLOOKUP($A101,'⚪设计'!$A$364:$N$387,11,FALSE))</f>
        <v>1.5</v>
      </c>
      <c r="J101" s="97">
        <f>IF(G101="","",ROUND($D101*VLOOKUP($A101,'⚪设计'!$A$364:$N$387,4,FALSE)/(IF($G101="",0,VLOOKUP($G101,'⚪设计'!$B$85:$H$113,4,FALSE)*$H101)+IF($L101="",0,VLOOKUP($L101,'⚪设计'!$B$85:$H$113,4,FALSE)*$M101)+IF($Q101="",0,VLOOKUP($Q101,'⚪设计'!$B$85:$H$113,4,FALSE)*$R101)+IF($V101="",0,VLOOKUP($V101,'⚪设计'!$B$85:$H$113,4,FALSE)*$W101))*IF(G101="",0,VLOOKUP(G101,'⚪设计'!$B$85:$H$113,4,FALSE)),0))</f>
        <v>815</v>
      </c>
      <c r="K101" s="97">
        <f>IF(G101="","",ROUND(战斗节奏!$B$14/(IF($G101="",0,VLOOKUP($G101,'⚪设计'!$B$85:$H$113,5,FALSE)*$H101)+IF($L101="",0,VLOOKUP($L101,'⚪设计'!$B$85:$H$113,5,FALSE)*$M101)+IF($Q101="",0,VLOOKUP($Q101,'⚪设计'!$B$85:$H$113,5,FALSE)*$R101)+IF($V101="",0,VLOOKUP($V101,'⚪设计'!$B$85:$H$113,5,FALSE)*$W101))*IF(G101="",0,VLOOKUP(G101,'⚪设计'!$B$85:$H$113,5,FALSE)),0))</f>
        <v>9</v>
      </c>
      <c r="L101" s="97" t="str">
        <f>IF(VLOOKUP($A101,'⚪设计'!$A$364:$N$387,8,FALSE)="","",VLOOKUP($A101,'⚪设计'!$A$364:$N$387,8,FALSE))</f>
        <v>蝙蝠1</v>
      </c>
      <c r="M101" s="97">
        <f t="shared" si="17"/>
        <v>75</v>
      </c>
      <c r="N101" s="97">
        <f>IF(VLOOKUP($A101,'⚪设计'!$A$364:$N$387,12,FALSE)="","",VLOOKUP($A101,'⚪设计'!$A$364:$N$387,12,FALSE))</f>
        <v>0.2</v>
      </c>
      <c r="O101" s="97">
        <f>IF(L101="","",ROUND($D101*VLOOKUP($A101,'⚪设计'!$A$364:$N$387,4,FALSE)/(IF($G101="",0,VLOOKUP($G101,'⚪设计'!$B$85:$H$113,4,FALSE)*$H101)+IF($L101="",0,VLOOKUP($L101,'⚪设计'!$B$85:$H$113,4,FALSE)*$M101)+IF($Q101="",0,VLOOKUP($Q101,'⚪设计'!$B$85:$H$113,4,FALSE)*$R101)+IF($V101="",0,VLOOKUP($V101,'⚪设计'!$B$85:$H$113,4,FALSE)*$W101))*IF(L101="",0,VLOOKUP(L101,'⚪设计'!$B$85:$H$113,4,FALSE)),0))</f>
        <v>408</v>
      </c>
      <c r="P101" s="97">
        <f>IF(L101="","",ROUND(战斗节奏!$B$14/(IF($G101="",0,VLOOKUP($G101,'⚪设计'!$B$85:$H$113,5,FALSE)*$H101)+IF($L101="",0,VLOOKUP($L101,'⚪设计'!$B$85:$H$113,5,FALSE)*$M101)+IF($Q101="",0,VLOOKUP($Q101,'⚪设计'!$B$85:$H$113,5,FALSE)*$R101)+IF($V101="",0,VLOOKUP($V101,'⚪设计'!$B$85:$H$113,5,FALSE)*$W101))*IF(L101="",0,VLOOKUP(L101,'⚪设计'!$B$85:$H$113,5,FALSE)),0))</f>
        <v>5</v>
      </c>
      <c r="Q101" s="97" t="str">
        <f>IF(VLOOKUP($A101,'⚪设计'!$A$364:$N$387,9,FALSE)="","",VLOOKUP($A101,'⚪设计'!$A$364:$N$387,9,FALSE))</f>
        <v>乌龟2</v>
      </c>
      <c r="R101" s="97">
        <f t="shared" si="18"/>
        <v>8</v>
      </c>
      <c r="S101" s="97">
        <f>IF(VLOOKUP($A101,'⚪设计'!$A$364:$N$387,13,FALSE)="","",VLOOKUP($A101,'⚪设计'!$A$364:$N$387,13,FALSE))</f>
        <v>2</v>
      </c>
      <c r="T101" s="97">
        <f>IF(Q101="","",ROUND($D101*VLOOKUP($A101,'⚪设计'!$A$364:$N$387,4,FALSE)/(IF($G101="",0,VLOOKUP($G101,'⚪设计'!$B$85:$H$113,4,FALSE)*$H101)+IF($L101="",0,VLOOKUP($L101,'⚪设计'!$B$85:$H$113,4,FALSE)*$M101)+IF($Q101="",0,VLOOKUP($Q101,'⚪设计'!$B$85:$H$113,4,FALSE)*$R101)+IF($V101="",0,VLOOKUP($V101,'⚪设计'!$B$85:$H$113,4,FALSE)*$W101))*IF(Q101="",0,VLOOKUP(Q101,'⚪设计'!$B$85:$H$113,4,FALSE)),0))</f>
        <v>3260</v>
      </c>
      <c r="U101" s="97">
        <f>IF(Q101="","",ROUND(战斗节奏!$B$14/(IF($G101="",0,VLOOKUP($G101,'⚪设计'!$B$85:$H$113,5,FALSE)*$H101)+IF($L101="",0,VLOOKUP($L101,'⚪设计'!$B$85:$H$113,5,FALSE)*$M101)+IF($Q101="",0,VLOOKUP($Q101,'⚪设计'!$B$85:$H$113,5,FALSE)*$R101)+IF($V101="",0,VLOOKUP($V101,'⚪设计'!$B$85:$H$113,5,FALSE)*$W101))*IF(Q101="",0,VLOOKUP(Q101,'⚪设计'!$B$85:$H$113,5,FALSE)),0))</f>
        <v>19</v>
      </c>
      <c r="V101" s="97" t="str">
        <f>IF(VLOOKUP($A101,'⚪设计'!$A$364:$N$387,10,FALSE)="","",VLOOKUP($A101,'⚪设计'!$A$364:$N$387,10,FALSE))</f>
        <v/>
      </c>
      <c r="W101" s="97" t="str">
        <f t="shared" si="19"/>
        <v/>
      </c>
      <c r="X101" s="97" t="str">
        <f>IF(VLOOKUP($A101,'⚪设计'!$A$364:$N$387,14,FALSE)="","",VLOOKUP($A101,'⚪设计'!$A$364:$N$387,14,FALSE))</f>
        <v/>
      </c>
      <c r="Y101" s="97" t="str">
        <f>IF(V101="","",ROUND($D101*VLOOKUP($A101,'⚪设计'!$A$364:$N$387,4,FALSE)/(IF($G101="",0,VLOOKUP($G101,'⚪设计'!$B$85:$H$113,4,FALSE)*$H101)+IF($L101="",0,VLOOKUP($L101,'⚪设计'!$B$85:$H$113,4,FALSE)*$M101)+IF($Q101="",0,VLOOKUP($Q101,'⚪设计'!$B$85:$H$113,4,FALSE)*$R101)+IF($V101="",0,VLOOKUP($V101,'⚪设计'!$B$85:$H$113,4,FALSE)*$W101))*IF(V101="",0,VLOOKUP(V101,'⚪设计'!$B$85:$H$113,4,FALSE)),0))</f>
        <v/>
      </c>
      <c r="Z101" s="97" t="str">
        <f>IF(V101="","",ROUND(战斗节奏!$B$14/(IF($G101="",0,VLOOKUP($G101,'⚪设计'!$B$85:$H$113,5,FALSE)*$H101)+IF($L101="",0,VLOOKUP($L101,'⚪设计'!$B$85:$H$113,5,FALSE)*$M101)+IF($Q101="",0,VLOOKUP($Q101,'⚪设计'!$B$85:$H$113,5,FALSE)*$R101)+IF($V101="",0,VLOOKUP($V101,'⚪设计'!$B$85:$H$113,5,FALSE)*$W101))*IF(V101="",0,VLOOKUP(V101,'⚪设计'!$B$85:$H$113,5,FALSE)),0))</f>
        <v/>
      </c>
    </row>
    <row r="102" spans="1:26" x14ac:dyDescent="0.2">
      <c r="A102" s="2" t="str">
        <f t="shared" si="15"/>
        <v>4_4</v>
      </c>
      <c r="B102" s="2">
        <v>4</v>
      </c>
      <c r="C102" s="2">
        <v>4</v>
      </c>
      <c r="D102" s="97">
        <f>VLOOKUP(C102,无限模式!$A$3:$B$22,2,FALSE)</f>
        <v>4500</v>
      </c>
      <c r="E102" s="98">
        <v>1</v>
      </c>
      <c r="F102" s="97">
        <f>VLOOKUP(A102,'⚪设计'!$A$364:$N$387,6,FALSE)</f>
        <v>17.5</v>
      </c>
      <c r="G102" s="97" t="str">
        <f>IF(VLOOKUP($A102,'⚪设计'!$A$364:$N$387,7,FALSE)="","",VLOOKUP($A102,'⚪设计'!$A$364:$N$387,7,FALSE))</f>
        <v>鬼1</v>
      </c>
      <c r="H102" s="97">
        <f t="shared" si="16"/>
        <v>12</v>
      </c>
      <c r="I102" s="97">
        <f>IF(VLOOKUP($A102,'⚪设计'!$A$364:$N$387,11,FALSE)="","",VLOOKUP($A102,'⚪设计'!$A$364:$N$387,11,FALSE))</f>
        <v>1.5</v>
      </c>
      <c r="J102" s="97">
        <f>IF(G102="","",ROUND($D102*VLOOKUP($A102,'⚪设计'!$A$364:$N$387,4,FALSE)/(IF($G102="",0,VLOOKUP($G102,'⚪设计'!$B$85:$H$113,4,FALSE)*$H102)+IF($L102="",0,VLOOKUP($L102,'⚪设计'!$B$85:$H$113,4,FALSE)*$M102)+IF($Q102="",0,VLOOKUP($Q102,'⚪设计'!$B$85:$H$113,4,FALSE)*$R102)+IF($V102="",0,VLOOKUP($V102,'⚪设计'!$B$85:$H$113,4,FALSE)*$W102))*IF(G102="",0,VLOOKUP(G102,'⚪设计'!$B$85:$H$113,4,FALSE)),0))</f>
        <v>105</v>
      </c>
      <c r="K102" s="97">
        <f>IF(G102="","",ROUND(战斗节奏!$B$14/(IF($G102="",0,VLOOKUP($G102,'⚪设计'!$B$85:$H$113,5,FALSE)*$H102)+IF($L102="",0,VLOOKUP($L102,'⚪设计'!$B$85:$H$113,5,FALSE)*$M102)+IF($Q102="",0,VLOOKUP($Q102,'⚪设计'!$B$85:$H$113,5,FALSE)*$R102)+IF($V102="",0,VLOOKUP($V102,'⚪设计'!$B$85:$H$113,5,FALSE)*$W102))*IF(G102="",0,VLOOKUP(G102,'⚪设计'!$B$85:$H$113,5,FALSE)),0))</f>
        <v>7</v>
      </c>
      <c r="L102" s="97" t="str">
        <f>IF(VLOOKUP($A102,'⚪设计'!$A$364:$N$387,8,FALSE)="","",VLOOKUP($A102,'⚪设计'!$A$364:$N$387,8,FALSE))</f>
        <v>蜘蛛1</v>
      </c>
      <c r="M102" s="97">
        <f t="shared" si="17"/>
        <v>44</v>
      </c>
      <c r="N102" s="97">
        <f>IF(VLOOKUP($A102,'⚪设计'!$A$364:$N$387,12,FALSE)="","",VLOOKUP($A102,'⚪设计'!$A$364:$N$387,12,FALSE))</f>
        <v>0.4</v>
      </c>
      <c r="O102" s="97">
        <f>IF(L102="","",ROUND($D102*VLOOKUP($A102,'⚪设计'!$A$364:$N$387,4,FALSE)/(IF($G102="",0,VLOOKUP($G102,'⚪设计'!$B$85:$H$113,4,FALSE)*$H102)+IF($L102="",0,VLOOKUP($L102,'⚪设计'!$B$85:$H$113,4,FALSE)*$M102)+IF($Q102="",0,VLOOKUP($Q102,'⚪设计'!$B$85:$H$113,4,FALSE)*$R102)+IF($V102="",0,VLOOKUP($V102,'⚪设计'!$B$85:$H$113,4,FALSE)*$W102))*IF(L102="",0,VLOOKUP(L102,'⚪设计'!$B$85:$H$113,4,FALSE)),0))</f>
        <v>105</v>
      </c>
      <c r="P102" s="97">
        <f>IF(L102="","",ROUND(战斗节奏!$B$14/(IF($G102="",0,VLOOKUP($G102,'⚪设计'!$B$85:$H$113,5,FALSE)*$H102)+IF($L102="",0,VLOOKUP($L102,'⚪设计'!$B$85:$H$113,5,FALSE)*$M102)+IF($Q102="",0,VLOOKUP($Q102,'⚪设计'!$B$85:$H$113,5,FALSE)*$R102)+IF($V102="",0,VLOOKUP($V102,'⚪设计'!$B$85:$H$113,5,FALSE)*$W102))*IF(L102="",0,VLOOKUP(L102,'⚪设计'!$B$85:$H$113,5,FALSE)),0))</f>
        <v>7</v>
      </c>
      <c r="Q102" s="97" t="str">
        <f>IF(VLOOKUP($A102,'⚪设计'!$A$364:$N$387,9,FALSE)="","",VLOOKUP($A102,'⚪设计'!$A$364:$N$387,9,FALSE))</f>
        <v>乌龟2</v>
      </c>
      <c r="R102" s="97">
        <f t="shared" si="18"/>
        <v>18</v>
      </c>
      <c r="S102" s="97">
        <f>IF(VLOOKUP($A102,'⚪设计'!$A$364:$N$387,13,FALSE)="","",VLOOKUP($A102,'⚪设计'!$A$364:$N$387,13,FALSE))</f>
        <v>1</v>
      </c>
      <c r="T102" s="97">
        <f>IF(Q102="","",ROUND($D102*VLOOKUP($A102,'⚪设计'!$A$364:$N$387,4,FALSE)/(IF($G102="",0,VLOOKUP($G102,'⚪设计'!$B$85:$H$113,4,FALSE)*$H102)+IF($L102="",0,VLOOKUP($L102,'⚪设计'!$B$85:$H$113,4,FALSE)*$M102)+IF($Q102="",0,VLOOKUP($Q102,'⚪设计'!$B$85:$H$113,4,FALSE)*$R102)+IF($V102="",0,VLOOKUP($V102,'⚪设计'!$B$85:$H$113,4,FALSE)*$W102))*IF(Q102="",0,VLOOKUP(Q102,'⚪设计'!$B$85:$H$113,4,FALSE)),0))</f>
        <v>422</v>
      </c>
      <c r="U102" s="97">
        <f>IF(Q102="","",ROUND(战斗节奏!$B$14/(IF($G102="",0,VLOOKUP($G102,'⚪设计'!$B$85:$H$113,5,FALSE)*$H102)+IF($L102="",0,VLOOKUP($L102,'⚪设计'!$B$85:$H$113,5,FALSE)*$M102)+IF($Q102="",0,VLOOKUP($Q102,'⚪设计'!$B$85:$H$113,5,FALSE)*$R102)+IF($V102="",0,VLOOKUP($V102,'⚪设计'!$B$85:$H$113,5,FALSE)*$W102))*IF(Q102="",0,VLOOKUP(Q102,'⚪设计'!$B$85:$H$113,5,FALSE)),0))</f>
        <v>13</v>
      </c>
      <c r="V102" s="97" t="str">
        <f>IF(VLOOKUP($A102,'⚪设计'!$A$364:$N$387,10,FALSE)="","",VLOOKUP($A102,'⚪设计'!$A$364:$N$387,10,FALSE))</f>
        <v/>
      </c>
      <c r="W102" s="97" t="str">
        <f t="shared" si="19"/>
        <v/>
      </c>
      <c r="X102" s="97" t="str">
        <f>IF(VLOOKUP($A102,'⚪设计'!$A$364:$N$387,14,FALSE)="","",VLOOKUP($A102,'⚪设计'!$A$364:$N$387,14,FALSE))</f>
        <v/>
      </c>
      <c r="Y102" s="97" t="str">
        <f>IF(V102="","",ROUND($D102*VLOOKUP($A102,'⚪设计'!$A$364:$N$387,4,FALSE)/(IF($G102="",0,VLOOKUP($G102,'⚪设计'!$B$85:$H$113,4,FALSE)*$H102)+IF($L102="",0,VLOOKUP($L102,'⚪设计'!$B$85:$H$113,4,FALSE)*$M102)+IF($Q102="",0,VLOOKUP($Q102,'⚪设计'!$B$85:$H$113,4,FALSE)*$R102)+IF($V102="",0,VLOOKUP($V102,'⚪设计'!$B$85:$H$113,4,FALSE)*$W102))*IF(V102="",0,VLOOKUP(V102,'⚪设计'!$B$85:$H$113,4,FALSE)),0))</f>
        <v/>
      </c>
      <c r="Z102" s="97" t="str">
        <f>IF(V102="","",ROUND(战斗节奏!$B$14/(IF($G102="",0,VLOOKUP($G102,'⚪设计'!$B$85:$H$113,5,FALSE)*$H102)+IF($L102="",0,VLOOKUP($L102,'⚪设计'!$B$85:$H$113,5,FALSE)*$M102)+IF($Q102="",0,VLOOKUP($Q102,'⚪设计'!$B$85:$H$113,5,FALSE)*$R102)+IF($V102="",0,VLOOKUP($V102,'⚪设计'!$B$85:$H$113,5,FALSE)*$W102))*IF(V102="",0,VLOOKUP(V102,'⚪设计'!$B$85:$H$113,5,FALSE)),0))</f>
        <v/>
      </c>
    </row>
    <row r="103" spans="1:26" x14ac:dyDescent="0.2">
      <c r="A103" s="2" t="str">
        <f t="shared" si="15"/>
        <v>4_5</v>
      </c>
      <c r="B103" s="2">
        <v>4</v>
      </c>
      <c r="C103" s="2">
        <v>5</v>
      </c>
      <c r="D103" s="97">
        <f>VLOOKUP(C103,无限模式!$A$3:$B$22,2,FALSE)</f>
        <v>5400</v>
      </c>
      <c r="E103" s="98">
        <v>1</v>
      </c>
      <c r="F103" s="97">
        <f>VLOOKUP(A103,'⚪设计'!$A$364:$N$387,6,FALSE)</f>
        <v>20</v>
      </c>
      <c r="G103" s="97" t="str">
        <f>IF(VLOOKUP($A103,'⚪设计'!$A$364:$N$387,7,FALSE)="","",VLOOKUP($A103,'⚪设计'!$A$364:$N$387,7,FALSE))</f>
        <v>鬼1</v>
      </c>
      <c r="H103" s="97">
        <f t="shared" si="16"/>
        <v>40</v>
      </c>
      <c r="I103" s="97">
        <f>IF(VLOOKUP($A103,'⚪设计'!$A$364:$N$387,11,FALSE)="","",VLOOKUP($A103,'⚪设计'!$A$364:$N$387,11,FALSE))</f>
        <v>0.5</v>
      </c>
      <c r="J103" s="97">
        <f>IF(G103="","",ROUND($D103*VLOOKUP($A103,'⚪设计'!$A$364:$N$387,4,FALSE)/(IF($G103="",0,VLOOKUP($G103,'⚪设计'!$B$85:$H$113,4,FALSE)*$H103)+IF($L103="",0,VLOOKUP($L103,'⚪设计'!$B$85:$H$113,4,FALSE)*$M103)+IF($Q103="",0,VLOOKUP($Q103,'⚪设计'!$B$85:$H$113,4,FALSE)*$R103)+IF($V103="",0,VLOOKUP($V103,'⚪设计'!$B$85:$H$113,4,FALSE)*$W103))*IF(G103="",0,VLOOKUP(G103,'⚪设计'!$B$85:$H$113,4,FALSE)),0))</f>
        <v>108</v>
      </c>
      <c r="K103" s="97">
        <f>IF(G103="","",ROUND(战斗节奏!$B$14/(IF($G103="",0,VLOOKUP($G103,'⚪设计'!$B$85:$H$113,5,FALSE)*$H103)+IF($L103="",0,VLOOKUP($L103,'⚪设计'!$B$85:$H$113,5,FALSE)*$M103)+IF($Q103="",0,VLOOKUP($Q103,'⚪设计'!$B$85:$H$113,5,FALSE)*$R103)+IF($V103="",0,VLOOKUP($V103,'⚪设计'!$B$85:$H$113,5,FALSE)*$W103))*IF(G103="",0,VLOOKUP(G103,'⚪设计'!$B$85:$H$113,5,FALSE)),0))</f>
        <v>6</v>
      </c>
      <c r="L103" s="97" t="str">
        <f>IF(VLOOKUP($A103,'⚪设计'!$A$364:$N$387,8,FALSE)="","",VLOOKUP($A103,'⚪设计'!$A$364:$N$387,8,FALSE))</f>
        <v>种子1</v>
      </c>
      <c r="M103" s="97">
        <f t="shared" si="17"/>
        <v>10</v>
      </c>
      <c r="N103" s="97">
        <f>IF(VLOOKUP($A103,'⚪设计'!$A$364:$N$387,12,FALSE)="","",VLOOKUP($A103,'⚪设计'!$A$364:$N$387,12,FALSE))</f>
        <v>2</v>
      </c>
      <c r="O103" s="97">
        <f>IF(L103="","",ROUND($D103*VLOOKUP($A103,'⚪设计'!$A$364:$N$387,4,FALSE)/(IF($G103="",0,VLOOKUP($G103,'⚪设计'!$B$85:$H$113,4,FALSE)*$H103)+IF($L103="",0,VLOOKUP($L103,'⚪设计'!$B$85:$H$113,4,FALSE)*$M103)+IF($Q103="",0,VLOOKUP($Q103,'⚪设计'!$B$85:$H$113,4,FALSE)*$R103)+IF($V103="",0,VLOOKUP($V103,'⚪设计'!$B$85:$H$113,4,FALSE)*$W103))*IF(L103="",0,VLOOKUP(L103,'⚪设计'!$B$85:$H$113,4,FALSE)),0))</f>
        <v>324</v>
      </c>
      <c r="P103" s="97">
        <f>IF(L103="","",ROUND(战斗节奏!$B$14/(IF($G103="",0,VLOOKUP($G103,'⚪设计'!$B$85:$H$113,5,FALSE)*$H103)+IF($L103="",0,VLOOKUP($L103,'⚪设计'!$B$85:$H$113,5,FALSE)*$M103)+IF($Q103="",0,VLOOKUP($Q103,'⚪设计'!$B$85:$H$113,5,FALSE)*$R103)+IF($V103="",0,VLOOKUP($V103,'⚪设计'!$B$85:$H$113,5,FALSE)*$W103))*IF(L103="",0,VLOOKUP(L103,'⚪设计'!$B$85:$H$113,5,FALSE)),0))</f>
        <v>12</v>
      </c>
      <c r="Q103" s="97" t="str">
        <f>IF(VLOOKUP($A103,'⚪设计'!$A$364:$N$387,9,FALSE)="","",VLOOKUP($A103,'⚪设计'!$A$364:$N$387,9,FALSE))</f>
        <v>乌龟2</v>
      </c>
      <c r="R103" s="97">
        <f t="shared" si="18"/>
        <v>20</v>
      </c>
      <c r="S103" s="97">
        <f>IF(VLOOKUP($A103,'⚪设计'!$A$364:$N$387,13,FALSE)="","",VLOOKUP($A103,'⚪设计'!$A$364:$N$387,13,FALSE))</f>
        <v>1</v>
      </c>
      <c r="T103" s="97">
        <f>IF(Q103="","",ROUND($D103*VLOOKUP($A103,'⚪设计'!$A$364:$N$387,4,FALSE)/(IF($G103="",0,VLOOKUP($G103,'⚪设计'!$B$85:$H$113,4,FALSE)*$H103)+IF($L103="",0,VLOOKUP($L103,'⚪设计'!$B$85:$H$113,4,FALSE)*$M103)+IF($Q103="",0,VLOOKUP($Q103,'⚪设计'!$B$85:$H$113,4,FALSE)*$R103)+IF($V103="",0,VLOOKUP($V103,'⚪设计'!$B$85:$H$113,4,FALSE)*$W103))*IF(Q103="",0,VLOOKUP(Q103,'⚪设计'!$B$85:$H$113,4,FALSE)),0))</f>
        <v>432</v>
      </c>
      <c r="U103" s="97">
        <f>IF(Q103="","",ROUND(战斗节奏!$B$14/(IF($G103="",0,VLOOKUP($G103,'⚪设计'!$B$85:$H$113,5,FALSE)*$H103)+IF($L103="",0,VLOOKUP($L103,'⚪设计'!$B$85:$H$113,5,FALSE)*$M103)+IF($Q103="",0,VLOOKUP($Q103,'⚪设计'!$B$85:$H$113,5,FALSE)*$R103)+IF($V103="",0,VLOOKUP($V103,'⚪设计'!$B$85:$H$113,5,FALSE)*$W103))*IF(Q103="",0,VLOOKUP(Q103,'⚪设计'!$B$85:$H$113,5,FALSE)),0))</f>
        <v>12</v>
      </c>
      <c r="V103" s="97" t="str">
        <f>IF(VLOOKUP($A103,'⚪设计'!$A$364:$N$387,10,FALSE)="","",VLOOKUP($A103,'⚪设计'!$A$364:$N$387,10,FALSE))</f>
        <v/>
      </c>
      <c r="W103" s="97" t="str">
        <f t="shared" si="19"/>
        <v/>
      </c>
      <c r="X103" s="97" t="str">
        <f>IF(VLOOKUP($A103,'⚪设计'!$A$364:$N$387,14,FALSE)="","",VLOOKUP($A103,'⚪设计'!$A$364:$N$387,14,FALSE))</f>
        <v/>
      </c>
      <c r="Y103" s="97" t="str">
        <f>IF(V103="","",ROUND($D103*VLOOKUP($A103,'⚪设计'!$A$364:$N$387,4,FALSE)/(IF($G103="",0,VLOOKUP($G103,'⚪设计'!$B$85:$H$113,4,FALSE)*$H103)+IF($L103="",0,VLOOKUP($L103,'⚪设计'!$B$85:$H$113,4,FALSE)*$M103)+IF($Q103="",0,VLOOKUP($Q103,'⚪设计'!$B$85:$H$113,4,FALSE)*$R103)+IF($V103="",0,VLOOKUP($V103,'⚪设计'!$B$85:$H$113,4,FALSE)*$W103))*IF(V103="",0,VLOOKUP(V103,'⚪设计'!$B$85:$H$113,4,FALSE)),0))</f>
        <v/>
      </c>
      <c r="Z103" s="97" t="str">
        <f>IF(V103="","",ROUND(战斗节奏!$B$14/(IF($G103="",0,VLOOKUP($G103,'⚪设计'!$B$85:$H$113,5,FALSE)*$H103)+IF($L103="",0,VLOOKUP($L103,'⚪设计'!$B$85:$H$113,5,FALSE)*$M103)+IF($Q103="",0,VLOOKUP($Q103,'⚪设计'!$B$85:$H$113,5,FALSE)*$R103)+IF($V103="",0,VLOOKUP($V103,'⚪设计'!$B$85:$H$113,5,FALSE)*$W103))*IF(V103="",0,VLOOKUP(V103,'⚪设计'!$B$85:$H$113,5,FALSE)),0))</f>
        <v/>
      </c>
    </row>
    <row r="104" spans="1:26" x14ac:dyDescent="0.2">
      <c r="A104" s="2" t="str">
        <f t="shared" si="15"/>
        <v>5_1</v>
      </c>
      <c r="B104" s="2">
        <v>5</v>
      </c>
      <c r="C104" s="2">
        <v>1</v>
      </c>
      <c r="D104" s="97">
        <f>VLOOKUP(C104,无限模式!$A$3:$B$22,2,FALSE)</f>
        <v>900</v>
      </c>
      <c r="E104" s="98">
        <v>1</v>
      </c>
      <c r="F104" s="97">
        <f>VLOOKUP(A104,'⚪设计'!$A$364:$N$387,6,FALSE)</f>
        <v>10</v>
      </c>
      <c r="G104" s="97" t="str">
        <f>IF(VLOOKUP($A104,'⚪设计'!$A$364:$N$387,7,FALSE)="","",VLOOKUP($A104,'⚪设计'!$A$364:$N$387,7,FALSE))</f>
        <v>蛋2</v>
      </c>
      <c r="H104" s="97">
        <f t="shared" si="16"/>
        <v>7</v>
      </c>
      <c r="I104" s="97">
        <f>IF(VLOOKUP($A104,'⚪设计'!$A$364:$N$387,11,FALSE)="","",VLOOKUP($A104,'⚪设计'!$A$364:$N$387,11,FALSE))</f>
        <v>1.5</v>
      </c>
      <c r="J104" s="97">
        <f>IF(G104="","",ROUND($D104*VLOOKUP($A104,'⚪设计'!$A$364:$N$387,4,FALSE)/(IF($G104="",0,VLOOKUP($G104,'⚪设计'!$B$85:$H$113,4,FALSE)*$H104)+IF($L104="",0,VLOOKUP($L104,'⚪设计'!$B$85:$H$113,4,FALSE)*$M104)+IF($Q104="",0,VLOOKUP($Q104,'⚪设计'!$B$85:$H$113,4,FALSE)*$R104)+IF($V104="",0,VLOOKUP($V104,'⚪设计'!$B$85:$H$113,4,FALSE)*$W104))*IF(G104="",0,VLOOKUP(G104,'⚪设计'!$B$85:$H$113,4,FALSE)),0))</f>
        <v>360</v>
      </c>
      <c r="K104" s="97">
        <f>IF(G104="","",ROUND(战斗节奏!$B$14/(IF($G104="",0,VLOOKUP($G104,'⚪设计'!$B$85:$H$113,5,FALSE)*$H104)+IF($L104="",0,VLOOKUP($L104,'⚪设计'!$B$85:$H$113,5,FALSE)*$M104)+IF($Q104="",0,VLOOKUP($Q104,'⚪设计'!$B$85:$H$113,5,FALSE)*$R104)+IF($V104="",0,VLOOKUP($V104,'⚪设计'!$B$85:$H$113,5,FALSE)*$W104))*IF(G104="",0,VLOOKUP(G104,'⚪设计'!$B$85:$H$113,5,FALSE)),0))</f>
        <v>50</v>
      </c>
      <c r="L104" s="97" t="str">
        <f>IF(VLOOKUP($A104,'⚪设计'!$A$364:$N$387,8,FALSE)="","",VLOOKUP($A104,'⚪设计'!$A$364:$N$387,8,FALSE))</f>
        <v>乌龟2</v>
      </c>
      <c r="M104" s="97">
        <f t="shared" si="17"/>
        <v>5</v>
      </c>
      <c r="N104" s="97">
        <f>IF(VLOOKUP($A104,'⚪设计'!$A$364:$N$387,12,FALSE)="","",VLOOKUP($A104,'⚪设计'!$A$364:$N$387,12,FALSE))</f>
        <v>2</v>
      </c>
      <c r="O104" s="97">
        <f>IF(L104="","",ROUND($D104*VLOOKUP($A104,'⚪设计'!$A$364:$N$387,4,FALSE)/(IF($G104="",0,VLOOKUP($G104,'⚪设计'!$B$85:$H$113,4,FALSE)*$H104)+IF($L104="",0,VLOOKUP($L104,'⚪设计'!$B$85:$H$113,4,FALSE)*$M104)+IF($Q104="",0,VLOOKUP($Q104,'⚪设计'!$B$85:$H$113,4,FALSE)*$R104)+IF($V104="",0,VLOOKUP($V104,'⚪设计'!$B$85:$H$113,4,FALSE)*$W104))*IF(L104="",0,VLOOKUP(L104,'⚪设计'!$B$85:$H$113,4,FALSE)),0))</f>
        <v>360</v>
      </c>
      <c r="P104" s="97">
        <f>IF(L104="","",ROUND(战斗节奏!$B$14/(IF($G104="",0,VLOOKUP($G104,'⚪设计'!$B$85:$H$113,5,FALSE)*$H104)+IF($L104="",0,VLOOKUP($L104,'⚪设计'!$B$85:$H$113,5,FALSE)*$M104)+IF($Q104="",0,VLOOKUP($Q104,'⚪设计'!$B$85:$H$113,5,FALSE)*$R104)+IF($V104="",0,VLOOKUP($V104,'⚪设计'!$B$85:$H$113,5,FALSE)*$W104))*IF(L104="",0,VLOOKUP(L104,'⚪设计'!$B$85:$H$113,5,FALSE)),0))</f>
        <v>50</v>
      </c>
      <c r="Q104" s="97" t="str">
        <f>IF(VLOOKUP($A104,'⚪设计'!$A$364:$N$387,9,FALSE)="","",VLOOKUP($A104,'⚪设计'!$A$364:$N$387,9,FALSE))</f>
        <v/>
      </c>
      <c r="R104" s="97" t="str">
        <f t="shared" si="18"/>
        <v/>
      </c>
      <c r="S104" s="97" t="str">
        <f>IF(VLOOKUP($A104,'⚪设计'!$A$364:$N$387,13,FALSE)="","",VLOOKUP($A104,'⚪设计'!$A$364:$N$387,13,FALSE))</f>
        <v/>
      </c>
      <c r="T104" s="97" t="str">
        <f>IF(Q104="","",ROUND($D104*VLOOKUP($A104,'⚪设计'!$A$364:$N$387,4,FALSE)/(IF($G104="",0,VLOOKUP($G104,'⚪设计'!$B$85:$H$113,4,FALSE)*$H104)+IF($L104="",0,VLOOKUP($L104,'⚪设计'!$B$85:$H$113,4,FALSE)*$M104)+IF($Q104="",0,VLOOKUP($Q104,'⚪设计'!$B$85:$H$113,4,FALSE)*$R104)+IF($V104="",0,VLOOKUP($V104,'⚪设计'!$B$85:$H$113,4,FALSE)*$W104))*IF(Q104="",0,VLOOKUP(Q104,'⚪设计'!$B$85:$H$113,4,FALSE)),0))</f>
        <v/>
      </c>
      <c r="U104" s="97" t="str">
        <f>IF(Q104="","",ROUND(战斗节奏!$B$14/(IF($G104="",0,VLOOKUP($G104,'⚪设计'!$B$85:$H$113,5,FALSE)*$H104)+IF($L104="",0,VLOOKUP($L104,'⚪设计'!$B$85:$H$113,5,FALSE)*$M104)+IF($Q104="",0,VLOOKUP($Q104,'⚪设计'!$B$85:$H$113,5,FALSE)*$R104)+IF($V104="",0,VLOOKUP($V104,'⚪设计'!$B$85:$H$113,5,FALSE)*$W104))*IF(Q104="",0,VLOOKUP(Q104,'⚪设计'!$B$85:$H$113,5,FALSE)),0))</f>
        <v/>
      </c>
      <c r="V104" s="97" t="str">
        <f>IF(VLOOKUP($A104,'⚪设计'!$A$364:$N$387,10,FALSE)="","",VLOOKUP($A104,'⚪设计'!$A$364:$N$387,10,FALSE))</f>
        <v/>
      </c>
      <c r="W104" s="97" t="str">
        <f t="shared" si="19"/>
        <v/>
      </c>
      <c r="X104" s="97" t="str">
        <f>IF(VLOOKUP($A104,'⚪设计'!$A$364:$N$387,14,FALSE)="","",VLOOKUP($A104,'⚪设计'!$A$364:$N$387,14,FALSE))</f>
        <v/>
      </c>
      <c r="Y104" s="97" t="str">
        <f>IF(V104="","",ROUND($D104*VLOOKUP($A104,'⚪设计'!$A$364:$N$387,4,FALSE)/(IF($G104="",0,VLOOKUP($G104,'⚪设计'!$B$85:$H$113,4,FALSE)*$H104)+IF($L104="",0,VLOOKUP($L104,'⚪设计'!$B$85:$H$113,4,FALSE)*$M104)+IF($Q104="",0,VLOOKUP($Q104,'⚪设计'!$B$85:$H$113,4,FALSE)*$R104)+IF($V104="",0,VLOOKUP($V104,'⚪设计'!$B$85:$H$113,4,FALSE)*$W104))*IF(V104="",0,VLOOKUP(V104,'⚪设计'!$B$85:$H$113,4,FALSE)),0))</f>
        <v/>
      </c>
      <c r="Z104" s="97" t="str">
        <f>IF(V104="","",ROUND(战斗节奏!$B$14/(IF($G104="",0,VLOOKUP($G104,'⚪设计'!$B$85:$H$113,5,FALSE)*$H104)+IF($L104="",0,VLOOKUP($L104,'⚪设计'!$B$85:$H$113,5,FALSE)*$M104)+IF($Q104="",0,VLOOKUP($Q104,'⚪设计'!$B$85:$H$113,5,FALSE)*$R104)+IF($V104="",0,VLOOKUP($V104,'⚪设计'!$B$85:$H$113,5,FALSE)*$W104))*IF(V104="",0,VLOOKUP(V104,'⚪设计'!$B$85:$H$113,5,FALSE)),0))</f>
        <v/>
      </c>
    </row>
    <row r="105" spans="1:26" x14ac:dyDescent="0.2">
      <c r="A105" s="2" t="str">
        <f t="shared" si="15"/>
        <v>5_2</v>
      </c>
      <c r="B105" s="2">
        <v>5</v>
      </c>
      <c r="C105" s="2">
        <v>2</v>
      </c>
      <c r="D105" s="97">
        <f>VLOOKUP(C105,无限模式!$A$3:$B$22,2,FALSE)</f>
        <v>1800</v>
      </c>
      <c r="E105" s="98">
        <v>1</v>
      </c>
      <c r="F105" s="97">
        <f>VLOOKUP(A105,'⚪设计'!$A$364:$N$387,6,FALSE)</f>
        <v>12.5</v>
      </c>
      <c r="G105" s="97" t="str">
        <f>IF(VLOOKUP($A105,'⚪设计'!$A$364:$N$387,7,FALSE)="","",VLOOKUP($A105,'⚪设计'!$A$364:$N$387,7,FALSE))</f>
        <v>蛋2</v>
      </c>
      <c r="H105" s="97">
        <f t="shared" si="16"/>
        <v>8</v>
      </c>
      <c r="I105" s="97">
        <f>IF(VLOOKUP($A105,'⚪设计'!$A$364:$N$387,11,FALSE)="","",VLOOKUP($A105,'⚪设计'!$A$364:$N$387,11,FALSE))</f>
        <v>1.5</v>
      </c>
      <c r="J105" s="97">
        <f>IF(G105="","",ROUND($D105*VLOOKUP($A105,'⚪设计'!$A$364:$N$387,4,FALSE)/(IF($G105="",0,VLOOKUP($G105,'⚪设计'!$B$85:$H$113,4,FALSE)*$H105)+IF($L105="",0,VLOOKUP($L105,'⚪设计'!$B$85:$H$113,4,FALSE)*$M105)+IF($Q105="",0,VLOOKUP($Q105,'⚪设计'!$B$85:$H$113,4,FALSE)*$R105)+IF($V105="",0,VLOOKUP($V105,'⚪设计'!$B$85:$H$113,4,FALSE)*$W105))*IF(G105="",0,VLOOKUP(G105,'⚪设计'!$B$85:$H$113,4,FALSE)),0))</f>
        <v>823</v>
      </c>
      <c r="K105" s="97">
        <f>IF(G105="","",ROUND(战斗节奏!$B$14/(IF($G105="",0,VLOOKUP($G105,'⚪设计'!$B$85:$H$113,5,FALSE)*$H105)+IF($L105="",0,VLOOKUP($L105,'⚪设计'!$B$85:$H$113,5,FALSE)*$M105)+IF($Q105="",0,VLOOKUP($Q105,'⚪设计'!$B$85:$H$113,5,FALSE)*$R105)+IF($V105="",0,VLOOKUP($V105,'⚪设计'!$B$85:$H$113,5,FALSE)*$W105))*IF(G105="",0,VLOOKUP(G105,'⚪设计'!$B$85:$H$113,5,FALSE)),0))</f>
        <v>20</v>
      </c>
      <c r="L105" s="97" t="str">
        <f>IF(VLOOKUP($A105,'⚪设计'!$A$364:$N$387,8,FALSE)="","",VLOOKUP($A105,'⚪设计'!$A$364:$N$387,8,FALSE))</f>
        <v>蝙蝠1</v>
      </c>
      <c r="M105" s="97">
        <f t="shared" si="17"/>
        <v>63</v>
      </c>
      <c r="N105" s="97">
        <f>IF(VLOOKUP($A105,'⚪设计'!$A$364:$N$387,12,FALSE)="","",VLOOKUP($A105,'⚪设计'!$A$364:$N$387,12,FALSE))</f>
        <v>0.2</v>
      </c>
      <c r="O105" s="97">
        <f>IF(L105="","",ROUND($D105*VLOOKUP($A105,'⚪设计'!$A$364:$N$387,4,FALSE)/(IF($G105="",0,VLOOKUP($G105,'⚪设计'!$B$85:$H$113,4,FALSE)*$H105)+IF($L105="",0,VLOOKUP($L105,'⚪设计'!$B$85:$H$113,4,FALSE)*$M105)+IF($Q105="",0,VLOOKUP($Q105,'⚪设计'!$B$85:$H$113,4,FALSE)*$R105)+IF($V105="",0,VLOOKUP($V105,'⚪设计'!$B$85:$H$113,4,FALSE)*$W105))*IF(L105="",0,VLOOKUP(L105,'⚪设计'!$B$85:$H$113,4,FALSE)),0))</f>
        <v>103</v>
      </c>
      <c r="P105" s="97">
        <f>IF(L105="","",ROUND(战斗节奏!$B$14/(IF($G105="",0,VLOOKUP($G105,'⚪设计'!$B$85:$H$113,5,FALSE)*$H105)+IF($L105="",0,VLOOKUP($L105,'⚪设计'!$B$85:$H$113,5,FALSE)*$M105)+IF($Q105="",0,VLOOKUP($Q105,'⚪设计'!$B$85:$H$113,5,FALSE)*$R105)+IF($V105="",0,VLOOKUP($V105,'⚪设计'!$B$85:$H$113,5,FALSE)*$W105))*IF(L105="",0,VLOOKUP(L105,'⚪设计'!$B$85:$H$113,5,FALSE)),0))</f>
        <v>5</v>
      </c>
      <c r="Q105" s="97" t="str">
        <f>IF(VLOOKUP($A105,'⚪设计'!$A$364:$N$387,9,FALSE)="","",VLOOKUP($A105,'⚪设计'!$A$364:$N$387,9,FALSE))</f>
        <v>乌龟2</v>
      </c>
      <c r="R105" s="97">
        <f t="shared" si="18"/>
        <v>6</v>
      </c>
      <c r="S105" s="97">
        <f>IF(VLOOKUP($A105,'⚪设计'!$A$364:$N$387,13,FALSE)="","",VLOOKUP($A105,'⚪设计'!$A$364:$N$387,13,FALSE))</f>
        <v>2</v>
      </c>
      <c r="T105" s="97">
        <f>IF(Q105="","",ROUND($D105*VLOOKUP($A105,'⚪设计'!$A$364:$N$387,4,FALSE)/(IF($G105="",0,VLOOKUP($G105,'⚪设计'!$B$85:$H$113,4,FALSE)*$H105)+IF($L105="",0,VLOOKUP($L105,'⚪设计'!$B$85:$H$113,4,FALSE)*$M105)+IF($Q105="",0,VLOOKUP($Q105,'⚪设计'!$B$85:$H$113,4,FALSE)*$R105)+IF($V105="",0,VLOOKUP($V105,'⚪设计'!$B$85:$H$113,4,FALSE)*$W105))*IF(Q105="",0,VLOOKUP(Q105,'⚪设计'!$B$85:$H$113,4,FALSE)),0))</f>
        <v>823</v>
      </c>
      <c r="U105" s="97">
        <f>IF(Q105="","",ROUND(战斗节奏!$B$14/(IF($G105="",0,VLOOKUP($G105,'⚪设计'!$B$85:$H$113,5,FALSE)*$H105)+IF($L105="",0,VLOOKUP($L105,'⚪设计'!$B$85:$H$113,5,FALSE)*$M105)+IF($Q105="",0,VLOOKUP($Q105,'⚪设计'!$B$85:$H$113,5,FALSE)*$R105)+IF($V105="",0,VLOOKUP($V105,'⚪设计'!$B$85:$H$113,5,FALSE)*$W105))*IF(Q105="",0,VLOOKUP(Q105,'⚪设计'!$B$85:$H$113,5,FALSE)),0))</f>
        <v>20</v>
      </c>
      <c r="V105" s="97" t="str">
        <f>IF(VLOOKUP($A105,'⚪设计'!$A$364:$N$387,10,FALSE)="","",VLOOKUP($A105,'⚪设计'!$A$364:$N$387,10,FALSE))</f>
        <v/>
      </c>
      <c r="W105" s="97" t="str">
        <f t="shared" si="19"/>
        <v/>
      </c>
      <c r="X105" s="97" t="str">
        <f>IF(VLOOKUP($A105,'⚪设计'!$A$364:$N$387,14,FALSE)="","",VLOOKUP($A105,'⚪设计'!$A$364:$N$387,14,FALSE))</f>
        <v/>
      </c>
      <c r="Y105" s="97" t="str">
        <f>IF(V105="","",ROUND($D105*VLOOKUP($A105,'⚪设计'!$A$364:$N$387,4,FALSE)/(IF($G105="",0,VLOOKUP($G105,'⚪设计'!$B$85:$H$113,4,FALSE)*$H105)+IF($L105="",0,VLOOKUP($L105,'⚪设计'!$B$85:$H$113,4,FALSE)*$M105)+IF($Q105="",0,VLOOKUP($Q105,'⚪设计'!$B$85:$H$113,4,FALSE)*$R105)+IF($V105="",0,VLOOKUP($V105,'⚪设计'!$B$85:$H$113,4,FALSE)*$W105))*IF(V105="",0,VLOOKUP(V105,'⚪设计'!$B$85:$H$113,4,FALSE)),0))</f>
        <v/>
      </c>
      <c r="Z105" s="97" t="str">
        <f>IF(V105="","",ROUND(战斗节奏!$B$14/(IF($G105="",0,VLOOKUP($G105,'⚪设计'!$B$85:$H$113,5,FALSE)*$H105)+IF($L105="",0,VLOOKUP($L105,'⚪设计'!$B$85:$H$113,5,FALSE)*$M105)+IF($Q105="",0,VLOOKUP($Q105,'⚪设计'!$B$85:$H$113,5,FALSE)*$R105)+IF($V105="",0,VLOOKUP($V105,'⚪设计'!$B$85:$H$113,5,FALSE)*$W105))*IF(V105="",0,VLOOKUP(V105,'⚪设计'!$B$85:$H$113,5,FALSE)),0))</f>
        <v/>
      </c>
    </row>
    <row r="106" spans="1:26" x14ac:dyDescent="0.2">
      <c r="A106" s="2" t="str">
        <f t="shared" si="15"/>
        <v>5_3</v>
      </c>
      <c r="B106" s="2">
        <v>5</v>
      </c>
      <c r="C106" s="2">
        <v>3</v>
      </c>
      <c r="D106" s="97">
        <f>VLOOKUP(C106,无限模式!$A$3:$B$22,2,FALSE)</f>
        <v>3600</v>
      </c>
      <c r="E106" s="98">
        <v>1</v>
      </c>
      <c r="F106" s="97">
        <f>VLOOKUP(A106,'⚪设计'!$A$364:$N$387,6,FALSE)</f>
        <v>15</v>
      </c>
      <c r="G106" s="97" t="str">
        <f>IF(VLOOKUP($A106,'⚪设计'!$A$364:$N$387,7,FALSE)="","",VLOOKUP($A106,'⚪设计'!$A$364:$N$387,7,FALSE))</f>
        <v>蛋2</v>
      </c>
      <c r="H106" s="97">
        <f t="shared" si="16"/>
        <v>10</v>
      </c>
      <c r="I106" s="97">
        <f>IF(VLOOKUP($A106,'⚪设计'!$A$364:$N$387,11,FALSE)="","",VLOOKUP($A106,'⚪设计'!$A$364:$N$387,11,FALSE))</f>
        <v>1.5</v>
      </c>
      <c r="J106" s="97">
        <f>IF(G106="","",ROUND($D106*VLOOKUP($A106,'⚪设计'!$A$364:$N$387,4,FALSE)/(IF($G106="",0,VLOOKUP($G106,'⚪设计'!$B$85:$H$113,4,FALSE)*$H106)+IF($L106="",0,VLOOKUP($L106,'⚪设计'!$B$85:$H$113,4,FALSE)*$M106)+IF($Q106="",0,VLOOKUP($Q106,'⚪设计'!$B$85:$H$113,4,FALSE)*$R106)+IF($V106="",0,VLOOKUP($V106,'⚪设计'!$B$85:$H$113,4,FALSE)*$W106))*IF(G106="",0,VLOOKUP(G106,'⚪设计'!$B$85:$H$113,4,FALSE)),0))</f>
        <v>2160</v>
      </c>
      <c r="K106" s="97">
        <f>IF(G106="","",ROUND(战斗节奏!$B$14/(IF($G106="",0,VLOOKUP($G106,'⚪设计'!$B$85:$H$113,5,FALSE)*$H106)+IF($L106="",0,VLOOKUP($L106,'⚪设计'!$B$85:$H$113,5,FALSE)*$M106)+IF($Q106="",0,VLOOKUP($Q106,'⚪设计'!$B$85:$H$113,5,FALSE)*$R106)+IF($V106="",0,VLOOKUP($V106,'⚪设计'!$B$85:$H$113,5,FALSE)*$W106))*IF(G106="",0,VLOOKUP(G106,'⚪设计'!$B$85:$H$113,5,FALSE)),0))</f>
        <v>14</v>
      </c>
      <c r="L106" s="97" t="str">
        <f>IF(VLOOKUP($A106,'⚪设计'!$A$364:$N$387,8,FALSE)="","",VLOOKUP($A106,'⚪设计'!$A$364:$N$387,8,FALSE))</f>
        <v>蜘蛛1</v>
      </c>
      <c r="M106" s="97">
        <f t="shared" si="17"/>
        <v>38</v>
      </c>
      <c r="N106" s="97">
        <f>IF(VLOOKUP($A106,'⚪设计'!$A$364:$N$387,12,FALSE)="","",VLOOKUP($A106,'⚪设计'!$A$364:$N$387,12,FALSE))</f>
        <v>0.4</v>
      </c>
      <c r="O106" s="97">
        <f>IF(L106="","",ROUND($D106*VLOOKUP($A106,'⚪设计'!$A$364:$N$387,4,FALSE)/(IF($G106="",0,VLOOKUP($G106,'⚪设计'!$B$85:$H$113,4,FALSE)*$H106)+IF($L106="",0,VLOOKUP($L106,'⚪设计'!$B$85:$H$113,4,FALSE)*$M106)+IF($Q106="",0,VLOOKUP($Q106,'⚪设计'!$B$85:$H$113,4,FALSE)*$R106)+IF($V106="",0,VLOOKUP($V106,'⚪设计'!$B$85:$H$113,4,FALSE)*$W106))*IF(L106="",0,VLOOKUP(L106,'⚪设计'!$B$85:$H$113,4,FALSE)),0))</f>
        <v>540</v>
      </c>
      <c r="P106" s="97">
        <f>IF(L106="","",ROUND(战斗节奏!$B$14/(IF($G106="",0,VLOOKUP($G106,'⚪设计'!$B$85:$H$113,5,FALSE)*$H106)+IF($L106="",0,VLOOKUP($L106,'⚪设计'!$B$85:$H$113,5,FALSE)*$M106)+IF($Q106="",0,VLOOKUP($Q106,'⚪设计'!$B$85:$H$113,5,FALSE)*$R106)+IF($V106="",0,VLOOKUP($V106,'⚪设计'!$B$85:$H$113,5,FALSE)*$W106))*IF(L106="",0,VLOOKUP(L106,'⚪设计'!$B$85:$H$113,5,FALSE)),0))</f>
        <v>7</v>
      </c>
      <c r="Q106" s="97" t="str">
        <f>IF(VLOOKUP($A106,'⚪设计'!$A$364:$N$387,9,FALSE)="","",VLOOKUP($A106,'⚪设计'!$A$364:$N$387,9,FALSE))</f>
        <v>鬼1</v>
      </c>
      <c r="R106" s="97">
        <f t="shared" si="18"/>
        <v>10</v>
      </c>
      <c r="S106" s="97">
        <f>IF(VLOOKUP($A106,'⚪设计'!$A$364:$N$387,13,FALSE)="","",VLOOKUP($A106,'⚪设计'!$A$364:$N$387,13,FALSE))</f>
        <v>1.5</v>
      </c>
      <c r="T106" s="97">
        <f>IF(Q106="","",ROUND($D106*VLOOKUP($A106,'⚪设计'!$A$364:$N$387,4,FALSE)/(IF($G106="",0,VLOOKUP($G106,'⚪设计'!$B$85:$H$113,4,FALSE)*$H106)+IF($L106="",0,VLOOKUP($L106,'⚪设计'!$B$85:$H$113,4,FALSE)*$M106)+IF($Q106="",0,VLOOKUP($Q106,'⚪设计'!$B$85:$H$113,4,FALSE)*$R106)+IF($V106="",0,VLOOKUP($V106,'⚪设计'!$B$85:$H$113,4,FALSE)*$W106))*IF(Q106="",0,VLOOKUP(Q106,'⚪设计'!$B$85:$H$113,4,FALSE)),0))</f>
        <v>540</v>
      </c>
      <c r="U106" s="97">
        <f>IF(Q106="","",ROUND(战斗节奏!$B$14/(IF($G106="",0,VLOOKUP($G106,'⚪设计'!$B$85:$H$113,5,FALSE)*$H106)+IF($L106="",0,VLOOKUP($L106,'⚪设计'!$B$85:$H$113,5,FALSE)*$M106)+IF($Q106="",0,VLOOKUP($Q106,'⚪设计'!$B$85:$H$113,5,FALSE)*$R106)+IF($V106="",0,VLOOKUP($V106,'⚪设计'!$B$85:$H$113,5,FALSE)*$W106))*IF(Q106="",0,VLOOKUP(Q106,'⚪设计'!$B$85:$H$113,5,FALSE)),0))</f>
        <v>7</v>
      </c>
      <c r="V106" s="97" t="str">
        <f>IF(VLOOKUP($A106,'⚪设计'!$A$364:$N$387,10,FALSE)="","",VLOOKUP($A106,'⚪设计'!$A$364:$N$387,10,FALSE))</f>
        <v>乌龟2</v>
      </c>
      <c r="W106" s="97">
        <f t="shared" si="19"/>
        <v>8</v>
      </c>
      <c r="X106" s="97">
        <f>IF(VLOOKUP($A106,'⚪设计'!$A$364:$N$387,14,FALSE)="","",VLOOKUP($A106,'⚪设计'!$A$364:$N$387,14,FALSE))</f>
        <v>2</v>
      </c>
      <c r="Y106" s="97">
        <f>IF(V106="","",ROUND($D106*VLOOKUP($A106,'⚪设计'!$A$364:$N$387,4,FALSE)/(IF($G106="",0,VLOOKUP($G106,'⚪设计'!$B$85:$H$113,4,FALSE)*$H106)+IF($L106="",0,VLOOKUP($L106,'⚪设计'!$B$85:$H$113,4,FALSE)*$M106)+IF($Q106="",0,VLOOKUP($Q106,'⚪设计'!$B$85:$H$113,4,FALSE)*$R106)+IF($V106="",0,VLOOKUP($V106,'⚪设计'!$B$85:$H$113,4,FALSE)*$W106))*IF(V106="",0,VLOOKUP(V106,'⚪设计'!$B$85:$H$113,4,FALSE)),0))</f>
        <v>2160</v>
      </c>
      <c r="Z106" s="97">
        <f>IF(V106="","",ROUND(战斗节奏!$B$14/(IF($G106="",0,VLOOKUP($G106,'⚪设计'!$B$85:$H$113,5,FALSE)*$H106)+IF($L106="",0,VLOOKUP($L106,'⚪设计'!$B$85:$H$113,5,FALSE)*$M106)+IF($Q106="",0,VLOOKUP($Q106,'⚪设计'!$B$85:$H$113,5,FALSE)*$R106)+IF($V106="",0,VLOOKUP($V106,'⚪设计'!$B$85:$H$113,5,FALSE)*$W106))*IF(V106="",0,VLOOKUP(V106,'⚪设计'!$B$85:$H$113,5,FALSE)),0))</f>
        <v>14</v>
      </c>
    </row>
    <row r="107" spans="1:26" x14ac:dyDescent="0.2">
      <c r="A107" s="2" t="str">
        <f t="shared" si="15"/>
        <v>5_4</v>
      </c>
      <c r="B107" s="2">
        <v>5</v>
      </c>
      <c r="C107" s="2">
        <v>4</v>
      </c>
      <c r="D107" s="97">
        <f>VLOOKUP(C107,无限模式!$A$3:$B$22,2,FALSE)</f>
        <v>4500</v>
      </c>
      <c r="E107" s="98">
        <v>1</v>
      </c>
      <c r="F107" s="97">
        <f>VLOOKUP(A107,'⚪设计'!$A$364:$N$387,6,FALSE)</f>
        <v>17.5</v>
      </c>
      <c r="G107" s="97" t="str">
        <f>IF(VLOOKUP($A107,'⚪设计'!$A$364:$N$387,7,FALSE)="","",VLOOKUP($A107,'⚪设计'!$A$364:$N$387,7,FALSE))</f>
        <v>蛋2</v>
      </c>
      <c r="H107" s="97">
        <f t="shared" si="16"/>
        <v>12</v>
      </c>
      <c r="I107" s="97">
        <f>IF(VLOOKUP($A107,'⚪设计'!$A$364:$N$387,11,FALSE)="","",VLOOKUP($A107,'⚪设计'!$A$364:$N$387,11,FALSE))</f>
        <v>1.5</v>
      </c>
      <c r="J107" s="97">
        <f>IF(G107="","",ROUND($D107*VLOOKUP($A107,'⚪设计'!$A$364:$N$387,4,FALSE)/(IF($G107="",0,VLOOKUP($G107,'⚪设计'!$B$85:$H$113,4,FALSE)*$H107)+IF($L107="",0,VLOOKUP($L107,'⚪设计'!$B$85:$H$113,4,FALSE)*$M107)+IF($Q107="",0,VLOOKUP($Q107,'⚪设计'!$B$85:$H$113,4,FALSE)*$R107)+IF($V107="",0,VLOOKUP($V107,'⚪设计'!$B$85:$H$113,4,FALSE)*$W107))*IF(G107="",0,VLOOKUP(G107,'⚪设计'!$B$85:$H$113,4,FALSE)),0))</f>
        <v>908</v>
      </c>
      <c r="K107" s="97">
        <f>IF(G107="","",ROUND(战斗节奏!$B$14/(IF($G107="",0,VLOOKUP($G107,'⚪设计'!$B$85:$H$113,5,FALSE)*$H107)+IF($L107="",0,VLOOKUP($L107,'⚪设计'!$B$85:$H$113,5,FALSE)*$M107)+IF($Q107="",0,VLOOKUP($Q107,'⚪设计'!$B$85:$H$113,5,FALSE)*$R107)+IF($V107="",0,VLOOKUP($V107,'⚪设计'!$B$85:$H$113,5,FALSE)*$W107))*IF(G107="",0,VLOOKUP(G107,'⚪设计'!$B$85:$H$113,5,FALSE)),0))</f>
        <v>16</v>
      </c>
      <c r="L107" s="97" t="str">
        <f>IF(VLOOKUP($A107,'⚪设计'!$A$364:$N$387,8,FALSE)="","",VLOOKUP($A107,'⚪设计'!$A$364:$N$387,8,FALSE))</f>
        <v>鬼1</v>
      </c>
      <c r="M107" s="97">
        <f t="shared" si="17"/>
        <v>35</v>
      </c>
      <c r="N107" s="97">
        <f>IF(VLOOKUP($A107,'⚪设计'!$A$364:$N$387,12,FALSE)="","",VLOOKUP($A107,'⚪设计'!$A$364:$N$387,12,FALSE))</f>
        <v>0.5</v>
      </c>
      <c r="O107" s="97">
        <f>IF(L107="","",ROUND($D107*VLOOKUP($A107,'⚪设计'!$A$364:$N$387,4,FALSE)/(IF($G107="",0,VLOOKUP($G107,'⚪设计'!$B$85:$H$113,4,FALSE)*$H107)+IF($L107="",0,VLOOKUP($L107,'⚪设计'!$B$85:$H$113,4,FALSE)*$M107)+IF($Q107="",0,VLOOKUP($Q107,'⚪设计'!$B$85:$H$113,4,FALSE)*$R107)+IF($V107="",0,VLOOKUP($V107,'⚪设计'!$B$85:$H$113,4,FALSE)*$W107))*IF(L107="",0,VLOOKUP(L107,'⚪设计'!$B$85:$H$113,4,FALSE)),0))</f>
        <v>227</v>
      </c>
      <c r="P107" s="97">
        <f>IF(L107="","",ROUND(战斗节奏!$B$14/(IF($G107="",0,VLOOKUP($G107,'⚪设计'!$B$85:$H$113,5,FALSE)*$H107)+IF($L107="",0,VLOOKUP($L107,'⚪设计'!$B$85:$H$113,5,FALSE)*$M107)+IF($Q107="",0,VLOOKUP($Q107,'⚪设计'!$B$85:$H$113,5,FALSE)*$R107)+IF($V107="",0,VLOOKUP($V107,'⚪设计'!$B$85:$H$113,5,FALSE)*$W107))*IF(L107="",0,VLOOKUP(L107,'⚪设计'!$B$85:$H$113,5,FALSE)),0))</f>
        <v>8</v>
      </c>
      <c r="Q107" s="97" t="str">
        <f>IF(VLOOKUP($A107,'⚪设计'!$A$364:$N$387,9,FALSE)="","",VLOOKUP($A107,'⚪设计'!$A$364:$N$387,9,FALSE))</f>
        <v>乌龟2</v>
      </c>
      <c r="R107" s="97">
        <f t="shared" si="18"/>
        <v>9</v>
      </c>
      <c r="S107" s="97">
        <f>IF(VLOOKUP($A107,'⚪设计'!$A$364:$N$387,13,FALSE)="","",VLOOKUP($A107,'⚪设计'!$A$364:$N$387,13,FALSE))</f>
        <v>2</v>
      </c>
      <c r="T107" s="97">
        <f>IF(Q107="","",ROUND($D107*VLOOKUP($A107,'⚪设计'!$A$364:$N$387,4,FALSE)/(IF($G107="",0,VLOOKUP($G107,'⚪设计'!$B$85:$H$113,4,FALSE)*$H107)+IF($L107="",0,VLOOKUP($L107,'⚪设计'!$B$85:$H$113,4,FALSE)*$M107)+IF($Q107="",0,VLOOKUP($Q107,'⚪设计'!$B$85:$H$113,4,FALSE)*$R107)+IF($V107="",0,VLOOKUP($V107,'⚪设计'!$B$85:$H$113,4,FALSE)*$W107))*IF(Q107="",0,VLOOKUP(Q107,'⚪设计'!$B$85:$H$113,4,FALSE)),0))</f>
        <v>908</v>
      </c>
      <c r="U107" s="97">
        <f>IF(Q107="","",ROUND(战斗节奏!$B$14/(IF($G107="",0,VLOOKUP($G107,'⚪设计'!$B$85:$H$113,5,FALSE)*$H107)+IF($L107="",0,VLOOKUP($L107,'⚪设计'!$B$85:$H$113,5,FALSE)*$M107)+IF($Q107="",0,VLOOKUP($Q107,'⚪设计'!$B$85:$H$113,5,FALSE)*$R107)+IF($V107="",0,VLOOKUP($V107,'⚪设计'!$B$85:$H$113,5,FALSE)*$W107))*IF(Q107="",0,VLOOKUP(Q107,'⚪设计'!$B$85:$H$113,5,FALSE)),0))</f>
        <v>16</v>
      </c>
      <c r="V107" s="97" t="str">
        <f>IF(VLOOKUP($A107,'⚪设计'!$A$364:$N$387,10,FALSE)="","",VLOOKUP($A107,'⚪设计'!$A$364:$N$387,10,FALSE))</f>
        <v/>
      </c>
      <c r="W107" s="97" t="str">
        <f t="shared" si="19"/>
        <v/>
      </c>
      <c r="X107" s="97" t="str">
        <f>IF(VLOOKUP($A107,'⚪设计'!$A$364:$N$387,14,FALSE)="","",VLOOKUP($A107,'⚪设计'!$A$364:$N$387,14,FALSE))</f>
        <v/>
      </c>
      <c r="Y107" s="97" t="str">
        <f>IF(V107="","",ROUND($D107*VLOOKUP($A107,'⚪设计'!$A$364:$N$387,4,FALSE)/(IF($G107="",0,VLOOKUP($G107,'⚪设计'!$B$85:$H$113,4,FALSE)*$H107)+IF($L107="",0,VLOOKUP($L107,'⚪设计'!$B$85:$H$113,4,FALSE)*$M107)+IF($Q107="",0,VLOOKUP($Q107,'⚪设计'!$B$85:$H$113,4,FALSE)*$R107)+IF($V107="",0,VLOOKUP($V107,'⚪设计'!$B$85:$H$113,4,FALSE)*$W107))*IF(V107="",0,VLOOKUP(V107,'⚪设计'!$B$85:$H$113,4,FALSE)),0))</f>
        <v/>
      </c>
      <c r="Z107" s="97" t="str">
        <f>IF(V107="","",ROUND(战斗节奏!$B$14/(IF($G107="",0,VLOOKUP($G107,'⚪设计'!$B$85:$H$113,5,FALSE)*$H107)+IF($L107="",0,VLOOKUP($L107,'⚪设计'!$B$85:$H$113,5,FALSE)*$M107)+IF($Q107="",0,VLOOKUP($Q107,'⚪设计'!$B$85:$H$113,5,FALSE)*$R107)+IF($V107="",0,VLOOKUP($V107,'⚪设计'!$B$85:$H$113,5,FALSE)*$W107))*IF(V107="",0,VLOOKUP(V107,'⚪设计'!$B$85:$H$113,5,FALSE)),0))</f>
        <v/>
      </c>
    </row>
    <row r="108" spans="1:26" x14ac:dyDescent="0.2">
      <c r="A108" s="2" t="str">
        <f t="shared" si="15"/>
        <v>5_5</v>
      </c>
      <c r="B108" s="2">
        <v>5</v>
      </c>
      <c r="C108" s="2">
        <v>5</v>
      </c>
      <c r="D108" s="97">
        <f>VLOOKUP(C108,无限模式!$A$3:$B$22,2,FALSE)</f>
        <v>5400</v>
      </c>
      <c r="E108" s="98">
        <v>1</v>
      </c>
      <c r="F108" s="97">
        <f>VLOOKUP(A108,'⚪设计'!$A$364:$N$387,6,FALSE)</f>
        <v>20</v>
      </c>
      <c r="G108" s="97" t="str">
        <f>IF(VLOOKUP($A108,'⚪设计'!$A$364:$N$387,7,FALSE)="","",VLOOKUP($A108,'⚪设计'!$A$364:$N$387,7,FALSE))</f>
        <v>蛋2</v>
      </c>
      <c r="H108" s="97">
        <f t="shared" si="16"/>
        <v>13</v>
      </c>
      <c r="I108" s="97">
        <f>IF(VLOOKUP($A108,'⚪设计'!$A$364:$N$387,11,FALSE)="","",VLOOKUP($A108,'⚪设计'!$A$364:$N$387,11,FALSE))</f>
        <v>1.5</v>
      </c>
      <c r="J108" s="97">
        <f>IF(G108="","",ROUND($D108*VLOOKUP($A108,'⚪设计'!$A$364:$N$387,4,FALSE)/(IF($G108="",0,VLOOKUP($G108,'⚪设计'!$B$85:$H$113,4,FALSE)*$H108)+IF($L108="",0,VLOOKUP($L108,'⚪设计'!$B$85:$H$113,4,FALSE)*$M108)+IF($Q108="",0,VLOOKUP($Q108,'⚪设计'!$B$85:$H$113,4,FALSE)*$R108)+IF($V108="",0,VLOOKUP($V108,'⚪设计'!$B$85:$H$113,4,FALSE)*$W108))*IF(G108="",0,VLOOKUP(G108,'⚪设计'!$B$85:$H$113,4,FALSE)),0))</f>
        <v>642</v>
      </c>
      <c r="K108" s="97">
        <f>IF(G108="","",ROUND(战斗节奏!$B$14/(IF($G108="",0,VLOOKUP($G108,'⚪设计'!$B$85:$H$113,5,FALSE)*$H108)+IF($L108="",0,VLOOKUP($L108,'⚪设计'!$B$85:$H$113,5,FALSE)*$M108)+IF($Q108="",0,VLOOKUP($Q108,'⚪设计'!$B$85:$H$113,5,FALSE)*$R108)+IF($V108="",0,VLOOKUP($V108,'⚪设计'!$B$85:$H$113,5,FALSE)*$W108))*IF(G108="",0,VLOOKUP(G108,'⚪设计'!$B$85:$H$113,5,FALSE)),0))</f>
        <v>10</v>
      </c>
      <c r="L108" s="97" t="str">
        <f>IF(VLOOKUP($A108,'⚪设计'!$A$364:$N$387,8,FALSE)="","",VLOOKUP($A108,'⚪设计'!$A$364:$N$387,8,FALSE))</f>
        <v>鬼1</v>
      </c>
      <c r="M108" s="97">
        <f t="shared" si="17"/>
        <v>40</v>
      </c>
      <c r="N108" s="97">
        <f>IF(VLOOKUP($A108,'⚪设计'!$A$364:$N$387,12,FALSE)="","",VLOOKUP($A108,'⚪设计'!$A$364:$N$387,12,FALSE))</f>
        <v>0.5</v>
      </c>
      <c r="O108" s="97">
        <f>IF(L108="","",ROUND($D108*VLOOKUP($A108,'⚪设计'!$A$364:$N$387,4,FALSE)/(IF($G108="",0,VLOOKUP($G108,'⚪设计'!$B$85:$H$113,4,FALSE)*$H108)+IF($L108="",0,VLOOKUP($L108,'⚪设计'!$B$85:$H$113,4,FALSE)*$M108)+IF($Q108="",0,VLOOKUP($Q108,'⚪设计'!$B$85:$H$113,4,FALSE)*$R108)+IF($V108="",0,VLOOKUP($V108,'⚪设计'!$B$85:$H$113,4,FALSE)*$W108))*IF(L108="",0,VLOOKUP(L108,'⚪设计'!$B$85:$H$113,4,FALSE)),0))</f>
        <v>160</v>
      </c>
      <c r="P108" s="97">
        <f>IF(L108="","",ROUND(战斗节奏!$B$14/(IF($G108="",0,VLOOKUP($G108,'⚪设计'!$B$85:$H$113,5,FALSE)*$H108)+IF($L108="",0,VLOOKUP($L108,'⚪设计'!$B$85:$H$113,5,FALSE)*$M108)+IF($Q108="",0,VLOOKUP($Q108,'⚪设计'!$B$85:$H$113,5,FALSE)*$R108)+IF($V108="",0,VLOOKUP($V108,'⚪设计'!$B$85:$H$113,5,FALSE)*$W108))*IF(L108="",0,VLOOKUP(L108,'⚪设计'!$B$85:$H$113,5,FALSE)),0))</f>
        <v>5</v>
      </c>
      <c r="Q108" s="97" t="str">
        <f>IF(VLOOKUP($A108,'⚪设计'!$A$364:$N$387,9,FALSE)="","",VLOOKUP($A108,'⚪设计'!$A$364:$N$387,9,FALSE))</f>
        <v>种子1</v>
      </c>
      <c r="R108" s="97">
        <f t="shared" si="18"/>
        <v>10</v>
      </c>
      <c r="S108" s="97">
        <f>IF(VLOOKUP($A108,'⚪设计'!$A$364:$N$387,13,FALSE)="","",VLOOKUP($A108,'⚪设计'!$A$364:$N$387,13,FALSE))</f>
        <v>2</v>
      </c>
      <c r="T108" s="97">
        <f>IF(Q108="","",ROUND($D108*VLOOKUP($A108,'⚪设计'!$A$364:$N$387,4,FALSE)/(IF($G108="",0,VLOOKUP($G108,'⚪设计'!$B$85:$H$113,4,FALSE)*$H108)+IF($L108="",0,VLOOKUP($L108,'⚪设计'!$B$85:$H$113,4,FALSE)*$M108)+IF($Q108="",0,VLOOKUP($Q108,'⚪设计'!$B$85:$H$113,4,FALSE)*$R108)+IF($V108="",0,VLOOKUP($V108,'⚪设计'!$B$85:$H$113,4,FALSE)*$W108))*IF(Q108="",0,VLOOKUP(Q108,'⚪设计'!$B$85:$H$113,4,FALSE)),0))</f>
        <v>481</v>
      </c>
      <c r="U108" s="97">
        <f>IF(Q108="","",ROUND(战斗节奏!$B$14/(IF($G108="",0,VLOOKUP($G108,'⚪设计'!$B$85:$H$113,5,FALSE)*$H108)+IF($L108="",0,VLOOKUP($L108,'⚪设计'!$B$85:$H$113,5,FALSE)*$M108)+IF($Q108="",0,VLOOKUP($Q108,'⚪设计'!$B$85:$H$113,5,FALSE)*$R108)+IF($V108="",0,VLOOKUP($V108,'⚪设计'!$B$85:$H$113,5,FALSE)*$W108))*IF(Q108="",0,VLOOKUP(Q108,'⚪设计'!$B$85:$H$113,5,FALSE)),0))</f>
        <v>10</v>
      </c>
      <c r="V108" s="97" t="str">
        <f>IF(VLOOKUP($A108,'⚪设计'!$A$364:$N$387,10,FALSE)="","",VLOOKUP($A108,'⚪设计'!$A$364:$N$387,10,FALSE))</f>
        <v>乌龟2</v>
      </c>
      <c r="W108" s="97">
        <f t="shared" si="19"/>
        <v>20</v>
      </c>
      <c r="X108" s="97">
        <f>IF(VLOOKUP($A108,'⚪设计'!$A$364:$N$387,14,FALSE)="","",VLOOKUP($A108,'⚪设计'!$A$364:$N$387,14,FALSE))</f>
        <v>1</v>
      </c>
      <c r="Y108" s="97">
        <f>IF(V108="","",ROUND($D108*VLOOKUP($A108,'⚪设计'!$A$364:$N$387,4,FALSE)/(IF($G108="",0,VLOOKUP($G108,'⚪设计'!$B$85:$H$113,4,FALSE)*$H108)+IF($L108="",0,VLOOKUP($L108,'⚪设计'!$B$85:$H$113,4,FALSE)*$M108)+IF($Q108="",0,VLOOKUP($Q108,'⚪设计'!$B$85:$H$113,4,FALSE)*$R108)+IF($V108="",0,VLOOKUP($V108,'⚪设计'!$B$85:$H$113,4,FALSE)*$W108))*IF(V108="",0,VLOOKUP(V108,'⚪设计'!$B$85:$H$113,4,FALSE)),0))</f>
        <v>642</v>
      </c>
      <c r="Z108" s="97">
        <f>IF(V108="","",ROUND(战斗节奏!$B$14/(IF($G108="",0,VLOOKUP($G108,'⚪设计'!$B$85:$H$113,5,FALSE)*$H108)+IF($L108="",0,VLOOKUP($L108,'⚪设计'!$B$85:$H$113,5,FALSE)*$M108)+IF($Q108="",0,VLOOKUP($Q108,'⚪设计'!$B$85:$H$113,5,FALSE)*$R108)+IF($V108="",0,VLOOKUP($V108,'⚪设计'!$B$85:$H$113,5,FALSE)*$W108))*IF(V108="",0,VLOOKUP(V108,'⚪设计'!$B$85:$H$113,5,FALSE)),0))</f>
        <v>10</v>
      </c>
    </row>
    <row r="109" spans="1:26" x14ac:dyDescent="0.2">
      <c r="A109" s="2" t="str">
        <f t="shared" si="15"/>
        <v>5_6</v>
      </c>
      <c r="B109" s="2">
        <v>5</v>
      </c>
      <c r="C109" s="2">
        <v>6</v>
      </c>
      <c r="D109" s="97">
        <f>VLOOKUP(C109,无限模式!$A$3:$B$22,2,FALSE)</f>
        <v>7200</v>
      </c>
      <c r="E109" s="98">
        <v>1</v>
      </c>
      <c r="F109" s="97">
        <f>VLOOKUP(A109,'⚪设计'!$A$364:$N$387,6,FALSE)</f>
        <v>22.5</v>
      </c>
      <c r="G109" s="97" t="str">
        <f>IF(VLOOKUP($A109,'⚪设计'!$A$364:$N$387,7,FALSE)="","",VLOOKUP($A109,'⚪设计'!$A$364:$N$387,7,FALSE))</f>
        <v>蛋2</v>
      </c>
      <c r="H109" s="97">
        <f t="shared" si="16"/>
        <v>15</v>
      </c>
      <c r="I109" s="97">
        <f>IF(VLOOKUP($A109,'⚪设计'!$A$364:$N$387,11,FALSE)="","",VLOOKUP($A109,'⚪设计'!$A$364:$N$387,11,FALSE))</f>
        <v>1.5</v>
      </c>
      <c r="J109" s="97">
        <f>IF(G109="","",ROUND($D109*VLOOKUP($A109,'⚪设计'!$A$364:$N$387,4,FALSE)/(IF($G109="",0,VLOOKUP($G109,'⚪设计'!$B$85:$H$113,4,FALSE)*$H109)+IF($L109="",0,VLOOKUP($L109,'⚪设计'!$B$85:$H$113,4,FALSE)*$M109)+IF($Q109="",0,VLOOKUP($Q109,'⚪设计'!$B$85:$H$113,4,FALSE)*$R109)+IF($V109="",0,VLOOKUP($V109,'⚪设计'!$B$85:$H$113,4,FALSE)*$W109))*IF(G109="",0,VLOOKUP(G109,'⚪设计'!$B$85:$H$113,4,FALSE)),0))</f>
        <v>929</v>
      </c>
      <c r="K109" s="97">
        <f>IF(G109="","",ROUND(战斗节奏!$B$14/(IF($G109="",0,VLOOKUP($G109,'⚪设计'!$B$85:$H$113,5,FALSE)*$H109)+IF($L109="",0,VLOOKUP($L109,'⚪设计'!$B$85:$H$113,5,FALSE)*$M109)+IF($Q109="",0,VLOOKUP($Q109,'⚪设计'!$B$85:$H$113,5,FALSE)*$R109)+IF($V109="",0,VLOOKUP($V109,'⚪设计'!$B$85:$H$113,5,FALSE)*$W109))*IF(G109="",0,VLOOKUP(G109,'⚪设计'!$B$85:$H$113,5,FALSE)),0))</f>
        <v>11</v>
      </c>
      <c r="L109" s="97" t="str">
        <f>IF(VLOOKUP($A109,'⚪设计'!$A$364:$N$387,8,FALSE)="","",VLOOKUP($A109,'⚪设计'!$A$364:$N$387,8,FALSE))</f>
        <v>种子2</v>
      </c>
      <c r="M109" s="97">
        <f t="shared" si="17"/>
        <v>11</v>
      </c>
      <c r="N109" s="97">
        <f>IF(VLOOKUP($A109,'⚪设计'!$A$364:$N$387,12,FALSE)="","",VLOOKUP($A109,'⚪设计'!$A$364:$N$387,12,FALSE))</f>
        <v>2</v>
      </c>
      <c r="O109" s="97">
        <f>IF(L109="","",ROUND($D109*VLOOKUP($A109,'⚪设计'!$A$364:$N$387,4,FALSE)/(IF($G109="",0,VLOOKUP($G109,'⚪设计'!$B$85:$H$113,4,FALSE)*$H109)+IF($L109="",0,VLOOKUP($L109,'⚪设计'!$B$85:$H$113,4,FALSE)*$M109)+IF($Q109="",0,VLOOKUP($Q109,'⚪设计'!$B$85:$H$113,4,FALSE)*$R109)+IF($V109="",0,VLOOKUP($V109,'⚪设计'!$B$85:$H$113,4,FALSE)*$W109))*IF(L109="",0,VLOOKUP(L109,'⚪设计'!$B$85:$H$113,4,FALSE)),0))</f>
        <v>1394</v>
      </c>
      <c r="P109" s="97">
        <f>IF(L109="","",ROUND(战斗节奏!$B$14/(IF($G109="",0,VLOOKUP($G109,'⚪设计'!$B$85:$H$113,5,FALSE)*$H109)+IF($L109="",0,VLOOKUP($L109,'⚪设计'!$B$85:$H$113,5,FALSE)*$M109)+IF($Q109="",0,VLOOKUP($Q109,'⚪设计'!$B$85:$H$113,5,FALSE)*$R109)+IF($V109="",0,VLOOKUP($V109,'⚪设计'!$B$85:$H$113,5,FALSE)*$W109))*IF(L109="",0,VLOOKUP(L109,'⚪设计'!$B$85:$H$113,5,FALSE)),0))</f>
        <v>11</v>
      </c>
      <c r="Q109" s="97" t="str">
        <f>IF(VLOOKUP($A109,'⚪设计'!$A$364:$N$387,9,FALSE)="","",VLOOKUP($A109,'⚪设计'!$A$364:$N$387,9,FALSE))</f>
        <v>蜘蛛2</v>
      </c>
      <c r="R109" s="97">
        <f t="shared" si="18"/>
        <v>15</v>
      </c>
      <c r="S109" s="97">
        <f>IF(VLOOKUP($A109,'⚪设计'!$A$364:$N$387,13,FALSE)="","",VLOOKUP($A109,'⚪设计'!$A$364:$N$387,13,FALSE))</f>
        <v>1.5</v>
      </c>
      <c r="T109" s="97">
        <f>IF(Q109="","",ROUND($D109*VLOOKUP($A109,'⚪设计'!$A$364:$N$387,4,FALSE)/(IF($G109="",0,VLOOKUP($G109,'⚪设计'!$B$85:$H$113,4,FALSE)*$H109)+IF($L109="",0,VLOOKUP($L109,'⚪设计'!$B$85:$H$113,4,FALSE)*$M109)+IF($Q109="",0,VLOOKUP($Q109,'⚪设计'!$B$85:$H$113,4,FALSE)*$R109)+IF($V109="",0,VLOOKUP($V109,'⚪设计'!$B$85:$H$113,4,FALSE)*$W109))*IF(Q109="",0,VLOOKUP(Q109,'⚪设计'!$B$85:$H$113,4,FALSE)),0))</f>
        <v>465</v>
      </c>
      <c r="U109" s="97">
        <f>IF(Q109="","",ROUND(战斗节奏!$B$14/(IF($G109="",0,VLOOKUP($G109,'⚪设计'!$B$85:$H$113,5,FALSE)*$H109)+IF($L109="",0,VLOOKUP($L109,'⚪设计'!$B$85:$H$113,5,FALSE)*$M109)+IF($Q109="",0,VLOOKUP($Q109,'⚪设计'!$B$85:$H$113,5,FALSE)*$R109)+IF($V109="",0,VLOOKUP($V109,'⚪设计'!$B$85:$H$113,5,FALSE)*$W109))*IF(Q109="",0,VLOOKUP(Q109,'⚪设计'!$B$85:$H$113,5,FALSE)),0))</f>
        <v>5</v>
      </c>
      <c r="V109" s="97" t="str">
        <f>IF(VLOOKUP($A109,'⚪设计'!$A$364:$N$387,10,FALSE)="","",VLOOKUP($A109,'⚪设计'!$A$364:$N$387,10,FALSE))</f>
        <v>乌龟2</v>
      </c>
      <c r="W109" s="97">
        <f t="shared" si="19"/>
        <v>23</v>
      </c>
      <c r="X109" s="97">
        <f>IF(VLOOKUP($A109,'⚪设计'!$A$364:$N$387,14,FALSE)="","",VLOOKUP($A109,'⚪设计'!$A$364:$N$387,14,FALSE))</f>
        <v>1</v>
      </c>
      <c r="Y109" s="97">
        <f>IF(V109="","",ROUND($D109*VLOOKUP($A109,'⚪设计'!$A$364:$N$387,4,FALSE)/(IF($G109="",0,VLOOKUP($G109,'⚪设计'!$B$85:$H$113,4,FALSE)*$H109)+IF($L109="",0,VLOOKUP($L109,'⚪设计'!$B$85:$H$113,4,FALSE)*$M109)+IF($Q109="",0,VLOOKUP($Q109,'⚪设计'!$B$85:$H$113,4,FALSE)*$R109)+IF($V109="",0,VLOOKUP($V109,'⚪设计'!$B$85:$H$113,4,FALSE)*$W109))*IF(V109="",0,VLOOKUP(V109,'⚪设计'!$B$85:$H$113,4,FALSE)),0))</f>
        <v>929</v>
      </c>
      <c r="Z109" s="97">
        <f>IF(V109="","",ROUND(战斗节奏!$B$14/(IF($G109="",0,VLOOKUP($G109,'⚪设计'!$B$85:$H$113,5,FALSE)*$H109)+IF($L109="",0,VLOOKUP($L109,'⚪设计'!$B$85:$H$113,5,FALSE)*$M109)+IF($Q109="",0,VLOOKUP($Q109,'⚪设计'!$B$85:$H$113,5,FALSE)*$R109)+IF($V109="",0,VLOOKUP($V109,'⚪设计'!$B$85:$H$113,5,FALSE)*$W109))*IF(V109="",0,VLOOKUP(V109,'⚪设计'!$B$85:$H$113,5,FALSE)),0))</f>
        <v>11</v>
      </c>
    </row>
    <row r="110" spans="1:26" x14ac:dyDescent="0.2">
      <c r="A110" s="2" t="str">
        <f t="shared" si="15"/>
        <v>5_7</v>
      </c>
      <c r="B110" s="2">
        <v>5</v>
      </c>
      <c r="C110" s="2">
        <v>7</v>
      </c>
      <c r="D110" s="97">
        <f>VLOOKUP(C110,无限模式!$A$3:$B$22,2,FALSE)</f>
        <v>8100</v>
      </c>
      <c r="E110" s="98">
        <v>1</v>
      </c>
      <c r="F110" s="97">
        <f>VLOOKUP(A110,'⚪设计'!$A$364:$N$387,6,FALSE)</f>
        <v>25</v>
      </c>
      <c r="G110" s="97" t="str">
        <f>IF(VLOOKUP($A110,'⚪设计'!$A$364:$N$387,7,FALSE)="","",VLOOKUP($A110,'⚪设计'!$A$364:$N$387,7,FALSE))</f>
        <v>蛋2</v>
      </c>
      <c r="H110" s="97">
        <f t="shared" si="16"/>
        <v>25</v>
      </c>
      <c r="I110" s="97">
        <f>IF(VLOOKUP($A110,'⚪设计'!$A$364:$N$387,11,FALSE)="","",VLOOKUP($A110,'⚪设计'!$A$364:$N$387,11,FALSE))</f>
        <v>1</v>
      </c>
      <c r="J110" s="97">
        <f>IF(G110="","",ROUND($D110*VLOOKUP($A110,'⚪设计'!$A$364:$N$387,4,FALSE)/(IF($G110="",0,VLOOKUP($G110,'⚪设计'!$B$85:$H$113,4,FALSE)*$H110)+IF($L110="",0,VLOOKUP($L110,'⚪设计'!$B$85:$H$113,4,FALSE)*$M110)+IF($Q110="",0,VLOOKUP($Q110,'⚪设计'!$B$85:$H$113,4,FALSE)*$R110)+IF($V110="",0,VLOOKUP($V110,'⚪设计'!$B$85:$H$113,4,FALSE)*$W110))*IF(G110="",0,VLOOKUP(G110,'⚪设计'!$B$85:$H$113,4,FALSE)),0))</f>
        <v>864</v>
      </c>
      <c r="K110" s="97">
        <f>IF(G110="","",ROUND(战斗节奏!$B$14/(IF($G110="",0,VLOOKUP($G110,'⚪设计'!$B$85:$H$113,5,FALSE)*$H110)+IF($L110="",0,VLOOKUP($L110,'⚪设计'!$B$85:$H$113,5,FALSE)*$M110)+IF($Q110="",0,VLOOKUP($Q110,'⚪设计'!$B$85:$H$113,5,FALSE)*$R110)+IF($V110="",0,VLOOKUP($V110,'⚪设计'!$B$85:$H$113,5,FALSE)*$W110))*IF(G110="",0,VLOOKUP(G110,'⚪设计'!$B$85:$H$113,5,FALSE)),0))</f>
        <v>6</v>
      </c>
      <c r="L110" s="97" t="str">
        <f>IF(VLOOKUP($A110,'⚪设计'!$A$364:$N$387,8,FALSE)="","",VLOOKUP($A110,'⚪设计'!$A$364:$N$387,8,FALSE))</f>
        <v>鬼2</v>
      </c>
      <c r="M110" s="97">
        <f t="shared" si="17"/>
        <v>25</v>
      </c>
      <c r="N110" s="97">
        <f>IF(VLOOKUP($A110,'⚪设计'!$A$364:$N$387,12,FALSE)="","",VLOOKUP($A110,'⚪设计'!$A$364:$N$387,12,FALSE))</f>
        <v>1</v>
      </c>
      <c r="O110" s="97">
        <f>IF(L110="","",ROUND($D110*VLOOKUP($A110,'⚪设计'!$A$364:$N$387,4,FALSE)/(IF($G110="",0,VLOOKUP($G110,'⚪设计'!$B$85:$H$113,4,FALSE)*$H110)+IF($L110="",0,VLOOKUP($L110,'⚪设计'!$B$85:$H$113,4,FALSE)*$M110)+IF($Q110="",0,VLOOKUP($Q110,'⚪设计'!$B$85:$H$113,4,FALSE)*$R110)+IF($V110="",0,VLOOKUP($V110,'⚪设计'!$B$85:$H$113,4,FALSE)*$W110))*IF(L110="",0,VLOOKUP(L110,'⚪设计'!$B$85:$H$113,4,FALSE)),0))</f>
        <v>432</v>
      </c>
      <c r="P110" s="97">
        <f>IF(L110="","",ROUND(战斗节奏!$B$14/(IF($G110="",0,VLOOKUP($G110,'⚪设计'!$B$85:$H$113,5,FALSE)*$H110)+IF($L110="",0,VLOOKUP($L110,'⚪设计'!$B$85:$H$113,5,FALSE)*$M110)+IF($Q110="",0,VLOOKUP($Q110,'⚪设计'!$B$85:$H$113,5,FALSE)*$R110)+IF($V110="",0,VLOOKUP($V110,'⚪设计'!$B$85:$H$113,5,FALSE)*$W110))*IF(L110="",0,VLOOKUP(L110,'⚪设计'!$B$85:$H$113,5,FALSE)),0))</f>
        <v>3</v>
      </c>
      <c r="Q110" s="97" t="str">
        <f>IF(VLOOKUP($A110,'⚪设计'!$A$364:$N$387,9,FALSE)="","",VLOOKUP($A110,'⚪设计'!$A$364:$N$387,9,FALSE))</f>
        <v>蝙蝠2</v>
      </c>
      <c r="R110" s="97">
        <f t="shared" si="18"/>
        <v>125</v>
      </c>
      <c r="S110" s="97">
        <f>IF(VLOOKUP($A110,'⚪设计'!$A$364:$N$387,13,FALSE)="","",VLOOKUP($A110,'⚪设计'!$A$364:$N$387,13,FALSE))</f>
        <v>0.2</v>
      </c>
      <c r="T110" s="97">
        <f>IF(Q110="","",ROUND($D110*VLOOKUP($A110,'⚪设计'!$A$364:$N$387,4,FALSE)/(IF($G110="",0,VLOOKUP($G110,'⚪设计'!$B$85:$H$113,4,FALSE)*$H110)+IF($L110="",0,VLOOKUP($L110,'⚪设计'!$B$85:$H$113,4,FALSE)*$M110)+IF($Q110="",0,VLOOKUP($Q110,'⚪设计'!$B$85:$H$113,4,FALSE)*$R110)+IF($V110="",0,VLOOKUP($V110,'⚪设计'!$B$85:$H$113,4,FALSE)*$W110))*IF(Q110="",0,VLOOKUP(Q110,'⚪设计'!$B$85:$H$113,4,FALSE)),0))</f>
        <v>216</v>
      </c>
      <c r="U110" s="97">
        <f>IF(Q110="","",ROUND(战斗节奏!$B$14/(IF($G110="",0,VLOOKUP($G110,'⚪设计'!$B$85:$H$113,5,FALSE)*$H110)+IF($L110="",0,VLOOKUP($L110,'⚪设计'!$B$85:$H$113,5,FALSE)*$M110)+IF($Q110="",0,VLOOKUP($Q110,'⚪设计'!$B$85:$H$113,5,FALSE)*$R110)+IF($V110="",0,VLOOKUP($V110,'⚪设计'!$B$85:$H$113,5,FALSE)*$W110))*IF(Q110="",0,VLOOKUP(Q110,'⚪设计'!$B$85:$H$113,5,FALSE)),0))</f>
        <v>2</v>
      </c>
      <c r="V110" s="97" t="str">
        <f>IF(VLOOKUP($A110,'⚪设计'!$A$364:$N$387,10,FALSE)="","",VLOOKUP($A110,'⚪设计'!$A$364:$N$387,10,FALSE))</f>
        <v>乌龟2</v>
      </c>
      <c r="W110" s="97">
        <f t="shared" si="19"/>
        <v>25</v>
      </c>
      <c r="X110" s="97">
        <f>IF(VLOOKUP($A110,'⚪设计'!$A$364:$N$387,14,FALSE)="","",VLOOKUP($A110,'⚪设计'!$A$364:$N$387,14,FALSE))</f>
        <v>1</v>
      </c>
      <c r="Y110" s="97">
        <f>IF(V110="","",ROUND($D110*VLOOKUP($A110,'⚪设计'!$A$364:$N$387,4,FALSE)/(IF($G110="",0,VLOOKUP($G110,'⚪设计'!$B$85:$H$113,4,FALSE)*$H110)+IF($L110="",0,VLOOKUP($L110,'⚪设计'!$B$85:$H$113,4,FALSE)*$M110)+IF($Q110="",0,VLOOKUP($Q110,'⚪设计'!$B$85:$H$113,4,FALSE)*$R110)+IF($V110="",0,VLOOKUP($V110,'⚪设计'!$B$85:$H$113,4,FALSE)*$W110))*IF(V110="",0,VLOOKUP(V110,'⚪设计'!$B$85:$H$113,4,FALSE)),0))</f>
        <v>864</v>
      </c>
      <c r="Z110" s="97">
        <f>IF(V110="","",ROUND(战斗节奏!$B$14/(IF($G110="",0,VLOOKUP($G110,'⚪设计'!$B$85:$H$113,5,FALSE)*$H110)+IF($L110="",0,VLOOKUP($L110,'⚪设计'!$B$85:$H$113,5,FALSE)*$M110)+IF($Q110="",0,VLOOKUP($Q110,'⚪设计'!$B$85:$H$113,5,FALSE)*$R110)+IF($V110="",0,VLOOKUP($V110,'⚪设计'!$B$85:$H$113,5,FALSE)*$W110))*IF(V110="",0,VLOOKUP(V110,'⚪设计'!$B$85:$H$113,5,FALSE)),0))</f>
        <v>6</v>
      </c>
    </row>
    <row r="111" spans="1:26" x14ac:dyDescent="0.2">
      <c r="A111" s="2" t="str">
        <f t="shared" si="15"/>
        <v>5_8</v>
      </c>
      <c r="B111" s="2">
        <v>5</v>
      </c>
      <c r="C111" s="2">
        <v>8</v>
      </c>
      <c r="D111" s="97">
        <f>VLOOKUP(C111,无限模式!$A$3:$B$22,2,FALSE)</f>
        <v>9000</v>
      </c>
      <c r="E111" s="98">
        <v>1</v>
      </c>
      <c r="F111" s="97">
        <f>VLOOKUP(A111,'⚪设计'!$A$364:$N$387,6,FALSE)</f>
        <v>27.5</v>
      </c>
      <c r="G111" s="97" t="str">
        <f>IF(VLOOKUP($A111,'⚪设计'!$A$364:$N$387,7,FALSE)="","",VLOOKUP($A111,'⚪设计'!$A$364:$N$387,7,FALSE))</f>
        <v>蛋3</v>
      </c>
      <c r="H111" s="97">
        <f t="shared" si="16"/>
        <v>1</v>
      </c>
      <c r="I111" s="97">
        <f>IF(VLOOKUP($A111,'⚪设计'!$A$364:$N$387,11,FALSE)="","",VLOOKUP($A111,'⚪设计'!$A$364:$N$387,11,FALSE))</f>
        <v>0</v>
      </c>
      <c r="J111" s="97">
        <f>IF(G111="","",ROUND($D111*VLOOKUP($A111,'⚪设计'!$A$364:$N$387,4,FALSE)/(IF($G111="",0,VLOOKUP($G111,'⚪设计'!$B$85:$H$113,4,FALSE)*$H111)+IF($L111="",0,VLOOKUP($L111,'⚪设计'!$B$85:$H$113,4,FALSE)*$M111)+IF($Q111="",0,VLOOKUP($Q111,'⚪设计'!$B$85:$H$113,4,FALSE)*$R111)+IF($V111="",0,VLOOKUP($V111,'⚪设计'!$B$85:$H$113,4,FALSE)*$W111))*IF(G111="",0,VLOOKUP(G111,'⚪设计'!$B$85:$H$113,4,FALSE)),0))</f>
        <v>26777</v>
      </c>
      <c r="K111" s="97">
        <f>IF(G111="","",ROUND(战斗节奏!$B$14/(IF($G111="",0,VLOOKUP($G111,'⚪设计'!$B$85:$H$113,5,FALSE)*$H111)+IF($L111="",0,VLOOKUP($L111,'⚪设计'!$B$85:$H$113,5,FALSE)*$M111)+IF($Q111="",0,VLOOKUP($Q111,'⚪设计'!$B$85:$H$113,5,FALSE)*$R111)+IF($V111="",0,VLOOKUP($V111,'⚪设计'!$B$85:$H$113,5,FALSE)*$W111))*IF(G111="",0,VLOOKUP(G111,'⚪设计'!$B$85:$H$113,5,FALSE)),0))</f>
        <v>192</v>
      </c>
      <c r="L111" s="97" t="str">
        <f>IF(VLOOKUP($A111,'⚪设计'!$A$364:$N$387,8,FALSE)="","",VLOOKUP($A111,'⚪设计'!$A$364:$N$387,8,FALSE))</f>
        <v>鬼2</v>
      </c>
      <c r="M111" s="97">
        <f t="shared" si="17"/>
        <v>55</v>
      </c>
      <c r="N111" s="97">
        <f>IF(VLOOKUP($A111,'⚪设计'!$A$364:$N$387,12,FALSE)="","",VLOOKUP($A111,'⚪设计'!$A$364:$N$387,12,FALSE))</f>
        <v>0.5</v>
      </c>
      <c r="O111" s="97">
        <f>IF(L111="","",ROUND($D111*VLOOKUP($A111,'⚪设计'!$A$364:$N$387,4,FALSE)/(IF($G111="",0,VLOOKUP($G111,'⚪设计'!$B$85:$H$113,4,FALSE)*$H111)+IF($L111="",0,VLOOKUP($L111,'⚪设计'!$B$85:$H$113,4,FALSE)*$M111)+IF($Q111="",0,VLOOKUP($Q111,'⚪设计'!$B$85:$H$113,4,FALSE)*$R111)+IF($V111="",0,VLOOKUP($V111,'⚪设计'!$B$85:$H$113,4,FALSE)*$W111))*IF(L111="",0,VLOOKUP(L111,'⚪设计'!$B$85:$H$113,4,FALSE)),0))</f>
        <v>1339</v>
      </c>
      <c r="P111" s="97">
        <f>IF(L111="","",ROUND(战斗节奏!$B$14/(IF($G111="",0,VLOOKUP($G111,'⚪设计'!$B$85:$H$113,5,FALSE)*$H111)+IF($L111="",0,VLOOKUP($L111,'⚪设计'!$B$85:$H$113,5,FALSE)*$M111)+IF($Q111="",0,VLOOKUP($Q111,'⚪设计'!$B$85:$H$113,5,FALSE)*$R111)+IF($V111="",0,VLOOKUP($V111,'⚪设计'!$B$85:$H$113,5,FALSE)*$W111))*IF(L111="",0,VLOOKUP(L111,'⚪设计'!$B$85:$H$113,5,FALSE)),0))</f>
        <v>5</v>
      </c>
      <c r="Q111" s="97" t="str">
        <f>IF(VLOOKUP($A111,'⚪设计'!$A$364:$N$387,9,FALSE)="","",VLOOKUP($A111,'⚪设计'!$A$364:$N$387,9,FALSE))</f>
        <v>种子2</v>
      </c>
      <c r="R111" s="97">
        <f t="shared" si="18"/>
        <v>14</v>
      </c>
      <c r="S111" s="97">
        <f>IF(VLOOKUP($A111,'⚪设计'!$A$364:$N$387,13,FALSE)="","",VLOOKUP($A111,'⚪设计'!$A$364:$N$387,13,FALSE))</f>
        <v>2</v>
      </c>
      <c r="T111" s="97">
        <f>IF(Q111="","",ROUND($D111*VLOOKUP($A111,'⚪设计'!$A$364:$N$387,4,FALSE)/(IF($G111="",0,VLOOKUP($G111,'⚪设计'!$B$85:$H$113,4,FALSE)*$H111)+IF($L111="",0,VLOOKUP($L111,'⚪设计'!$B$85:$H$113,4,FALSE)*$M111)+IF($Q111="",0,VLOOKUP($Q111,'⚪设计'!$B$85:$H$113,4,FALSE)*$R111)+IF($V111="",0,VLOOKUP($V111,'⚪设计'!$B$85:$H$113,4,FALSE)*$W111))*IF(Q111="",0,VLOOKUP(Q111,'⚪设计'!$B$85:$H$113,4,FALSE)),0))</f>
        <v>4017</v>
      </c>
      <c r="U111" s="97">
        <f>IF(Q111="","",ROUND(战斗节奏!$B$14/(IF($G111="",0,VLOOKUP($G111,'⚪设计'!$B$85:$H$113,5,FALSE)*$H111)+IF($L111="",0,VLOOKUP($L111,'⚪设计'!$B$85:$H$113,5,FALSE)*$M111)+IF($Q111="",0,VLOOKUP($Q111,'⚪设计'!$B$85:$H$113,5,FALSE)*$R111)+IF($V111="",0,VLOOKUP($V111,'⚪设计'!$B$85:$H$113,5,FALSE)*$W111))*IF(Q111="",0,VLOOKUP(Q111,'⚪设计'!$B$85:$H$113,5,FALSE)),0))</f>
        <v>10</v>
      </c>
      <c r="V111" s="97" t="str">
        <f>IF(VLOOKUP($A111,'⚪设计'!$A$364:$N$387,10,FALSE)="","",VLOOKUP($A111,'⚪设计'!$A$364:$N$387,10,FALSE))</f>
        <v>乌龟3</v>
      </c>
      <c r="W111" s="97">
        <f t="shared" si="19"/>
        <v>1</v>
      </c>
      <c r="X111" s="97">
        <f>IF(VLOOKUP($A111,'⚪设计'!$A$364:$N$387,14,FALSE)="","",VLOOKUP($A111,'⚪设计'!$A$364:$N$387,14,FALSE))</f>
        <v>0</v>
      </c>
      <c r="Y111" s="97">
        <f>IF(V111="","",ROUND($D111*VLOOKUP($A111,'⚪设计'!$A$364:$N$387,4,FALSE)/(IF($G111="",0,VLOOKUP($G111,'⚪设计'!$B$85:$H$113,4,FALSE)*$H111)+IF($L111="",0,VLOOKUP($L111,'⚪设计'!$B$85:$H$113,4,FALSE)*$M111)+IF($Q111="",0,VLOOKUP($Q111,'⚪设计'!$B$85:$H$113,4,FALSE)*$R111)+IF($V111="",0,VLOOKUP($V111,'⚪设计'!$B$85:$H$113,4,FALSE)*$W111))*IF(V111="",0,VLOOKUP(V111,'⚪设计'!$B$85:$H$113,4,FALSE)),0))</f>
        <v>5355</v>
      </c>
      <c r="Z111" s="97">
        <f>IF(V111="","",ROUND(战斗节奏!$B$14/(IF($G111="",0,VLOOKUP($G111,'⚪设计'!$B$85:$H$113,5,FALSE)*$H111)+IF($L111="",0,VLOOKUP($L111,'⚪设计'!$B$85:$H$113,5,FALSE)*$M111)+IF($Q111="",0,VLOOKUP($Q111,'⚪设计'!$B$85:$H$113,5,FALSE)*$R111)+IF($V111="",0,VLOOKUP($V111,'⚪设计'!$B$85:$H$113,5,FALSE)*$W111))*IF(V111="",0,VLOOKUP(V111,'⚪设计'!$B$85:$H$113,5,FALSE)),0))</f>
        <v>10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A62D-26F6-447D-8D5F-BA731E5AB93C}">
  <dimension ref="A1:O21"/>
  <sheetViews>
    <sheetView workbookViewId="0">
      <selection activeCell="J11" sqref="J11"/>
    </sheetView>
  </sheetViews>
  <sheetFormatPr defaultColWidth="10.625" defaultRowHeight="14.25" x14ac:dyDescent="0.2"/>
  <cols>
    <col min="1" max="1" width="10.5" style="57" bestFit="1" customWidth="1"/>
    <col min="2" max="2" width="27.375" style="57" bestFit="1" customWidth="1"/>
    <col min="3" max="3" width="10" style="57" bestFit="1" customWidth="1"/>
    <col min="4" max="4" width="6" style="57" bestFit="1" customWidth="1"/>
    <col min="5" max="5" width="9.875" style="57" customWidth="1"/>
    <col min="6" max="6" width="17.25" style="57" bestFit="1" customWidth="1"/>
    <col min="7" max="7" width="8.375" style="57" customWidth="1"/>
    <col min="8" max="8" width="13" style="57" bestFit="1" customWidth="1"/>
    <col min="9" max="12" width="9" style="57" customWidth="1"/>
    <col min="13" max="14" width="31.875" style="57" customWidth="1"/>
    <col min="15" max="15" width="19.625" style="57" customWidth="1"/>
    <col min="16" max="16384" width="10.625" style="57"/>
  </cols>
  <sheetData>
    <row r="1" spans="1:15" s="99" customFormat="1" x14ac:dyDescent="0.2">
      <c r="A1" s="63" t="s">
        <v>67</v>
      </c>
      <c r="B1" s="63" t="s">
        <v>68</v>
      </c>
      <c r="C1" s="63" t="s">
        <v>69</v>
      </c>
      <c r="D1" s="63" t="s">
        <v>70</v>
      </c>
      <c r="E1" s="63" t="s">
        <v>349</v>
      </c>
      <c r="F1" s="63" t="s">
        <v>350</v>
      </c>
      <c r="G1" s="63" t="s">
        <v>351</v>
      </c>
      <c r="H1" s="63" t="s">
        <v>352</v>
      </c>
      <c r="I1" s="63" t="s">
        <v>353</v>
      </c>
      <c r="J1" s="63" t="s">
        <v>354</v>
      </c>
      <c r="K1" s="63" t="s">
        <v>355</v>
      </c>
      <c r="L1" s="63" t="s">
        <v>356</v>
      </c>
      <c r="M1" s="63" t="s">
        <v>357</v>
      </c>
      <c r="N1" s="63" t="s">
        <v>358</v>
      </c>
      <c r="O1" s="63" t="s">
        <v>359</v>
      </c>
    </row>
    <row r="2" spans="1:15" s="99" customFormat="1" x14ac:dyDescent="0.2">
      <c r="A2" s="63" t="s">
        <v>67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5" s="101" customFormat="1" x14ac:dyDescent="0.2">
      <c r="A3" s="64" t="s">
        <v>71</v>
      </c>
      <c r="B3" s="64" t="s">
        <v>72</v>
      </c>
      <c r="C3" s="64" t="s">
        <v>72</v>
      </c>
      <c r="D3" s="64" t="s">
        <v>72</v>
      </c>
      <c r="E3" s="64" t="s">
        <v>360</v>
      </c>
      <c r="F3" s="64" t="s">
        <v>73</v>
      </c>
      <c r="G3" s="64" t="s">
        <v>73</v>
      </c>
      <c r="H3" s="64" t="s">
        <v>74</v>
      </c>
      <c r="I3" s="64" t="s">
        <v>73</v>
      </c>
      <c r="J3" s="64" t="s">
        <v>73</v>
      </c>
      <c r="K3" s="64" t="s">
        <v>73</v>
      </c>
      <c r="L3" s="64" t="s">
        <v>73</v>
      </c>
      <c r="M3" s="64" t="s">
        <v>361</v>
      </c>
      <c r="N3" s="100" t="s">
        <v>362</v>
      </c>
      <c r="O3" s="100" t="s">
        <v>73</v>
      </c>
    </row>
    <row r="4" spans="1:15" s="101" customFormat="1" x14ac:dyDescent="0.2">
      <c r="A4" s="64" t="s">
        <v>75</v>
      </c>
      <c r="B4" s="64"/>
      <c r="C4" s="64"/>
      <c r="D4" s="64" t="s">
        <v>76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</row>
    <row r="5" spans="1:15" s="99" customFormat="1" x14ac:dyDescent="0.2">
      <c r="A5" s="63" t="s">
        <v>77</v>
      </c>
      <c r="B5" s="63" t="s">
        <v>78</v>
      </c>
      <c r="C5" s="63" t="s">
        <v>79</v>
      </c>
      <c r="D5" s="63" t="s">
        <v>80</v>
      </c>
      <c r="E5" s="63" t="s">
        <v>363</v>
      </c>
      <c r="F5" s="63" t="s">
        <v>364</v>
      </c>
      <c r="G5" s="63" t="s">
        <v>365</v>
      </c>
      <c r="H5" s="63" t="s">
        <v>366</v>
      </c>
      <c r="I5" s="63" t="s">
        <v>367</v>
      </c>
      <c r="J5" s="63" t="s">
        <v>368</v>
      </c>
      <c r="K5" s="63" t="s">
        <v>369</v>
      </c>
      <c r="L5" s="63" t="s">
        <v>370</v>
      </c>
      <c r="M5" s="63" t="s">
        <v>371</v>
      </c>
      <c r="N5" s="63" t="s">
        <v>372</v>
      </c>
      <c r="O5" s="63" t="s">
        <v>373</v>
      </c>
    </row>
    <row r="6" spans="1:15" x14ac:dyDescent="0.2">
      <c r="B6" s="57" t="s">
        <v>1376</v>
      </c>
      <c r="C6" s="68" t="s">
        <v>1377</v>
      </c>
      <c r="E6" s="57" t="b">
        <v>0</v>
      </c>
      <c r="F6" s="102">
        <f>战斗节奏!B2</f>
        <v>450</v>
      </c>
      <c r="G6" s="57">
        <v>0</v>
      </c>
      <c r="H6" s="102">
        <v>9999</v>
      </c>
      <c r="I6" s="102">
        <f>战斗节奏!C2</f>
        <v>8</v>
      </c>
      <c r="J6" s="102">
        <v>20</v>
      </c>
      <c r="K6" s="57">
        <v>3</v>
      </c>
      <c r="L6" s="102">
        <f>战斗节奏!E2</f>
        <v>10</v>
      </c>
      <c r="M6" s="57" t="s">
        <v>1378</v>
      </c>
      <c r="N6" s="57" t="s">
        <v>1379</v>
      </c>
      <c r="O6" s="57">
        <v>0</v>
      </c>
    </row>
    <row r="7" spans="1:15" x14ac:dyDescent="0.2">
      <c r="C7" s="68"/>
    </row>
    <row r="8" spans="1:15" x14ac:dyDescent="0.2">
      <c r="B8" s="57" t="s">
        <v>374</v>
      </c>
      <c r="C8" s="57" t="s">
        <v>375</v>
      </c>
      <c r="E8" s="57" t="b">
        <v>0</v>
      </c>
      <c r="F8" s="102">
        <f>战斗节奏!B3</f>
        <v>600</v>
      </c>
      <c r="G8" s="57">
        <v>0</v>
      </c>
      <c r="H8" s="102">
        <v>120</v>
      </c>
      <c r="I8" s="102">
        <f>战斗节奏!C3</f>
        <v>8</v>
      </c>
      <c r="J8" s="102">
        <f>战斗节奏!D3</f>
        <v>20</v>
      </c>
      <c r="K8" s="57">
        <v>3</v>
      </c>
      <c r="L8" s="102">
        <f>战斗节奏!E3</f>
        <v>20</v>
      </c>
      <c r="M8" s="57" t="s">
        <v>678</v>
      </c>
      <c r="N8" s="57" t="s">
        <v>376</v>
      </c>
      <c r="O8" s="57">
        <v>0</v>
      </c>
    </row>
    <row r="10" spans="1:15" x14ac:dyDescent="0.2">
      <c r="B10" s="103" t="s">
        <v>668</v>
      </c>
      <c r="C10" s="57" t="s">
        <v>673</v>
      </c>
      <c r="E10" s="57" t="b">
        <v>0</v>
      </c>
      <c r="F10" s="102">
        <v>250</v>
      </c>
      <c r="G10" s="57">
        <v>0</v>
      </c>
      <c r="H10" s="102">
        <v>120</v>
      </c>
      <c r="I10" s="102">
        <f>战斗节奏!$C$4</f>
        <v>8</v>
      </c>
      <c r="J10" s="102">
        <f>战斗节奏!$D$4</f>
        <v>20</v>
      </c>
      <c r="K10" s="57">
        <v>3</v>
      </c>
      <c r="L10" s="102">
        <f>战斗节奏!$E$4</f>
        <v>10</v>
      </c>
      <c r="M10" s="57" t="s">
        <v>679</v>
      </c>
      <c r="N10" s="57" t="s">
        <v>680</v>
      </c>
      <c r="O10" s="57">
        <v>0</v>
      </c>
    </row>
    <row r="11" spans="1:15" x14ac:dyDescent="0.2">
      <c r="B11" s="103" t="s">
        <v>669</v>
      </c>
      <c r="C11" s="57" t="s">
        <v>674</v>
      </c>
      <c r="E11" s="57" t="b">
        <v>0</v>
      </c>
      <c r="F11" s="102">
        <v>250</v>
      </c>
      <c r="G11" s="57">
        <v>0</v>
      </c>
      <c r="H11" s="102">
        <v>120</v>
      </c>
      <c r="I11" s="102">
        <f>战斗节奏!$C$4</f>
        <v>8</v>
      </c>
      <c r="J11" s="102">
        <f>战斗节奏!$D$4</f>
        <v>20</v>
      </c>
      <c r="K11" s="57">
        <v>3</v>
      </c>
      <c r="L11" s="102">
        <f>战斗节奏!$E$4</f>
        <v>10</v>
      </c>
      <c r="M11" s="57" t="s">
        <v>681</v>
      </c>
      <c r="N11" s="57" t="s">
        <v>682</v>
      </c>
      <c r="O11" s="57">
        <v>0</v>
      </c>
    </row>
    <row r="12" spans="1:15" x14ac:dyDescent="0.2">
      <c r="B12" s="103" t="s">
        <v>670</v>
      </c>
      <c r="C12" s="57" t="s">
        <v>675</v>
      </c>
      <c r="E12" s="57" t="b">
        <v>0</v>
      </c>
      <c r="F12" s="102">
        <v>250</v>
      </c>
      <c r="G12" s="57">
        <v>0</v>
      </c>
      <c r="H12" s="102">
        <v>120</v>
      </c>
      <c r="I12" s="102">
        <f>战斗节奏!$C$4</f>
        <v>8</v>
      </c>
      <c r="J12" s="102">
        <f>战斗节奏!$D$4</f>
        <v>20</v>
      </c>
      <c r="K12" s="57">
        <v>3</v>
      </c>
      <c r="L12" s="102">
        <f>战斗节奏!$E$4</f>
        <v>10</v>
      </c>
      <c r="M12" s="57" t="s">
        <v>683</v>
      </c>
      <c r="N12" s="57" t="s">
        <v>684</v>
      </c>
      <c r="O12" s="57">
        <v>0</v>
      </c>
    </row>
    <row r="13" spans="1:15" x14ac:dyDescent="0.2">
      <c r="B13" s="103" t="s">
        <v>671</v>
      </c>
      <c r="C13" s="57" t="s">
        <v>676</v>
      </c>
      <c r="E13" s="57" t="b">
        <v>0</v>
      </c>
      <c r="F13" s="102">
        <v>250</v>
      </c>
      <c r="G13" s="57">
        <v>0</v>
      </c>
      <c r="H13" s="102">
        <v>120</v>
      </c>
      <c r="I13" s="102">
        <f>战斗节奏!$C$4</f>
        <v>8</v>
      </c>
      <c r="J13" s="102">
        <f>战斗节奏!$D$4</f>
        <v>20</v>
      </c>
      <c r="K13" s="57">
        <v>3</v>
      </c>
      <c r="L13" s="102">
        <f>战斗节奏!$E$4</f>
        <v>10</v>
      </c>
      <c r="M13" s="57" t="s">
        <v>685</v>
      </c>
      <c r="N13" s="57" t="s">
        <v>686</v>
      </c>
      <c r="O13" s="57">
        <v>0</v>
      </c>
    </row>
    <row r="14" spans="1:15" x14ac:dyDescent="0.2">
      <c r="B14" s="103" t="s">
        <v>672</v>
      </c>
      <c r="C14" s="57" t="s">
        <v>677</v>
      </c>
      <c r="E14" s="57" t="b">
        <v>0</v>
      </c>
      <c r="F14" s="102">
        <v>250</v>
      </c>
      <c r="G14" s="57">
        <v>0</v>
      </c>
      <c r="H14" s="102">
        <v>120</v>
      </c>
      <c r="I14" s="102">
        <f>战斗节奏!$C$4</f>
        <v>8</v>
      </c>
      <c r="J14" s="102">
        <f>战斗节奏!$D$4</f>
        <v>20</v>
      </c>
      <c r="K14" s="57">
        <v>3</v>
      </c>
      <c r="L14" s="102">
        <f>战斗节奏!$E$4</f>
        <v>10</v>
      </c>
      <c r="M14" s="57" t="s">
        <v>687</v>
      </c>
      <c r="N14" s="57" t="s">
        <v>688</v>
      </c>
      <c r="O14" s="57">
        <v>0</v>
      </c>
    </row>
    <row r="15" spans="1:15" x14ac:dyDescent="0.2">
      <c r="B15" s="103" t="s">
        <v>954</v>
      </c>
      <c r="C15" s="57" t="s">
        <v>949</v>
      </c>
      <c r="D15" s="57" t="s">
        <v>937</v>
      </c>
      <c r="E15" s="57" t="b">
        <v>0</v>
      </c>
      <c r="F15" s="102">
        <f>战斗节奏!$B9</f>
        <v>720</v>
      </c>
      <c r="G15" s="57">
        <v>0</v>
      </c>
      <c r="H15" s="102">
        <v>120</v>
      </c>
      <c r="I15" s="102">
        <f>战斗节奏!$C$4</f>
        <v>8</v>
      </c>
      <c r="J15" s="102">
        <f>战斗节奏!$D$4</f>
        <v>20</v>
      </c>
      <c r="K15" s="57">
        <v>3</v>
      </c>
      <c r="L15" s="102">
        <f>战斗节奏!$E$4</f>
        <v>10</v>
      </c>
      <c r="M15" s="57" t="s">
        <v>959</v>
      </c>
      <c r="N15" s="57" t="s">
        <v>960</v>
      </c>
      <c r="O15" s="57">
        <v>0</v>
      </c>
    </row>
    <row r="16" spans="1:15" x14ac:dyDescent="0.2">
      <c r="B16" s="103" t="s">
        <v>955</v>
      </c>
      <c r="C16" s="57" t="s">
        <v>950</v>
      </c>
      <c r="D16" s="57" t="s">
        <v>937</v>
      </c>
      <c r="E16" s="57" t="b">
        <v>0</v>
      </c>
      <c r="F16" s="102">
        <f>战斗节奏!$B10</f>
        <v>720</v>
      </c>
      <c r="G16" s="57">
        <v>0</v>
      </c>
      <c r="H16" s="102">
        <v>120</v>
      </c>
      <c r="I16" s="102">
        <f>战斗节奏!$C$4</f>
        <v>8</v>
      </c>
      <c r="J16" s="102">
        <f>战斗节奏!$D$4</f>
        <v>20</v>
      </c>
      <c r="K16" s="57">
        <v>3</v>
      </c>
      <c r="L16" s="102">
        <f>战斗节奏!$E$4</f>
        <v>10</v>
      </c>
      <c r="M16" s="57" t="s">
        <v>961</v>
      </c>
      <c r="N16" s="57" t="s">
        <v>962</v>
      </c>
      <c r="O16" s="57">
        <v>0</v>
      </c>
    </row>
    <row r="17" spans="2:15" x14ac:dyDescent="0.2">
      <c r="B17" s="103" t="s">
        <v>956</v>
      </c>
      <c r="C17" s="57" t="s">
        <v>951</v>
      </c>
      <c r="D17" s="57" t="s">
        <v>937</v>
      </c>
      <c r="E17" s="57" t="b">
        <v>0</v>
      </c>
      <c r="F17" s="102">
        <f>战斗节奏!$B11</f>
        <v>720</v>
      </c>
      <c r="G17" s="57">
        <v>0</v>
      </c>
      <c r="H17" s="102">
        <v>120</v>
      </c>
      <c r="I17" s="102">
        <f>战斗节奏!$C$4</f>
        <v>8</v>
      </c>
      <c r="J17" s="102">
        <f>战斗节奏!$D$4</f>
        <v>20</v>
      </c>
      <c r="K17" s="57">
        <v>3</v>
      </c>
      <c r="L17" s="102">
        <f>战斗节奏!$E$4</f>
        <v>10</v>
      </c>
      <c r="M17" s="57" t="s">
        <v>963</v>
      </c>
      <c r="N17" s="57" t="s">
        <v>964</v>
      </c>
      <c r="O17" s="57">
        <v>0</v>
      </c>
    </row>
    <row r="18" spans="2:15" x14ac:dyDescent="0.2">
      <c r="B18" s="103" t="s">
        <v>957</v>
      </c>
      <c r="C18" s="57" t="s">
        <v>952</v>
      </c>
      <c r="D18" s="57" t="s">
        <v>937</v>
      </c>
      <c r="E18" s="57" t="b">
        <v>0</v>
      </c>
      <c r="F18" s="102">
        <f>战斗节奏!$B12</f>
        <v>720</v>
      </c>
      <c r="G18" s="57">
        <v>0</v>
      </c>
      <c r="H18" s="102">
        <v>120</v>
      </c>
      <c r="I18" s="102">
        <f>战斗节奏!$C$4</f>
        <v>8</v>
      </c>
      <c r="J18" s="102">
        <f>战斗节奏!$D$4</f>
        <v>20</v>
      </c>
      <c r="K18" s="57">
        <v>3</v>
      </c>
      <c r="L18" s="102">
        <f>战斗节奏!$E$4</f>
        <v>10</v>
      </c>
      <c r="M18" s="57" t="s">
        <v>965</v>
      </c>
      <c r="N18" s="57" t="s">
        <v>966</v>
      </c>
      <c r="O18" s="57">
        <v>0</v>
      </c>
    </row>
    <row r="19" spans="2:15" x14ac:dyDescent="0.2">
      <c r="B19" s="103" t="s">
        <v>958</v>
      </c>
      <c r="C19" s="57" t="s">
        <v>953</v>
      </c>
      <c r="D19" s="57" t="s">
        <v>937</v>
      </c>
      <c r="E19" s="57" t="b">
        <v>0</v>
      </c>
      <c r="F19" s="102">
        <f>战斗节奏!$B13</f>
        <v>720</v>
      </c>
      <c r="G19" s="57">
        <v>0</v>
      </c>
      <c r="H19" s="102">
        <v>120</v>
      </c>
      <c r="I19" s="102">
        <f>战斗节奏!$C$4</f>
        <v>8</v>
      </c>
      <c r="J19" s="102">
        <f>战斗节奏!$D$4</f>
        <v>20</v>
      </c>
      <c r="K19" s="57">
        <v>3</v>
      </c>
      <c r="L19" s="102">
        <f>战斗节奏!$E$4</f>
        <v>10</v>
      </c>
      <c r="M19" s="57" t="s">
        <v>967</v>
      </c>
      <c r="N19" s="57" t="s">
        <v>968</v>
      </c>
      <c r="O19" s="57">
        <v>0</v>
      </c>
    </row>
    <row r="21" spans="2:15" x14ac:dyDescent="0.2">
      <c r="B21" s="57" t="s">
        <v>1924</v>
      </c>
      <c r="C21" s="57" t="s">
        <v>375</v>
      </c>
      <c r="E21" s="57" t="b">
        <v>0</v>
      </c>
      <c r="F21" s="102">
        <v>720</v>
      </c>
      <c r="G21" s="57">
        <v>0</v>
      </c>
      <c r="H21" s="102">
        <v>120</v>
      </c>
      <c r="I21" s="102">
        <v>8</v>
      </c>
      <c r="J21" s="102">
        <v>20</v>
      </c>
      <c r="K21" s="57">
        <v>3</v>
      </c>
      <c r="L21" s="102">
        <v>20</v>
      </c>
      <c r="M21" s="57" t="s">
        <v>1923</v>
      </c>
      <c r="N21" s="57" t="s">
        <v>1762</v>
      </c>
      <c r="O21" s="57">
        <v>0</v>
      </c>
    </row>
  </sheetData>
  <phoneticPr fontId="4" type="noConversion"/>
  <hyperlinks>
    <hyperlink ref="O3" r:id="rId1" xr:uid="{BF78F550-557F-4F88-AD3A-E3B89BEC1569}"/>
    <hyperlink ref="N3" r:id="rId2" xr:uid="{674519C6-2FB2-4464-85AD-EF8516B08E96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EB003-55F9-4698-8136-445024388804}">
  <dimension ref="A1:O83"/>
  <sheetViews>
    <sheetView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75" sqref="B75"/>
    </sheetView>
  </sheetViews>
  <sheetFormatPr defaultColWidth="9" defaultRowHeight="14.25" x14ac:dyDescent="0.2"/>
  <cols>
    <col min="1" max="1" width="8.75" style="57" bestFit="1" customWidth="1"/>
    <col min="2" max="2" width="26.25" style="57" bestFit="1" customWidth="1"/>
    <col min="3" max="3" width="12.125" style="57" bestFit="1" customWidth="1"/>
    <col min="4" max="4" width="22.25" style="57" bestFit="1" customWidth="1"/>
    <col min="5" max="5" width="13" style="57" bestFit="1" customWidth="1"/>
    <col min="6" max="6" width="7.25" style="57" bestFit="1" customWidth="1"/>
    <col min="7" max="7" width="36.125" style="57" bestFit="1" customWidth="1"/>
    <col min="8" max="8" width="21.25" style="57" customWidth="1"/>
    <col min="9" max="9" width="28.75" style="57" customWidth="1"/>
    <col min="10" max="11" width="8.875" customWidth="1"/>
    <col min="12" max="16384" width="9" style="57"/>
  </cols>
  <sheetData>
    <row r="1" spans="1:11" x14ac:dyDescent="0.2">
      <c r="A1" s="56" t="s">
        <v>67</v>
      </c>
      <c r="B1" s="56" t="s">
        <v>154</v>
      </c>
      <c r="C1" s="56" t="s">
        <v>69</v>
      </c>
      <c r="D1" s="56" t="s">
        <v>155</v>
      </c>
      <c r="E1" s="56" t="s">
        <v>97</v>
      </c>
      <c r="F1" s="56" t="s">
        <v>98</v>
      </c>
      <c r="G1" s="56" t="s">
        <v>99</v>
      </c>
      <c r="H1" s="56" t="s">
        <v>100</v>
      </c>
      <c r="I1" s="56" t="s">
        <v>101</v>
      </c>
    </row>
    <row r="2" spans="1:11" x14ac:dyDescent="0.2">
      <c r="A2" s="56" t="s">
        <v>67</v>
      </c>
      <c r="B2" s="56"/>
      <c r="C2" s="56"/>
      <c r="D2" s="56"/>
      <c r="E2" s="56"/>
      <c r="F2" s="56"/>
      <c r="G2" s="56"/>
      <c r="H2" s="56"/>
      <c r="I2" s="56"/>
    </row>
    <row r="3" spans="1:11" x14ac:dyDescent="0.2">
      <c r="A3" s="58" t="s">
        <v>71</v>
      </c>
      <c r="B3" s="58" t="s">
        <v>72</v>
      </c>
      <c r="C3" s="58" t="s">
        <v>72</v>
      </c>
      <c r="D3" s="58" t="s">
        <v>72</v>
      </c>
      <c r="E3" s="58" t="s">
        <v>74</v>
      </c>
      <c r="F3" s="58" t="s">
        <v>74</v>
      </c>
      <c r="G3" s="58" t="s">
        <v>1575</v>
      </c>
      <c r="H3" s="58" t="s">
        <v>102</v>
      </c>
      <c r="I3" s="58" t="s">
        <v>103</v>
      </c>
    </row>
    <row r="4" spans="1:11" x14ac:dyDescent="0.2">
      <c r="A4" s="58" t="s">
        <v>75</v>
      </c>
      <c r="B4" s="58"/>
      <c r="C4" s="58"/>
      <c r="D4" s="58" t="s">
        <v>76</v>
      </c>
      <c r="E4" s="58"/>
      <c r="F4" s="58"/>
      <c r="G4" s="58"/>
      <c r="H4" s="58"/>
      <c r="I4" s="58"/>
    </row>
    <row r="5" spans="1:11" ht="14.25" customHeight="1" x14ac:dyDescent="0.2">
      <c r="A5" s="69" t="s">
        <v>77</v>
      </c>
      <c r="B5" s="69" t="s">
        <v>104</v>
      </c>
      <c r="C5" s="69" t="s">
        <v>79</v>
      </c>
      <c r="D5" s="69" t="s">
        <v>80</v>
      </c>
      <c r="E5" s="69" t="s">
        <v>105</v>
      </c>
      <c r="F5" s="69" t="s">
        <v>106</v>
      </c>
      <c r="G5" s="70" t="s">
        <v>107</v>
      </c>
      <c r="H5" s="69" t="s">
        <v>108</v>
      </c>
      <c r="I5" s="70" t="s">
        <v>109</v>
      </c>
      <c r="J5" s="69" t="s">
        <v>453</v>
      </c>
      <c r="K5" s="69" t="s">
        <v>453</v>
      </c>
    </row>
    <row r="6" spans="1:11" x14ac:dyDescent="0.2">
      <c r="A6" s="68"/>
      <c r="B6" s="59" t="s">
        <v>110</v>
      </c>
      <c r="D6" s="60" t="s">
        <v>158</v>
      </c>
      <c r="E6" s="71">
        <f>VLOOKUP(J6,防御塔!$A$2:$N$13,7,FALSE)</f>
        <v>15</v>
      </c>
      <c r="F6" s="71">
        <f>VLOOKUP(J6,防御塔!$A$2:$N$13,5,FALSE)</f>
        <v>0.5</v>
      </c>
      <c r="G6" s="112" t="s">
        <v>1576</v>
      </c>
      <c r="H6" s="59" t="s">
        <v>111</v>
      </c>
      <c r="I6" s="57" t="s">
        <v>1518</v>
      </c>
      <c r="J6" s="110" t="s">
        <v>157</v>
      </c>
      <c r="K6" s="111">
        <v>1</v>
      </c>
    </row>
    <row r="7" spans="1:11" x14ac:dyDescent="0.2">
      <c r="A7" s="68"/>
      <c r="B7" s="59" t="s">
        <v>112</v>
      </c>
      <c r="D7" s="60" t="s">
        <v>159</v>
      </c>
      <c r="E7" s="71">
        <f>VLOOKUP(J7,防御塔!$A$2:$N$13,7,FALSE)</f>
        <v>15</v>
      </c>
      <c r="F7" s="71">
        <f>VLOOKUP(J7,防御塔!$A$2:$N$13,5,FALSE)</f>
        <v>0.5</v>
      </c>
      <c r="G7" s="112" t="s">
        <v>1577</v>
      </c>
      <c r="H7" s="59" t="s">
        <v>113</v>
      </c>
      <c r="I7" s="57" t="s">
        <v>1518</v>
      </c>
      <c r="J7" s="110" t="s">
        <v>33</v>
      </c>
      <c r="K7" s="111">
        <v>2</v>
      </c>
    </row>
    <row r="8" spans="1:11" x14ac:dyDescent="0.2">
      <c r="A8" s="68"/>
      <c r="B8" s="59" t="s">
        <v>114</v>
      </c>
      <c r="D8" s="60" t="s">
        <v>160</v>
      </c>
      <c r="E8" s="71">
        <f>VLOOKUP(J8,防御塔!$A$2:$N$13,7,FALSE)</f>
        <v>15</v>
      </c>
      <c r="F8" s="71">
        <f>VLOOKUP(J8,防御塔!$A$2:$N$13,5,FALSE)</f>
        <v>0.5</v>
      </c>
      <c r="G8" s="112" t="s">
        <v>1578</v>
      </c>
      <c r="H8" s="59" t="s">
        <v>115</v>
      </c>
      <c r="I8" s="57" t="s">
        <v>1518</v>
      </c>
      <c r="J8" s="110" t="s">
        <v>33</v>
      </c>
      <c r="K8" s="111">
        <v>3</v>
      </c>
    </row>
    <row r="9" spans="1:11" x14ac:dyDescent="0.2">
      <c r="A9" s="68"/>
      <c r="B9" s="59" t="s">
        <v>116</v>
      </c>
      <c r="D9" s="60" t="s">
        <v>161</v>
      </c>
      <c r="E9" s="71">
        <f>VLOOKUP(J9,防御塔!$A$2:$N$13,7,FALSE)</f>
        <v>15</v>
      </c>
      <c r="F9" s="71">
        <f>VLOOKUP(J9,防御塔!$A$2:$N$13,5,FALSE)</f>
        <v>0.5</v>
      </c>
      <c r="G9" s="112" t="s">
        <v>1579</v>
      </c>
      <c r="H9" s="59" t="s">
        <v>117</v>
      </c>
      <c r="I9" s="57" t="s">
        <v>1518</v>
      </c>
      <c r="J9" s="110" t="s">
        <v>34</v>
      </c>
      <c r="K9" s="111">
        <v>1</v>
      </c>
    </row>
    <row r="10" spans="1:11" x14ac:dyDescent="0.2">
      <c r="A10" s="68"/>
      <c r="B10" s="59" t="s">
        <v>118</v>
      </c>
      <c r="D10" s="60" t="s">
        <v>162</v>
      </c>
      <c r="E10" s="71">
        <f>VLOOKUP(J10,防御塔!$A$2:$N$13,7,FALSE)</f>
        <v>15</v>
      </c>
      <c r="F10" s="71">
        <f>VLOOKUP(J10,防御塔!$A$2:$N$13,5,FALSE)</f>
        <v>0.5</v>
      </c>
      <c r="G10" s="112" t="s">
        <v>1580</v>
      </c>
      <c r="H10" s="59" t="s">
        <v>119</v>
      </c>
      <c r="I10" s="57" t="s">
        <v>1518</v>
      </c>
      <c r="J10" s="110" t="s">
        <v>34</v>
      </c>
      <c r="K10" s="111">
        <v>2</v>
      </c>
    </row>
    <row r="11" spans="1:11" x14ac:dyDescent="0.2">
      <c r="A11" s="68"/>
      <c r="B11" s="59" t="s">
        <v>120</v>
      </c>
      <c r="D11" s="60" t="s">
        <v>163</v>
      </c>
      <c r="E11" s="71">
        <f>VLOOKUP(J11,防御塔!$A$2:$N$13,7,FALSE)</f>
        <v>15</v>
      </c>
      <c r="F11" s="71">
        <f>VLOOKUP(J11,防御塔!$A$2:$N$13,5,FALSE)</f>
        <v>0.5</v>
      </c>
      <c r="G11" s="112" t="s">
        <v>1581</v>
      </c>
      <c r="H11" s="59" t="s">
        <v>121</v>
      </c>
      <c r="I11" s="57" t="s">
        <v>1518</v>
      </c>
      <c r="J11" s="110" t="s">
        <v>34</v>
      </c>
      <c r="K11" s="111">
        <v>3</v>
      </c>
    </row>
    <row r="12" spans="1:11" x14ac:dyDescent="0.2">
      <c r="A12" s="68"/>
      <c r="B12" s="59" t="s">
        <v>122</v>
      </c>
      <c r="D12" s="60" t="s">
        <v>164</v>
      </c>
      <c r="E12" s="71">
        <f>VLOOKUP(J12,防御塔!$A$2:$N$13,7,FALSE)</f>
        <v>15</v>
      </c>
      <c r="F12" s="95">
        <v>0.3</v>
      </c>
      <c r="G12" s="112" t="s">
        <v>1582</v>
      </c>
      <c r="H12" s="59" t="s">
        <v>123</v>
      </c>
      <c r="I12" s="57" t="s">
        <v>1518</v>
      </c>
      <c r="J12" s="110" t="s">
        <v>35</v>
      </c>
      <c r="K12" s="111">
        <v>1</v>
      </c>
    </row>
    <row r="13" spans="1:11" x14ac:dyDescent="0.2">
      <c r="A13" s="68"/>
      <c r="B13" s="59" t="s">
        <v>124</v>
      </c>
      <c r="D13" s="60" t="s">
        <v>165</v>
      </c>
      <c r="E13" s="71">
        <f>VLOOKUP(J13,防御塔!$A$2:$N$13,7,FALSE)</f>
        <v>15</v>
      </c>
      <c r="F13" s="95">
        <v>0.3</v>
      </c>
      <c r="G13" s="112" t="s">
        <v>1583</v>
      </c>
      <c r="H13" s="59" t="s">
        <v>125</v>
      </c>
      <c r="I13" s="57" t="s">
        <v>1518</v>
      </c>
      <c r="J13" s="110" t="s">
        <v>35</v>
      </c>
      <c r="K13" s="111">
        <v>2</v>
      </c>
    </row>
    <row r="14" spans="1:11" x14ac:dyDescent="0.2">
      <c r="A14" s="68"/>
      <c r="B14" s="59" t="s">
        <v>126</v>
      </c>
      <c r="D14" s="60" t="s">
        <v>166</v>
      </c>
      <c r="E14" s="71">
        <f>VLOOKUP(J14,防御塔!$A$2:$N$13,7,FALSE)</f>
        <v>15</v>
      </c>
      <c r="F14" s="95">
        <v>0.3</v>
      </c>
      <c r="G14" s="112" t="s">
        <v>1584</v>
      </c>
      <c r="H14" s="59" t="s">
        <v>127</v>
      </c>
      <c r="I14" s="57" t="s">
        <v>1518</v>
      </c>
      <c r="J14" s="110" t="s">
        <v>35</v>
      </c>
      <c r="K14" s="111">
        <v>3</v>
      </c>
    </row>
    <row r="15" spans="1:11" x14ac:dyDescent="0.2">
      <c r="A15" s="68"/>
      <c r="B15" s="59" t="s">
        <v>128</v>
      </c>
      <c r="D15" s="60" t="s">
        <v>167</v>
      </c>
      <c r="E15" s="71">
        <f>VLOOKUP(J15,防御塔!$A$2:$N$13,7,FALSE)</f>
        <v>15</v>
      </c>
      <c r="F15" s="95">
        <v>0.3</v>
      </c>
      <c r="G15" s="112" t="s">
        <v>1585</v>
      </c>
      <c r="H15" s="59" t="s">
        <v>129</v>
      </c>
      <c r="I15" s="57" t="s">
        <v>1518</v>
      </c>
      <c r="J15" s="110" t="s">
        <v>36</v>
      </c>
      <c r="K15" s="111">
        <v>1</v>
      </c>
    </row>
    <row r="16" spans="1:11" x14ac:dyDescent="0.2">
      <c r="A16" s="68"/>
      <c r="B16" s="59" t="s">
        <v>130</v>
      </c>
      <c r="D16" s="60" t="s">
        <v>168</v>
      </c>
      <c r="E16" s="71">
        <f>VLOOKUP(J16,防御塔!$A$2:$N$13,7,FALSE)</f>
        <v>15</v>
      </c>
      <c r="F16" s="95">
        <v>0.3</v>
      </c>
      <c r="G16" s="112" t="s">
        <v>1586</v>
      </c>
      <c r="H16" s="59" t="s">
        <v>131</v>
      </c>
      <c r="I16" s="57" t="s">
        <v>1518</v>
      </c>
      <c r="J16" s="110" t="s">
        <v>36</v>
      </c>
      <c r="K16" s="111">
        <v>2</v>
      </c>
    </row>
    <row r="17" spans="1:11" x14ac:dyDescent="0.2">
      <c r="A17" s="68"/>
      <c r="B17" s="59" t="s">
        <v>132</v>
      </c>
      <c r="D17" s="60" t="s">
        <v>169</v>
      </c>
      <c r="E17" s="71">
        <f>VLOOKUP(J17,防御塔!$A$2:$N$13,7,FALSE)</f>
        <v>15</v>
      </c>
      <c r="F17" s="95">
        <v>0.3</v>
      </c>
      <c r="G17" s="112" t="s">
        <v>1587</v>
      </c>
      <c r="H17" s="59" t="s">
        <v>156</v>
      </c>
      <c r="I17" s="57" t="s">
        <v>1518</v>
      </c>
      <c r="J17" s="110" t="s">
        <v>36</v>
      </c>
      <c r="K17" s="111">
        <v>3</v>
      </c>
    </row>
    <row r="18" spans="1:11" x14ac:dyDescent="0.2">
      <c r="A18" s="68"/>
      <c r="B18" s="59" t="s">
        <v>133</v>
      </c>
      <c r="D18" s="60" t="s">
        <v>170</v>
      </c>
      <c r="E18" s="71">
        <f>VLOOKUP(J18,防御塔!$A$2:$N$13,7,FALSE)</f>
        <v>15</v>
      </c>
      <c r="F18" s="71">
        <f>VLOOKUP(J18,防御塔!$A$2:$N$13,5,FALSE)</f>
        <v>3</v>
      </c>
      <c r="G18" s="112" t="s">
        <v>1588</v>
      </c>
      <c r="H18" s="59" t="s">
        <v>134</v>
      </c>
      <c r="I18" s="57" t="s">
        <v>1518</v>
      </c>
      <c r="J18" s="110" t="s">
        <v>37</v>
      </c>
      <c r="K18" s="111">
        <v>1</v>
      </c>
    </row>
    <row r="19" spans="1:11" x14ac:dyDescent="0.2">
      <c r="A19" s="68"/>
      <c r="B19" s="59" t="s">
        <v>135</v>
      </c>
      <c r="D19" s="60" t="s">
        <v>171</v>
      </c>
      <c r="E19" s="71">
        <f>VLOOKUP(J19,防御塔!$A$2:$N$13,7,FALSE)</f>
        <v>15</v>
      </c>
      <c r="F19" s="71">
        <f>VLOOKUP(J19,防御塔!$A$2:$N$13,5,FALSE)</f>
        <v>3</v>
      </c>
      <c r="G19" s="112" t="s">
        <v>1589</v>
      </c>
      <c r="H19" s="59" t="s">
        <v>136</v>
      </c>
      <c r="I19" s="57" t="s">
        <v>1518</v>
      </c>
      <c r="J19" s="110" t="s">
        <v>37</v>
      </c>
      <c r="K19" s="111">
        <v>2</v>
      </c>
    </row>
    <row r="20" spans="1:11" x14ac:dyDescent="0.2">
      <c r="A20" s="68"/>
      <c r="B20" s="59" t="s">
        <v>137</v>
      </c>
      <c r="D20" s="60" t="s">
        <v>172</v>
      </c>
      <c r="E20" s="71">
        <f>VLOOKUP(J20,防御塔!$A$2:$N$13,7,FALSE)</f>
        <v>15</v>
      </c>
      <c r="F20" s="71">
        <f>VLOOKUP(J20,防御塔!$A$2:$N$13,5,FALSE)</f>
        <v>3</v>
      </c>
      <c r="G20" s="112" t="s">
        <v>1590</v>
      </c>
      <c r="H20" s="59" t="s">
        <v>138</v>
      </c>
      <c r="I20" s="57" t="s">
        <v>1518</v>
      </c>
      <c r="J20" s="110" t="s">
        <v>37</v>
      </c>
      <c r="K20" s="111">
        <v>3</v>
      </c>
    </row>
    <row r="21" spans="1:11" x14ac:dyDescent="0.2">
      <c r="A21" s="68"/>
      <c r="B21" s="59" t="s">
        <v>139</v>
      </c>
      <c r="D21" s="60" t="s">
        <v>173</v>
      </c>
      <c r="E21" s="71">
        <f>VLOOKUP(J21,防御塔!$A$2:$N$13,7,FALSE)</f>
        <v>10</v>
      </c>
      <c r="F21" s="71">
        <f>VLOOKUP(J21,防御塔!$A$2:$N$13,5,FALSE)</f>
        <v>1</v>
      </c>
      <c r="G21" s="112" t="s">
        <v>1591</v>
      </c>
      <c r="H21" s="59" t="s">
        <v>140</v>
      </c>
      <c r="I21" s="57" t="s">
        <v>1518</v>
      </c>
      <c r="J21" s="110" t="s">
        <v>38</v>
      </c>
      <c r="K21" s="111">
        <v>1</v>
      </c>
    </row>
    <row r="22" spans="1:11" x14ac:dyDescent="0.2">
      <c r="A22" s="68"/>
      <c r="B22" s="59" t="s">
        <v>141</v>
      </c>
      <c r="D22" s="60" t="s">
        <v>174</v>
      </c>
      <c r="E22" s="71">
        <f>VLOOKUP(J22,防御塔!$A$2:$N$13,7,FALSE)</f>
        <v>10</v>
      </c>
      <c r="F22" s="71">
        <f>VLOOKUP(J22,防御塔!$A$2:$N$13,5,FALSE)</f>
        <v>1</v>
      </c>
      <c r="G22" s="112" t="s">
        <v>1592</v>
      </c>
      <c r="H22" s="59" t="s">
        <v>142</v>
      </c>
      <c r="I22" s="57" t="s">
        <v>1518</v>
      </c>
      <c r="J22" s="110" t="s">
        <v>38</v>
      </c>
      <c r="K22" s="111">
        <v>2</v>
      </c>
    </row>
    <row r="23" spans="1:11" x14ac:dyDescent="0.2">
      <c r="A23" s="68"/>
      <c r="B23" s="59" t="s">
        <v>143</v>
      </c>
      <c r="D23" s="60" t="s">
        <v>175</v>
      </c>
      <c r="E23" s="71">
        <f>VLOOKUP(J23,防御塔!$A$2:$N$13,7,FALSE)</f>
        <v>10</v>
      </c>
      <c r="F23" s="71">
        <f>VLOOKUP(J23,防御塔!$A$2:$N$13,5,FALSE)</f>
        <v>1</v>
      </c>
      <c r="G23" s="112" t="s">
        <v>1593</v>
      </c>
      <c r="H23" s="59" t="s">
        <v>144</v>
      </c>
      <c r="I23" s="57" t="s">
        <v>1518</v>
      </c>
      <c r="J23" s="110" t="s">
        <v>38</v>
      </c>
      <c r="K23" s="111">
        <v>3</v>
      </c>
    </row>
    <row r="24" spans="1:11" x14ac:dyDescent="0.2">
      <c r="A24" s="68"/>
      <c r="B24" s="59" t="s">
        <v>145</v>
      </c>
      <c r="D24" s="60" t="s">
        <v>177</v>
      </c>
      <c r="E24" s="71">
        <f>VLOOKUP(J24,防御塔!$A$2:$N$13,7,FALSE)</f>
        <v>7.5</v>
      </c>
      <c r="F24" s="71">
        <f>VLOOKUP(J24,防御塔!$A$2:$N$13,5,FALSE)</f>
        <v>1</v>
      </c>
      <c r="G24" s="112" t="s">
        <v>1594</v>
      </c>
      <c r="H24" s="59" t="s">
        <v>146</v>
      </c>
      <c r="I24" s="57" t="s">
        <v>1518</v>
      </c>
      <c r="J24" s="110" t="s">
        <v>176</v>
      </c>
      <c r="K24" s="111">
        <v>1</v>
      </c>
    </row>
    <row r="25" spans="1:11" x14ac:dyDescent="0.2">
      <c r="A25" s="68"/>
      <c r="B25" s="59" t="s">
        <v>147</v>
      </c>
      <c r="D25" s="60" t="s">
        <v>178</v>
      </c>
      <c r="E25" s="71">
        <f>VLOOKUP(J25,防御塔!$A$2:$N$13,7,FALSE)</f>
        <v>7.5</v>
      </c>
      <c r="F25" s="71">
        <f>VLOOKUP(J25,防御塔!$A$2:$N$13,5,FALSE)</f>
        <v>1</v>
      </c>
      <c r="G25" s="112" t="s">
        <v>1595</v>
      </c>
      <c r="H25" s="59" t="s">
        <v>148</v>
      </c>
      <c r="I25" s="57" t="s">
        <v>1518</v>
      </c>
      <c r="J25" s="110" t="s">
        <v>176</v>
      </c>
      <c r="K25" s="111">
        <v>2</v>
      </c>
    </row>
    <row r="26" spans="1:11" x14ac:dyDescent="0.2">
      <c r="A26" s="68"/>
      <c r="B26" s="59" t="s">
        <v>149</v>
      </c>
      <c r="D26" s="60" t="s">
        <v>179</v>
      </c>
      <c r="E26" s="71">
        <f>VLOOKUP(J26,防御塔!$A$2:$N$13,7,FALSE)</f>
        <v>7.5</v>
      </c>
      <c r="F26" s="71">
        <f>VLOOKUP(J26,防御塔!$A$2:$N$13,5,FALSE)</f>
        <v>1</v>
      </c>
      <c r="G26" s="112" t="s">
        <v>1596</v>
      </c>
      <c r="H26" s="59" t="s">
        <v>150</v>
      </c>
      <c r="I26" s="57" t="s">
        <v>1519</v>
      </c>
      <c r="J26" s="110" t="s">
        <v>176</v>
      </c>
      <c r="K26" s="111">
        <v>3</v>
      </c>
    </row>
    <row r="27" spans="1:11" x14ac:dyDescent="0.2">
      <c r="A27" s="68"/>
      <c r="B27" s="59" t="s">
        <v>151</v>
      </c>
      <c r="D27" s="60" t="s">
        <v>222</v>
      </c>
      <c r="E27" s="71">
        <f>VLOOKUP(J27,防御塔!$A$2:$N$13,7,FALSE)</f>
        <v>7.5</v>
      </c>
      <c r="F27" s="71">
        <f>VLOOKUP(J27,防御塔!$A$2:$N$13,5,FALSE)</f>
        <v>1</v>
      </c>
      <c r="G27" s="112" t="s">
        <v>1597</v>
      </c>
      <c r="H27" s="62"/>
      <c r="I27" s="59" t="s">
        <v>1520</v>
      </c>
      <c r="J27" s="110" t="s">
        <v>40</v>
      </c>
      <c r="K27" s="111">
        <v>1</v>
      </c>
    </row>
    <row r="28" spans="1:11" x14ac:dyDescent="0.2">
      <c r="A28" s="68"/>
      <c r="B28" s="59" t="s">
        <v>152</v>
      </c>
      <c r="D28" s="60" t="s">
        <v>223</v>
      </c>
      <c r="E28" s="95">
        <v>8.75</v>
      </c>
      <c r="F28" s="71">
        <f>VLOOKUP(J28,防御塔!$A$2:$N$13,5,FALSE)</f>
        <v>1</v>
      </c>
      <c r="G28" s="112" t="s">
        <v>1597</v>
      </c>
      <c r="H28" s="62"/>
      <c r="I28" s="59" t="s">
        <v>1521</v>
      </c>
      <c r="J28" s="110" t="s">
        <v>40</v>
      </c>
      <c r="K28" s="111">
        <v>2</v>
      </c>
    </row>
    <row r="29" spans="1:11" x14ac:dyDescent="0.2">
      <c r="A29" s="68"/>
      <c r="B29" s="59" t="s">
        <v>153</v>
      </c>
      <c r="D29" s="60" t="s">
        <v>224</v>
      </c>
      <c r="E29" s="95">
        <v>10</v>
      </c>
      <c r="F29" s="71">
        <f>VLOOKUP(J29,防御塔!$A$2:$N$13,5,FALSE)</f>
        <v>1</v>
      </c>
      <c r="G29" s="112" t="s">
        <v>1597</v>
      </c>
      <c r="H29" s="62"/>
      <c r="I29" s="59" t="s">
        <v>1522</v>
      </c>
      <c r="J29" s="110" t="s">
        <v>40</v>
      </c>
      <c r="K29" s="111">
        <v>3</v>
      </c>
    </row>
    <row r="30" spans="1:11" s="94" customFormat="1" x14ac:dyDescent="0.2">
      <c r="B30" s="94" t="s">
        <v>1514</v>
      </c>
      <c r="D30" s="60" t="s">
        <v>1515</v>
      </c>
      <c r="E30" s="71">
        <f>VLOOKUP(J30,防御塔!$A$2:$N$13,7,FALSE)</f>
        <v>15</v>
      </c>
      <c r="F30" s="71">
        <f>VLOOKUP(J30,防御塔!$A$2:$N$13,5,FALSE)</f>
        <v>1</v>
      </c>
      <c r="G30" s="59" t="s">
        <v>1598</v>
      </c>
      <c r="H30" s="94" t="s">
        <v>1509</v>
      </c>
      <c r="I30" s="57" t="s">
        <v>1518</v>
      </c>
      <c r="J30" s="110" t="s">
        <v>1501</v>
      </c>
      <c r="K30" s="110">
        <v>1</v>
      </c>
    </row>
    <row r="31" spans="1:11" s="94" customFormat="1" x14ac:dyDescent="0.2">
      <c r="B31" s="94" t="s">
        <v>1510</v>
      </c>
      <c r="D31" s="60" t="s">
        <v>1516</v>
      </c>
      <c r="E31" s="71">
        <f>VLOOKUP(J31,防御塔!$A$2:$N$13,7,FALSE)</f>
        <v>15</v>
      </c>
      <c r="F31" s="71">
        <f>VLOOKUP(J31,防御塔!$A$2:$N$13,5,FALSE)</f>
        <v>1</v>
      </c>
      <c r="G31" s="59" t="s">
        <v>1599</v>
      </c>
      <c r="H31" s="94" t="s">
        <v>1511</v>
      </c>
      <c r="I31" s="57" t="s">
        <v>1518</v>
      </c>
      <c r="J31" s="110" t="s">
        <v>1501</v>
      </c>
      <c r="K31" s="110">
        <v>2</v>
      </c>
    </row>
    <row r="32" spans="1:11" s="94" customFormat="1" x14ac:dyDescent="0.2">
      <c r="B32" s="94" t="s">
        <v>1512</v>
      </c>
      <c r="D32" s="60" t="s">
        <v>1517</v>
      </c>
      <c r="E32" s="71">
        <f>VLOOKUP(J32,防御塔!$A$2:$N$13,7,FALSE)</f>
        <v>15</v>
      </c>
      <c r="F32" s="71">
        <f>VLOOKUP(J32,防御塔!$A$2:$N$13,5,FALSE)</f>
        <v>1</v>
      </c>
      <c r="G32" s="59" t="s">
        <v>1600</v>
      </c>
      <c r="H32" s="94" t="s">
        <v>1513</v>
      </c>
      <c r="I32" s="57" t="s">
        <v>1518</v>
      </c>
      <c r="J32" s="110" t="s">
        <v>1501</v>
      </c>
      <c r="K32" s="110">
        <v>3</v>
      </c>
    </row>
    <row r="33" spans="2:15" s="94" customFormat="1" x14ac:dyDescent="0.2">
      <c r="B33" s="94" t="s">
        <v>1525</v>
      </c>
      <c r="D33" s="60" t="s">
        <v>1531</v>
      </c>
      <c r="E33" s="71">
        <f>VLOOKUP(J33,防御塔!$A$2:$N$13,7,FALSE)</f>
        <v>7.5</v>
      </c>
      <c r="F33" s="71">
        <f>VLOOKUP(J33,防御塔!$A$2:$N$13,5,FALSE)</f>
        <v>1</v>
      </c>
      <c r="G33" s="59" t="s">
        <v>1601</v>
      </c>
      <c r="H33" s="94" t="s">
        <v>1526</v>
      </c>
      <c r="I33" s="57" t="s">
        <v>1518</v>
      </c>
      <c r="J33" s="110" t="s">
        <v>1502</v>
      </c>
      <c r="K33" s="110">
        <v>1</v>
      </c>
    </row>
    <row r="34" spans="2:15" s="94" customFormat="1" x14ac:dyDescent="0.2">
      <c r="B34" s="94" t="s">
        <v>1527</v>
      </c>
      <c r="D34" s="60" t="s">
        <v>1532</v>
      </c>
      <c r="E34" s="71">
        <f>VLOOKUP(J34,防御塔!$A$2:$N$13,7,FALSE)</f>
        <v>7.5</v>
      </c>
      <c r="F34" s="71">
        <f>VLOOKUP(J34,防御塔!$A$2:$N$13,5,FALSE)</f>
        <v>1</v>
      </c>
      <c r="G34" s="59" t="s">
        <v>1602</v>
      </c>
      <c r="H34" s="94" t="s">
        <v>1528</v>
      </c>
      <c r="I34" s="57" t="s">
        <v>1518</v>
      </c>
      <c r="J34" s="110" t="s">
        <v>1502</v>
      </c>
      <c r="K34" s="110">
        <v>2</v>
      </c>
    </row>
    <row r="35" spans="2:15" s="94" customFormat="1" x14ac:dyDescent="0.2">
      <c r="B35" s="94" t="s">
        <v>1529</v>
      </c>
      <c r="D35" s="60" t="s">
        <v>1533</v>
      </c>
      <c r="E35" s="71">
        <f>VLOOKUP(J35,防御塔!$A$2:$N$13,7,FALSE)</f>
        <v>7.5</v>
      </c>
      <c r="F35" s="71">
        <f>VLOOKUP(J35,防御塔!$A$2:$N$13,5,FALSE)</f>
        <v>1</v>
      </c>
      <c r="G35" s="59" t="s">
        <v>1603</v>
      </c>
      <c r="H35" s="94" t="s">
        <v>1530</v>
      </c>
      <c r="I35" s="57" t="s">
        <v>1518</v>
      </c>
      <c r="J35" s="110" t="s">
        <v>1502</v>
      </c>
      <c r="K35" s="110">
        <v>3</v>
      </c>
    </row>
    <row r="36" spans="2:15" s="94" customFormat="1" x14ac:dyDescent="0.2">
      <c r="B36" s="94" t="s">
        <v>1571</v>
      </c>
      <c r="D36" s="60" t="s">
        <v>1566</v>
      </c>
      <c r="E36" s="71">
        <f>VLOOKUP(J36,防御塔!$A$2:$N$13,7,FALSE)</f>
        <v>7.5</v>
      </c>
      <c r="F36" s="71">
        <f>VLOOKUP(J36,防御塔!$A$2:$N$13,5,FALSE)</f>
        <v>1</v>
      </c>
      <c r="G36" s="59" t="s">
        <v>1604</v>
      </c>
      <c r="H36" s="94" t="s">
        <v>1572</v>
      </c>
      <c r="I36" s="57" t="s">
        <v>1518</v>
      </c>
      <c r="J36" s="110" t="s">
        <v>1553</v>
      </c>
      <c r="K36" s="110">
        <v>1</v>
      </c>
    </row>
    <row r="37" spans="2:15" s="94" customFormat="1" x14ac:dyDescent="0.2">
      <c r="B37" s="94" t="s">
        <v>1567</v>
      </c>
      <c r="D37" s="60" t="s">
        <v>1568</v>
      </c>
      <c r="E37" s="71">
        <f>VLOOKUP(J37,防御塔!$A$2:$N$13,7,FALSE)</f>
        <v>7.5</v>
      </c>
      <c r="F37" s="71">
        <f>VLOOKUP(J37,防御塔!$A$2:$N$13,5,FALSE)</f>
        <v>1</v>
      </c>
      <c r="G37" s="59" t="s">
        <v>1605</v>
      </c>
      <c r="H37" s="94" t="s">
        <v>1573</v>
      </c>
      <c r="I37" s="57" t="s">
        <v>1518</v>
      </c>
      <c r="J37" s="110" t="s">
        <v>1553</v>
      </c>
      <c r="K37" s="110">
        <v>2</v>
      </c>
    </row>
    <row r="38" spans="2:15" s="94" customFormat="1" x14ac:dyDescent="0.2">
      <c r="B38" s="94" t="s">
        <v>1569</v>
      </c>
      <c r="D38" s="60" t="s">
        <v>1570</v>
      </c>
      <c r="E38" s="71">
        <f>VLOOKUP(J38,防御塔!$A$2:$N$13,7,FALSE)</f>
        <v>7.5</v>
      </c>
      <c r="F38" s="71">
        <f>VLOOKUP(J38,防御塔!$A$2:$N$13,5,FALSE)</f>
        <v>1</v>
      </c>
      <c r="G38" s="59" t="s">
        <v>1606</v>
      </c>
      <c r="H38" s="94" t="s">
        <v>1574</v>
      </c>
      <c r="I38" s="57" t="s">
        <v>1518</v>
      </c>
      <c r="J38" s="110" t="s">
        <v>1553</v>
      </c>
      <c r="K38" s="110">
        <v>3</v>
      </c>
    </row>
    <row r="39" spans="2:15" x14ac:dyDescent="0.2">
      <c r="B39" s="59"/>
      <c r="C39" s="60"/>
      <c r="D39" s="61"/>
      <c r="E39" s="61"/>
      <c r="F39" s="59"/>
      <c r="G39" s="59"/>
      <c r="H39" s="59"/>
      <c r="I39" s="62"/>
      <c r="J39" s="110"/>
    </row>
    <row r="40" spans="2:15" s="94" customFormat="1" x14ac:dyDescent="0.2">
      <c r="B40" s="94" t="s">
        <v>607</v>
      </c>
      <c r="D40" s="94" t="s">
        <v>1896</v>
      </c>
      <c r="E40" s="94">
        <v>5</v>
      </c>
      <c r="F40" s="94">
        <v>1</v>
      </c>
      <c r="G40" s="94" t="s">
        <v>1597</v>
      </c>
      <c r="I40" s="94" t="s">
        <v>1897</v>
      </c>
      <c r="J40" s="111"/>
      <c r="K40" s="110"/>
      <c r="O40" s="112"/>
    </row>
    <row r="41" spans="2:15" s="94" customFormat="1" x14ac:dyDescent="0.2">
      <c r="B41" s="94" t="s">
        <v>608</v>
      </c>
      <c r="D41" s="94" t="s">
        <v>1896</v>
      </c>
      <c r="E41" s="94">
        <v>5</v>
      </c>
      <c r="F41" s="94">
        <v>1</v>
      </c>
      <c r="G41" s="94" t="s">
        <v>1597</v>
      </c>
      <c r="I41" s="94" t="s">
        <v>1898</v>
      </c>
      <c r="J41" s="111"/>
      <c r="K41" s="110"/>
      <c r="O41" s="112"/>
    </row>
    <row r="42" spans="2:15" s="94" customFormat="1" x14ac:dyDescent="0.2">
      <c r="B42" s="94" t="s">
        <v>609</v>
      </c>
      <c r="D42" s="94" t="s">
        <v>1896</v>
      </c>
      <c r="E42" s="94">
        <v>5</v>
      </c>
      <c r="F42" s="94">
        <v>1</v>
      </c>
      <c r="G42" s="94" t="s">
        <v>1597</v>
      </c>
      <c r="I42" s="94" t="s">
        <v>1899</v>
      </c>
      <c r="J42" s="111"/>
      <c r="K42" s="110"/>
      <c r="O42" s="112"/>
    </row>
    <row r="43" spans="2:15" s="94" customFormat="1" x14ac:dyDescent="0.2">
      <c r="B43" s="94" t="s">
        <v>610</v>
      </c>
      <c r="D43" s="94" t="s">
        <v>1896</v>
      </c>
      <c r="E43" s="94">
        <v>5</v>
      </c>
      <c r="F43" s="94">
        <v>1</v>
      </c>
      <c r="G43" s="94" t="s">
        <v>1597</v>
      </c>
      <c r="I43" s="94" t="s">
        <v>1900</v>
      </c>
      <c r="J43" s="111"/>
      <c r="K43" s="110"/>
      <c r="O43" s="112"/>
    </row>
    <row r="44" spans="2:15" s="94" customFormat="1" x14ac:dyDescent="0.2">
      <c r="B44" s="94" t="s">
        <v>611</v>
      </c>
      <c r="D44" s="94" t="s">
        <v>1896</v>
      </c>
      <c r="E44" s="94">
        <v>5</v>
      </c>
      <c r="F44" s="94">
        <v>1</v>
      </c>
      <c r="G44" s="94" t="s">
        <v>1597</v>
      </c>
      <c r="I44" s="94" t="s">
        <v>1901</v>
      </c>
      <c r="J44" s="111"/>
      <c r="K44" s="110"/>
      <c r="O44" s="112"/>
    </row>
    <row r="45" spans="2:15" s="94" customFormat="1" x14ac:dyDescent="0.2">
      <c r="B45" s="94" t="s">
        <v>612</v>
      </c>
      <c r="D45" s="94" t="s">
        <v>1896</v>
      </c>
      <c r="E45" s="94">
        <v>5</v>
      </c>
      <c r="F45" s="94">
        <v>1</v>
      </c>
      <c r="G45" s="94" t="s">
        <v>1597</v>
      </c>
      <c r="I45" s="94" t="s">
        <v>1902</v>
      </c>
      <c r="J45" s="111"/>
      <c r="K45" s="110"/>
      <c r="O45" s="112"/>
    </row>
    <row r="46" spans="2:15" s="94" customFormat="1" x14ac:dyDescent="0.2">
      <c r="B46" s="94" t="s">
        <v>613</v>
      </c>
      <c r="D46" s="94" t="s">
        <v>1896</v>
      </c>
      <c r="E46" s="94">
        <v>5</v>
      </c>
      <c r="F46" s="94">
        <v>1</v>
      </c>
      <c r="G46" s="94" t="s">
        <v>1597</v>
      </c>
      <c r="I46" s="94" t="s">
        <v>1903</v>
      </c>
      <c r="J46" s="111"/>
      <c r="K46" s="110"/>
      <c r="O46" s="112"/>
    </row>
    <row r="47" spans="2:15" s="94" customFormat="1" x14ac:dyDescent="0.2">
      <c r="B47" s="94" t="s">
        <v>614</v>
      </c>
      <c r="D47" s="94" t="s">
        <v>1896</v>
      </c>
      <c r="E47" s="94">
        <v>5</v>
      </c>
      <c r="F47" s="94">
        <v>1</v>
      </c>
      <c r="G47" s="94" t="s">
        <v>1597</v>
      </c>
      <c r="I47" s="94" t="s">
        <v>1904</v>
      </c>
      <c r="J47" s="111"/>
      <c r="K47" s="110"/>
      <c r="O47" s="112"/>
    </row>
    <row r="48" spans="2:15" s="94" customFormat="1" x14ac:dyDescent="0.2">
      <c r="B48" s="94" t="s">
        <v>615</v>
      </c>
      <c r="D48" s="94" t="s">
        <v>1896</v>
      </c>
      <c r="E48" s="94">
        <v>5</v>
      </c>
      <c r="F48" s="94">
        <v>1</v>
      </c>
      <c r="G48" s="94" t="s">
        <v>1597</v>
      </c>
      <c r="I48" s="94" t="s">
        <v>1905</v>
      </c>
      <c r="J48" s="111"/>
      <c r="K48" s="110"/>
      <c r="O48" s="112"/>
    </row>
    <row r="49" spans="2:15" s="94" customFormat="1" x14ac:dyDescent="0.2">
      <c r="B49" s="94" t="s">
        <v>616</v>
      </c>
      <c r="D49" s="94" t="s">
        <v>1896</v>
      </c>
      <c r="E49" s="94">
        <v>5</v>
      </c>
      <c r="F49" s="94">
        <v>1</v>
      </c>
      <c r="G49" s="94" t="s">
        <v>1597</v>
      </c>
      <c r="I49" s="94" t="s">
        <v>1906</v>
      </c>
      <c r="J49" s="111"/>
      <c r="K49" s="110"/>
      <c r="O49" s="112"/>
    </row>
    <row r="50" spans="2:15" s="94" customFormat="1" x14ac:dyDescent="0.2">
      <c r="B50" s="94" t="s">
        <v>617</v>
      </c>
      <c r="D50" s="94" t="s">
        <v>1896</v>
      </c>
      <c r="E50" s="94">
        <v>5</v>
      </c>
      <c r="F50" s="94">
        <v>1</v>
      </c>
      <c r="G50" s="94" t="s">
        <v>1597</v>
      </c>
      <c r="I50" s="94" t="s">
        <v>1907</v>
      </c>
      <c r="J50" s="111"/>
      <c r="K50" s="110"/>
      <c r="O50" s="112"/>
    </row>
    <row r="51" spans="2:15" s="94" customFormat="1" x14ac:dyDescent="0.2">
      <c r="B51" s="94" t="s">
        <v>618</v>
      </c>
      <c r="D51" s="94" t="s">
        <v>1896</v>
      </c>
      <c r="E51" s="94">
        <v>5</v>
      </c>
      <c r="F51" s="94">
        <v>1</v>
      </c>
      <c r="G51" s="94" t="s">
        <v>1597</v>
      </c>
      <c r="I51" s="94" t="s">
        <v>1908</v>
      </c>
      <c r="J51" s="111"/>
      <c r="K51" s="110"/>
      <c r="O51" s="112"/>
    </row>
    <row r="52" spans="2:15" s="94" customFormat="1" x14ac:dyDescent="0.2">
      <c r="B52" s="112" t="s">
        <v>1909</v>
      </c>
      <c r="D52" s="94" t="s">
        <v>1896</v>
      </c>
      <c r="E52" s="94">
        <v>5</v>
      </c>
      <c r="F52" s="94">
        <v>1</v>
      </c>
      <c r="G52" s="94" t="s">
        <v>1597</v>
      </c>
      <c r="I52" s="112" t="s">
        <v>1910</v>
      </c>
      <c r="J52" s="111"/>
      <c r="K52" s="110"/>
      <c r="O52" s="112"/>
    </row>
    <row r="53" spans="2:15" s="94" customFormat="1" x14ac:dyDescent="0.2">
      <c r="B53" s="94" t="s">
        <v>619</v>
      </c>
      <c r="D53" s="94" t="s">
        <v>1896</v>
      </c>
      <c r="E53" s="94">
        <v>5</v>
      </c>
      <c r="F53" s="94">
        <v>1</v>
      </c>
      <c r="G53" s="94" t="s">
        <v>1597</v>
      </c>
      <c r="I53" s="94" t="s">
        <v>1911</v>
      </c>
      <c r="J53" s="111"/>
      <c r="K53" s="110"/>
      <c r="O53" s="112"/>
    </row>
    <row r="54" spans="2:15" s="94" customFormat="1" x14ac:dyDescent="0.2">
      <c r="B54" s="94" t="s">
        <v>620</v>
      </c>
      <c r="D54" s="94" t="s">
        <v>1896</v>
      </c>
      <c r="E54" s="94">
        <v>5</v>
      </c>
      <c r="F54" s="94">
        <v>1</v>
      </c>
      <c r="G54" s="94" t="s">
        <v>1597</v>
      </c>
      <c r="I54" s="94" t="s">
        <v>1912</v>
      </c>
      <c r="J54" s="111"/>
      <c r="K54" s="110"/>
      <c r="O54" s="112"/>
    </row>
    <row r="55" spans="2:15" s="94" customFormat="1" x14ac:dyDescent="0.2">
      <c r="B55" s="94" t="s">
        <v>621</v>
      </c>
      <c r="D55" s="94" t="s">
        <v>1896</v>
      </c>
      <c r="E55" s="94">
        <v>5</v>
      </c>
      <c r="F55" s="94">
        <v>1</v>
      </c>
      <c r="G55" s="94" t="s">
        <v>1597</v>
      </c>
      <c r="I55" s="94" t="s">
        <v>1913</v>
      </c>
      <c r="J55" s="111"/>
      <c r="K55" s="110"/>
      <c r="O55" s="112"/>
    </row>
    <row r="56" spans="2:15" s="94" customFormat="1" x14ac:dyDescent="0.2">
      <c r="B56" s="94" t="s">
        <v>622</v>
      </c>
      <c r="D56" s="94" t="s">
        <v>1896</v>
      </c>
      <c r="E56" s="94">
        <v>5</v>
      </c>
      <c r="F56" s="94">
        <v>1</v>
      </c>
      <c r="G56" s="94" t="s">
        <v>1597</v>
      </c>
      <c r="I56" s="94" t="s">
        <v>1914</v>
      </c>
      <c r="J56" s="111"/>
      <c r="K56" s="110"/>
      <c r="O56" s="112"/>
    </row>
    <row r="57" spans="2:15" s="94" customFormat="1" x14ac:dyDescent="0.2">
      <c r="B57" s="94" t="s">
        <v>623</v>
      </c>
      <c r="D57" s="94" t="s">
        <v>1896</v>
      </c>
      <c r="E57" s="94">
        <v>5</v>
      </c>
      <c r="F57" s="94">
        <v>1</v>
      </c>
      <c r="G57" s="94" t="s">
        <v>1597</v>
      </c>
      <c r="I57" s="94" t="s">
        <v>1915</v>
      </c>
      <c r="J57" s="111"/>
      <c r="K57" s="110"/>
      <c r="O57" s="112"/>
    </row>
    <row r="58" spans="2:15" s="94" customFormat="1" x14ac:dyDescent="0.2">
      <c r="B58" s="112" t="s">
        <v>1916</v>
      </c>
      <c r="D58" s="112" t="s">
        <v>1917</v>
      </c>
      <c r="E58" s="94">
        <v>1</v>
      </c>
      <c r="F58" s="94">
        <v>1</v>
      </c>
      <c r="G58" s="112" t="s">
        <v>1597</v>
      </c>
      <c r="I58" s="57" t="s">
        <v>1918</v>
      </c>
      <c r="J58" s="111"/>
      <c r="K58" s="110"/>
      <c r="O58" s="112"/>
    </row>
    <row r="59" spans="2:15" x14ac:dyDescent="0.2">
      <c r="B59" s="59"/>
      <c r="C59" s="60"/>
      <c r="D59" s="61"/>
      <c r="E59" s="61"/>
      <c r="F59" s="59"/>
      <c r="G59" s="59"/>
      <c r="H59" s="59"/>
      <c r="I59" s="62"/>
      <c r="J59" s="57"/>
      <c r="K59" s="57"/>
    </row>
    <row r="60" spans="2:15" x14ac:dyDescent="0.2">
      <c r="B60" s="57" t="s">
        <v>885</v>
      </c>
      <c r="D60" s="60" t="s">
        <v>920</v>
      </c>
      <c r="E60" s="61">
        <v>5</v>
      </c>
      <c r="F60" s="59">
        <v>1</v>
      </c>
      <c r="G60" s="59" t="s">
        <v>1597</v>
      </c>
      <c r="H60" s="59"/>
      <c r="I60" s="57" t="s">
        <v>892</v>
      </c>
      <c r="J60" s="60" t="s">
        <v>1919</v>
      </c>
      <c r="K60" s="110"/>
    </row>
    <row r="61" spans="2:15" x14ac:dyDescent="0.2">
      <c r="B61" s="57" t="s">
        <v>886</v>
      </c>
      <c r="D61" s="60" t="s">
        <v>920</v>
      </c>
      <c r="E61" s="61">
        <v>5</v>
      </c>
      <c r="F61" s="59">
        <v>1</v>
      </c>
      <c r="G61" s="59" t="s">
        <v>1597</v>
      </c>
      <c r="H61" s="59"/>
      <c r="I61" s="57" t="s">
        <v>893</v>
      </c>
      <c r="J61" s="111"/>
      <c r="K61" s="110"/>
    </row>
    <row r="62" spans="2:15" x14ac:dyDescent="0.2">
      <c r="B62" s="57" t="s">
        <v>887</v>
      </c>
      <c r="D62" s="60" t="s">
        <v>920</v>
      </c>
      <c r="E62" s="61">
        <v>5</v>
      </c>
      <c r="F62" s="59">
        <v>1</v>
      </c>
      <c r="G62" s="59" t="s">
        <v>1597</v>
      </c>
      <c r="H62" s="59"/>
      <c r="I62" s="57" t="s">
        <v>894</v>
      </c>
      <c r="J62" s="110"/>
      <c r="K62" s="110"/>
    </row>
    <row r="63" spans="2:15" x14ac:dyDescent="0.2">
      <c r="B63" s="57" t="s">
        <v>888</v>
      </c>
      <c r="D63" s="60" t="s">
        <v>920</v>
      </c>
      <c r="E63" s="61">
        <v>5</v>
      </c>
      <c r="F63" s="59">
        <v>1</v>
      </c>
      <c r="G63" s="59" t="s">
        <v>1597</v>
      </c>
      <c r="H63" s="59"/>
      <c r="I63" s="57" t="s">
        <v>895</v>
      </c>
      <c r="J63" s="111"/>
      <c r="K63" s="111"/>
    </row>
    <row r="64" spans="2:15" x14ac:dyDescent="0.2">
      <c r="B64" s="57" t="s">
        <v>889</v>
      </c>
      <c r="D64" s="60" t="s">
        <v>920</v>
      </c>
      <c r="E64" s="61">
        <v>5</v>
      </c>
      <c r="F64" s="59">
        <v>1</v>
      </c>
      <c r="G64" s="59" t="s">
        <v>1597</v>
      </c>
      <c r="I64" s="57" t="s">
        <v>896</v>
      </c>
      <c r="J64" s="111"/>
      <c r="K64" s="111"/>
    </row>
    <row r="65" spans="2:11" x14ac:dyDescent="0.2">
      <c r="B65" s="57" t="s">
        <v>890</v>
      </c>
      <c r="D65" s="60" t="s">
        <v>920</v>
      </c>
      <c r="E65" s="61">
        <v>5</v>
      </c>
      <c r="F65" s="59">
        <v>1</v>
      </c>
      <c r="G65" s="59" t="s">
        <v>1597</v>
      </c>
      <c r="H65" s="59"/>
      <c r="I65" s="57" t="s">
        <v>897</v>
      </c>
      <c r="J65" s="111"/>
      <c r="K65" s="111"/>
    </row>
    <row r="66" spans="2:11" x14ac:dyDescent="0.2">
      <c r="B66" s="57" t="s">
        <v>891</v>
      </c>
      <c r="D66" s="60" t="s">
        <v>920</v>
      </c>
      <c r="E66" s="61">
        <v>5</v>
      </c>
      <c r="F66" s="59">
        <v>1</v>
      </c>
      <c r="G66" s="59" t="s">
        <v>1597</v>
      </c>
      <c r="H66" s="59"/>
      <c r="I66" s="57" t="s">
        <v>898</v>
      </c>
      <c r="J66" s="111"/>
      <c r="K66" s="111"/>
    </row>
    <row r="67" spans="2:11" s="94" customFormat="1" x14ac:dyDescent="0.2">
      <c r="B67" s="57" t="s">
        <v>912</v>
      </c>
      <c r="D67" s="60" t="s">
        <v>921</v>
      </c>
      <c r="E67" s="94">
        <v>5</v>
      </c>
      <c r="F67" s="94">
        <v>1</v>
      </c>
      <c r="G67" s="94" t="s">
        <v>1597</v>
      </c>
      <c r="I67" s="57" t="s">
        <v>922</v>
      </c>
      <c r="J67" s="60" t="s">
        <v>1920</v>
      </c>
      <c r="K67" s="57"/>
    </row>
    <row r="68" spans="2:11" s="94" customFormat="1" x14ac:dyDescent="0.2">
      <c r="B68" s="57" t="s">
        <v>913</v>
      </c>
      <c r="D68" s="60" t="s">
        <v>921</v>
      </c>
      <c r="E68" s="94">
        <v>5</v>
      </c>
      <c r="F68" s="94">
        <v>1</v>
      </c>
      <c r="G68" s="94" t="s">
        <v>1597</v>
      </c>
      <c r="I68" s="57" t="s">
        <v>923</v>
      </c>
      <c r="J68" s="57"/>
      <c r="K68" s="57"/>
    </row>
    <row r="69" spans="2:11" s="94" customFormat="1" x14ac:dyDescent="0.2">
      <c r="B69" s="57" t="s">
        <v>914</v>
      </c>
      <c r="D69" s="60" t="s">
        <v>921</v>
      </c>
      <c r="E69" s="94">
        <v>5</v>
      </c>
      <c r="F69" s="94">
        <v>1</v>
      </c>
      <c r="G69" s="94" t="s">
        <v>1597</v>
      </c>
      <c r="I69" s="57" t="s">
        <v>924</v>
      </c>
      <c r="J69" s="57"/>
      <c r="K69" s="57"/>
    </row>
    <row r="70" spans="2:11" s="94" customFormat="1" x14ac:dyDescent="0.2">
      <c r="B70" s="57" t="s">
        <v>915</v>
      </c>
      <c r="D70" s="60" t="s">
        <v>921</v>
      </c>
      <c r="E70" s="94">
        <v>5</v>
      </c>
      <c r="F70" s="94">
        <v>1</v>
      </c>
      <c r="G70" s="94" t="s">
        <v>1597</v>
      </c>
      <c r="I70" s="57" t="s">
        <v>925</v>
      </c>
      <c r="J70" s="57"/>
      <c r="K70" s="57"/>
    </row>
    <row r="71" spans="2:11" s="94" customFormat="1" x14ac:dyDescent="0.2">
      <c r="B71" s="57" t="s">
        <v>916</v>
      </c>
      <c r="D71" s="60" t="s">
        <v>921</v>
      </c>
      <c r="E71" s="94">
        <v>5</v>
      </c>
      <c r="F71" s="94">
        <v>1</v>
      </c>
      <c r="G71" s="94" t="s">
        <v>1597</v>
      </c>
      <c r="I71" s="57" t="s">
        <v>926</v>
      </c>
      <c r="J71" s="57"/>
      <c r="K71" s="57"/>
    </row>
    <row r="72" spans="2:11" s="94" customFormat="1" x14ac:dyDescent="0.2">
      <c r="B72" s="57" t="s">
        <v>917</v>
      </c>
      <c r="D72" s="60" t="s">
        <v>921</v>
      </c>
      <c r="E72" s="94">
        <v>5</v>
      </c>
      <c r="F72" s="94">
        <v>1</v>
      </c>
      <c r="G72" s="94" t="s">
        <v>1597</v>
      </c>
      <c r="I72" s="57" t="s">
        <v>927</v>
      </c>
      <c r="J72" s="57"/>
      <c r="K72" s="57"/>
    </row>
    <row r="73" spans="2:11" s="94" customFormat="1" x14ac:dyDescent="0.2">
      <c r="B73" s="57" t="s">
        <v>918</v>
      </c>
      <c r="D73" s="60" t="s">
        <v>921</v>
      </c>
      <c r="E73" s="94">
        <v>5</v>
      </c>
      <c r="F73" s="94">
        <v>1</v>
      </c>
      <c r="G73" s="94" t="s">
        <v>1597</v>
      </c>
      <c r="I73" s="57" t="s">
        <v>928</v>
      </c>
      <c r="J73" s="57"/>
      <c r="K73" s="57"/>
    </row>
    <row r="74" spans="2:11" s="94" customFormat="1" x14ac:dyDescent="0.2">
      <c r="B74" s="57" t="s">
        <v>919</v>
      </c>
      <c r="D74" s="60" t="s">
        <v>921</v>
      </c>
      <c r="E74" s="94">
        <v>5</v>
      </c>
      <c r="F74" s="94">
        <v>1</v>
      </c>
      <c r="G74" s="94" t="s">
        <v>1597</v>
      </c>
      <c r="I74" s="57" t="s">
        <v>929</v>
      </c>
      <c r="J74" s="57"/>
      <c r="K74" s="57"/>
    </row>
    <row r="75" spans="2:11" s="94" customFormat="1" x14ac:dyDescent="0.2">
      <c r="B75" s="57" t="s">
        <v>930</v>
      </c>
      <c r="D75" s="60" t="s">
        <v>1889</v>
      </c>
      <c r="E75" s="94">
        <v>5</v>
      </c>
      <c r="F75" s="94">
        <v>1</v>
      </c>
      <c r="G75" s="94" t="s">
        <v>1597</v>
      </c>
      <c r="I75" s="57" t="s">
        <v>1890</v>
      </c>
      <c r="J75" s="60" t="s">
        <v>1921</v>
      </c>
      <c r="K75" s="57"/>
    </row>
    <row r="76" spans="2:11" s="94" customFormat="1" x14ac:dyDescent="0.2">
      <c r="B76" s="57" t="s">
        <v>931</v>
      </c>
      <c r="D76" s="60" t="s">
        <v>1889</v>
      </c>
      <c r="E76" s="94">
        <v>5</v>
      </c>
      <c r="F76" s="94">
        <v>1</v>
      </c>
      <c r="G76" s="94" t="s">
        <v>1597</v>
      </c>
      <c r="I76" s="57" t="s">
        <v>1891</v>
      </c>
      <c r="K76" s="57"/>
    </row>
    <row r="77" spans="2:11" s="94" customFormat="1" x14ac:dyDescent="0.2">
      <c r="B77" s="57" t="s">
        <v>932</v>
      </c>
      <c r="D77" s="60" t="s">
        <v>1889</v>
      </c>
      <c r="E77" s="94">
        <v>5</v>
      </c>
      <c r="F77" s="94">
        <v>1</v>
      </c>
      <c r="G77" s="94" t="s">
        <v>1597</v>
      </c>
      <c r="I77" s="57" t="s">
        <v>1892</v>
      </c>
      <c r="K77" s="57"/>
    </row>
    <row r="78" spans="2:11" s="94" customFormat="1" x14ac:dyDescent="0.2">
      <c r="B78" s="57" t="s">
        <v>933</v>
      </c>
      <c r="D78" s="60" t="s">
        <v>1889</v>
      </c>
      <c r="E78" s="94">
        <v>5</v>
      </c>
      <c r="F78" s="94">
        <v>1</v>
      </c>
      <c r="G78" s="94" t="s">
        <v>1597</v>
      </c>
      <c r="I78" s="57" t="s">
        <v>1893</v>
      </c>
      <c r="K78" s="57"/>
    </row>
    <row r="79" spans="2:11" s="94" customFormat="1" x14ac:dyDescent="0.2">
      <c r="B79" s="57" t="s">
        <v>934</v>
      </c>
      <c r="D79" s="60" t="s">
        <v>1889</v>
      </c>
      <c r="E79" s="94">
        <v>5</v>
      </c>
      <c r="F79" s="94">
        <v>1</v>
      </c>
      <c r="G79" s="94" t="s">
        <v>1597</v>
      </c>
      <c r="I79" s="57" t="s">
        <v>1894</v>
      </c>
      <c r="K79" s="57"/>
    </row>
    <row r="80" spans="2:11" s="94" customFormat="1" x14ac:dyDescent="0.2">
      <c r="B80" s="57" t="s">
        <v>935</v>
      </c>
      <c r="D80" s="60" t="s">
        <v>1889</v>
      </c>
      <c r="E80" s="94">
        <v>5</v>
      </c>
      <c r="F80" s="94">
        <v>1</v>
      </c>
      <c r="G80" s="94" t="s">
        <v>1597</v>
      </c>
      <c r="I80" s="57" t="s">
        <v>1895</v>
      </c>
      <c r="K80" s="57"/>
    </row>
    <row r="81" spans="2:11" s="94" customFormat="1" x14ac:dyDescent="0.2">
      <c r="B81" s="94" t="s">
        <v>1271</v>
      </c>
      <c r="D81" s="60" t="s">
        <v>1272</v>
      </c>
      <c r="E81" s="94">
        <v>3</v>
      </c>
      <c r="F81" s="94">
        <v>1</v>
      </c>
      <c r="G81" s="94" t="s">
        <v>1597</v>
      </c>
      <c r="I81" s="57" t="s">
        <v>1273</v>
      </c>
      <c r="J81" s="60" t="s">
        <v>1922</v>
      </c>
      <c r="K81" s="57"/>
    </row>
    <row r="82" spans="2:11" s="94" customFormat="1" x14ac:dyDescent="0.2">
      <c r="B82" s="94" t="s">
        <v>1274</v>
      </c>
      <c r="D82" s="60" t="s">
        <v>1272</v>
      </c>
      <c r="E82" s="94">
        <v>5</v>
      </c>
      <c r="F82" s="94">
        <v>1</v>
      </c>
      <c r="G82" s="94" t="s">
        <v>1597</v>
      </c>
      <c r="I82" s="57" t="s">
        <v>1275</v>
      </c>
      <c r="J82" s="57"/>
      <c r="K82" s="57"/>
    </row>
    <row r="83" spans="2:11" s="94" customFormat="1" x14ac:dyDescent="0.2">
      <c r="B83" s="94" t="s">
        <v>1276</v>
      </c>
      <c r="D83" s="60" t="s">
        <v>1272</v>
      </c>
      <c r="E83" s="94">
        <v>8</v>
      </c>
      <c r="F83" s="94">
        <v>1</v>
      </c>
      <c r="G83" s="94" t="s">
        <v>1597</v>
      </c>
      <c r="I83" s="57" t="s">
        <v>1277</v>
      </c>
      <c r="J83" s="57"/>
      <c r="K83" s="57"/>
    </row>
  </sheetData>
  <sortState xmlns:xlrd2="http://schemas.microsoft.com/office/spreadsheetml/2017/richdata2" ref="B60:B78">
    <sortCondition ref="B60:B78"/>
  </sortState>
  <phoneticPr fontId="4" type="noConversion"/>
  <conditionalFormatting sqref="B75:B76">
    <cfRule type="duplicateValues" dxfId="16" priority="15"/>
  </conditionalFormatting>
  <conditionalFormatting sqref="B77">
    <cfRule type="duplicateValues" dxfId="15" priority="14"/>
  </conditionalFormatting>
  <conditionalFormatting sqref="B78">
    <cfRule type="duplicateValues" dxfId="14" priority="13"/>
  </conditionalFormatting>
  <conditionalFormatting sqref="B79">
    <cfRule type="duplicateValues" dxfId="13" priority="12"/>
  </conditionalFormatting>
  <conditionalFormatting sqref="B80">
    <cfRule type="duplicateValues" dxfId="12" priority="11"/>
  </conditionalFormatting>
  <conditionalFormatting sqref="I75:I76">
    <cfRule type="duplicateValues" dxfId="11" priority="10"/>
  </conditionalFormatting>
  <conditionalFormatting sqref="I77">
    <cfRule type="duplicateValues" dxfId="10" priority="9"/>
  </conditionalFormatting>
  <conditionalFormatting sqref="I78">
    <cfRule type="duplicateValues" dxfId="9" priority="8"/>
  </conditionalFormatting>
  <conditionalFormatting sqref="I79">
    <cfRule type="duplicateValues" dxfId="8" priority="7"/>
  </conditionalFormatting>
  <conditionalFormatting sqref="I80">
    <cfRule type="duplicateValues" dxfId="7" priority="6"/>
  </conditionalFormatting>
  <conditionalFormatting sqref="I81:I83">
    <cfRule type="duplicateValues" dxfId="6" priority="5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21B9E-6CAD-4BB5-A082-DC357E5A6BFE}">
  <dimension ref="A1:T30"/>
  <sheetViews>
    <sheetView workbookViewId="0">
      <selection activeCell="G5" sqref="G5"/>
    </sheetView>
  </sheetViews>
  <sheetFormatPr defaultColWidth="9" defaultRowHeight="14.25" x14ac:dyDescent="0.2"/>
  <cols>
    <col min="1" max="1" width="8.75" style="57" customWidth="1"/>
    <col min="2" max="2" width="34" style="57" customWidth="1"/>
    <col min="3" max="3" width="6.125" style="57" customWidth="1"/>
    <col min="4" max="4" width="36.75" style="57" customWidth="1"/>
    <col min="5" max="5" width="25.125" style="57" customWidth="1"/>
    <col min="6" max="6" width="33" style="57" customWidth="1"/>
    <col min="7" max="8" width="13" style="57" customWidth="1"/>
    <col min="9" max="10" width="13.375" style="57" customWidth="1"/>
    <col min="11" max="11" width="13.875" style="57" customWidth="1"/>
    <col min="12" max="13" width="15.375" style="57" customWidth="1"/>
    <col min="14" max="16384" width="9" style="57"/>
  </cols>
  <sheetData>
    <row r="1" spans="1:20" s="99" customFormat="1" x14ac:dyDescent="0.2">
      <c r="A1" s="63" t="s">
        <v>67</v>
      </c>
      <c r="B1" s="63" t="s">
        <v>68</v>
      </c>
      <c r="C1" s="63" t="s">
        <v>69</v>
      </c>
      <c r="D1" s="63" t="s">
        <v>70</v>
      </c>
      <c r="E1" s="187" t="s">
        <v>220</v>
      </c>
      <c r="F1" s="187"/>
      <c r="G1" s="187"/>
      <c r="H1" s="187"/>
      <c r="I1" s="187"/>
      <c r="J1" s="187"/>
      <c r="K1" s="63"/>
      <c r="L1" s="63"/>
      <c r="M1" s="63"/>
      <c r="N1" s="57"/>
      <c r="O1" s="57"/>
      <c r="P1" s="57"/>
      <c r="Q1" s="57"/>
      <c r="R1" s="57"/>
      <c r="S1" s="57"/>
      <c r="T1" s="57"/>
    </row>
    <row r="2" spans="1:20" s="99" customFormat="1" x14ac:dyDescent="0.2">
      <c r="A2" s="63" t="s">
        <v>67</v>
      </c>
      <c r="B2" s="63"/>
      <c r="C2" s="63"/>
      <c r="D2" s="63"/>
      <c r="E2" s="63" t="s">
        <v>225</v>
      </c>
      <c r="F2" s="63" t="s">
        <v>226</v>
      </c>
      <c r="G2" s="63" t="s">
        <v>227</v>
      </c>
      <c r="H2" s="63" t="s">
        <v>228</v>
      </c>
      <c r="I2" s="63" t="s">
        <v>229</v>
      </c>
      <c r="J2" s="63" t="s">
        <v>230</v>
      </c>
      <c r="K2" s="63"/>
      <c r="L2" s="63"/>
      <c r="M2" s="63"/>
      <c r="N2" s="57"/>
      <c r="O2" s="57"/>
      <c r="P2" s="57"/>
      <c r="Q2" s="57"/>
      <c r="R2" s="57"/>
      <c r="S2" s="57"/>
      <c r="T2" s="57"/>
    </row>
    <row r="3" spans="1:20" s="101" customFormat="1" x14ac:dyDescent="0.2">
      <c r="A3" s="64" t="s">
        <v>71</v>
      </c>
      <c r="B3" s="64" t="s">
        <v>72</v>
      </c>
      <c r="C3" s="64" t="s">
        <v>72</v>
      </c>
      <c r="D3" s="64" t="s">
        <v>72</v>
      </c>
      <c r="E3" s="188" t="s">
        <v>231</v>
      </c>
      <c r="F3" s="188"/>
      <c r="G3" s="188"/>
      <c r="H3" s="188"/>
      <c r="I3" s="188"/>
      <c r="J3" s="188"/>
      <c r="K3" s="64"/>
      <c r="L3" s="64"/>
      <c r="M3" s="64"/>
      <c r="N3" s="57"/>
      <c r="O3" s="57"/>
      <c r="P3" s="57"/>
      <c r="Q3" s="57"/>
      <c r="R3" s="57"/>
      <c r="S3" s="57"/>
      <c r="T3" s="57"/>
    </row>
    <row r="4" spans="1:20" s="101" customFormat="1" x14ac:dyDescent="0.2">
      <c r="A4" s="64" t="s">
        <v>75</v>
      </c>
      <c r="B4" s="64"/>
      <c r="C4" s="64"/>
      <c r="D4" s="64" t="s">
        <v>76</v>
      </c>
      <c r="E4" s="64"/>
      <c r="F4" s="64"/>
      <c r="G4" s="64"/>
      <c r="H4" s="64"/>
      <c r="I4" s="64"/>
      <c r="J4" s="64"/>
      <c r="K4" s="64"/>
      <c r="L4" s="64"/>
      <c r="M4" s="64"/>
      <c r="N4" s="57"/>
      <c r="O4" s="57"/>
      <c r="P4" s="57"/>
      <c r="Q4" s="57"/>
      <c r="R4" s="57"/>
      <c r="S4" s="57"/>
      <c r="T4" s="57"/>
    </row>
    <row r="5" spans="1:20" s="99" customFormat="1" x14ac:dyDescent="0.2">
      <c r="A5" s="63" t="s">
        <v>77</v>
      </c>
      <c r="B5" s="63" t="s">
        <v>78</v>
      </c>
      <c r="C5" s="63" t="s">
        <v>79</v>
      </c>
      <c r="D5" s="63" t="s">
        <v>80</v>
      </c>
      <c r="E5" s="63" t="s">
        <v>232</v>
      </c>
      <c r="F5" s="63" t="s">
        <v>233</v>
      </c>
      <c r="G5" s="63" t="s">
        <v>234</v>
      </c>
      <c r="H5" s="63" t="s">
        <v>235</v>
      </c>
      <c r="I5" s="63" t="s">
        <v>236</v>
      </c>
      <c r="J5" s="63" t="s">
        <v>237</v>
      </c>
      <c r="K5" s="63" t="s">
        <v>453</v>
      </c>
      <c r="L5" s="63" t="s">
        <v>453</v>
      </c>
      <c r="M5" s="63" t="s">
        <v>453</v>
      </c>
      <c r="N5" s="57"/>
      <c r="O5" s="57"/>
      <c r="P5" s="57"/>
      <c r="Q5" s="57"/>
      <c r="R5" s="57"/>
      <c r="S5" s="57"/>
      <c r="T5" s="57"/>
    </row>
    <row r="6" spans="1:20" x14ac:dyDescent="0.2">
      <c r="B6" s="57" t="s">
        <v>221</v>
      </c>
      <c r="D6" s="94" t="s">
        <v>238</v>
      </c>
      <c r="E6" s="68" t="s">
        <v>239</v>
      </c>
      <c r="F6" s="57">
        <v>1</v>
      </c>
      <c r="G6" s="57">
        <v>0</v>
      </c>
      <c r="H6" s="57">
        <v>0</v>
      </c>
      <c r="I6" s="57">
        <v>0</v>
      </c>
      <c r="J6" s="57">
        <v>0</v>
      </c>
      <c r="K6" s="110" t="s">
        <v>254</v>
      </c>
      <c r="L6" s="110"/>
      <c r="M6" s="110"/>
    </row>
    <row r="7" spans="1:20" x14ac:dyDescent="0.2">
      <c r="B7" s="57" t="s">
        <v>246</v>
      </c>
      <c r="D7" s="112" t="s">
        <v>240</v>
      </c>
      <c r="E7" s="68" t="s">
        <v>239</v>
      </c>
      <c r="F7" s="57">
        <v>1</v>
      </c>
      <c r="G7" s="102">
        <f>VLOOKUP(K7,防御塔!$A$2:$N$10,11+ActionCfg_DamageUnit!L7,FALSE)*100</f>
        <v>47</v>
      </c>
      <c r="H7" s="102">
        <f>(VLOOKUP(K7,防御塔!$A$2:$N$10,3,FALSE)-VLOOKUP(K7,防御塔!$A$2:$N$10,4,FALSE))/VLOOKUP(K7,防御塔!$A$2:$N$10,4,FALSE)*100</f>
        <v>700</v>
      </c>
      <c r="I7" s="57">
        <v>0</v>
      </c>
      <c r="J7" s="57">
        <v>0</v>
      </c>
      <c r="K7" s="110" t="s">
        <v>252</v>
      </c>
      <c r="L7" s="110">
        <v>1</v>
      </c>
      <c r="M7" s="110"/>
    </row>
    <row r="8" spans="1:20" x14ac:dyDescent="0.2">
      <c r="B8" s="57" t="s">
        <v>247</v>
      </c>
      <c r="D8" s="112" t="s">
        <v>241</v>
      </c>
      <c r="E8" s="68" t="s">
        <v>239</v>
      </c>
      <c r="F8" s="57">
        <v>1</v>
      </c>
      <c r="G8" s="102">
        <f>VLOOKUP(K8,防御塔!$A$2:$N$10,11+ActionCfg_DamageUnit!L8,FALSE)*100</f>
        <v>47</v>
      </c>
      <c r="H8" s="102">
        <f>(VLOOKUP(K8,防御塔!$A$2:$N$10,3,FALSE)-VLOOKUP(K8,防御塔!$A$2:$N$10,4,FALSE))/VLOOKUP(K8,防御塔!$A$2:$N$10,4,FALSE)*100</f>
        <v>700</v>
      </c>
      <c r="I8" s="57">
        <v>0</v>
      </c>
      <c r="J8" s="57">
        <v>0</v>
      </c>
      <c r="K8" s="110" t="s">
        <v>252</v>
      </c>
      <c r="L8" s="110">
        <v>2</v>
      </c>
      <c r="M8" s="110"/>
    </row>
    <row r="9" spans="1:20" x14ac:dyDescent="0.2">
      <c r="B9" s="57" t="s">
        <v>248</v>
      </c>
      <c r="D9" s="112" t="s">
        <v>242</v>
      </c>
      <c r="E9" s="68" t="s">
        <v>239</v>
      </c>
      <c r="F9" s="57">
        <v>1</v>
      </c>
      <c r="G9" s="102">
        <f>VLOOKUP(K9,防御塔!$A$2:$N$10,11+ActionCfg_DamageUnit!L9,FALSE)*100</f>
        <v>0</v>
      </c>
      <c r="H9" s="102">
        <f>(VLOOKUP(K9,防御塔!$A$2:$N$10,3,FALSE)-VLOOKUP(K9,防御塔!$A$2:$N$10,4,FALSE))/VLOOKUP(K9,防御塔!$A$2:$N$10,4,FALSE)*100</f>
        <v>700</v>
      </c>
      <c r="I9" s="57">
        <v>0</v>
      </c>
      <c r="J9" s="57">
        <v>0</v>
      </c>
      <c r="K9" s="110" t="s">
        <v>252</v>
      </c>
      <c r="L9" s="110">
        <v>3</v>
      </c>
      <c r="M9" s="110"/>
    </row>
    <row r="10" spans="1:20" x14ac:dyDescent="0.2">
      <c r="B10" s="57" t="s">
        <v>249</v>
      </c>
      <c r="D10" s="112" t="s">
        <v>243</v>
      </c>
      <c r="E10" s="68" t="s">
        <v>239</v>
      </c>
      <c r="F10" s="57">
        <v>1</v>
      </c>
      <c r="G10" s="57">
        <v>0</v>
      </c>
      <c r="H10" s="57">
        <v>0</v>
      </c>
      <c r="I10" s="102">
        <f>0-VLOOKUP(K10,防御塔!$A$2:$N$10,11+ActionCfg_DamageUnit!L10,FALSE)*100</f>
        <v>-70</v>
      </c>
      <c r="J10" s="102">
        <f>(VLOOKUP(K10,防御塔!$A$2:$N$10,3,FALSE)-VLOOKUP(K10,防御塔!$A$2:$N$10,4,FALSE))/VLOOKUP(K10,防御塔!$A$2:$N$10,4,FALSE)*100</f>
        <v>700</v>
      </c>
      <c r="K10" s="110" t="s">
        <v>253</v>
      </c>
      <c r="L10" s="110">
        <v>1</v>
      </c>
      <c r="M10" s="110"/>
    </row>
    <row r="11" spans="1:20" x14ac:dyDescent="0.2">
      <c r="B11" s="57" t="s">
        <v>250</v>
      </c>
      <c r="D11" s="112" t="s">
        <v>244</v>
      </c>
      <c r="E11" s="68" t="s">
        <v>239</v>
      </c>
      <c r="F11" s="57">
        <v>1</v>
      </c>
      <c r="G11" s="57">
        <v>0</v>
      </c>
      <c r="H11" s="57">
        <v>0</v>
      </c>
      <c r="I11" s="102">
        <f>0-VLOOKUP(K11,防御塔!$A$2:$N$10,11+ActionCfg_DamageUnit!L11,FALSE)*100</f>
        <v>-70</v>
      </c>
      <c r="J11" s="102">
        <f>(VLOOKUP(K11,防御塔!$A$2:$N$10,3,FALSE)-VLOOKUP(K11,防御塔!$A$2:$N$10,4,FALSE))/VLOOKUP(K11,防御塔!$A$2:$N$10,4,FALSE)*100</f>
        <v>700</v>
      </c>
      <c r="K11" s="110" t="s">
        <v>253</v>
      </c>
      <c r="L11" s="110">
        <v>2</v>
      </c>
      <c r="M11" s="110"/>
    </row>
    <row r="12" spans="1:20" x14ac:dyDescent="0.2">
      <c r="B12" s="57" t="s">
        <v>251</v>
      </c>
      <c r="D12" s="112" t="s">
        <v>245</v>
      </c>
      <c r="E12" s="68" t="s">
        <v>239</v>
      </c>
      <c r="F12" s="57">
        <v>1</v>
      </c>
      <c r="G12" s="57">
        <v>0</v>
      </c>
      <c r="H12" s="57">
        <v>0</v>
      </c>
      <c r="I12" s="102">
        <f>0-VLOOKUP(K12,防御塔!$A$2:$N$10,11+ActionCfg_DamageUnit!L12,FALSE)*100</f>
        <v>-70</v>
      </c>
      <c r="J12" s="102">
        <f>(VLOOKUP(K12,防御塔!$A$2:$N$10,3,FALSE)-VLOOKUP(K12,防御塔!$A$2:$N$10,4,FALSE))/VLOOKUP(K12,防御塔!$A$2:$N$10,4,FALSE)*100</f>
        <v>700</v>
      </c>
      <c r="K12" s="110" t="s">
        <v>253</v>
      </c>
      <c r="L12" s="110">
        <v>3</v>
      </c>
      <c r="M12" s="110"/>
    </row>
    <row r="13" spans="1:20" x14ac:dyDescent="0.2">
      <c r="B13" s="57" t="s">
        <v>1295</v>
      </c>
      <c r="D13" s="94" t="s">
        <v>1296</v>
      </c>
      <c r="E13" s="68" t="s">
        <v>239</v>
      </c>
      <c r="F13" s="102">
        <f>VLOOKUP(K13,防御塔!$A$2:$O$10,15,FALSE)</f>
        <v>1</v>
      </c>
      <c r="G13" s="57">
        <v>0</v>
      </c>
      <c r="H13" s="57">
        <v>0</v>
      </c>
      <c r="I13" s="57">
        <v>0</v>
      </c>
      <c r="J13" s="57">
        <v>0</v>
      </c>
      <c r="K13" s="110" t="s">
        <v>642</v>
      </c>
      <c r="L13" s="110">
        <v>3</v>
      </c>
      <c r="M13" s="110"/>
    </row>
    <row r="14" spans="1:20" x14ac:dyDescent="0.2">
      <c r="K14" s="110"/>
      <c r="L14" s="110"/>
      <c r="M14" s="110"/>
    </row>
    <row r="15" spans="1:20" x14ac:dyDescent="0.2">
      <c r="B15" s="57" t="s">
        <v>625</v>
      </c>
      <c r="D15" s="68" t="s">
        <v>626</v>
      </c>
      <c r="E15" s="57" t="s">
        <v>624</v>
      </c>
      <c r="F15" s="102">
        <f>-ROUND(VLOOKUP(RIGHT(LEFT(B15,LEN(B15)-10),LEN(LEFT(B15,LEN(B15)-10))-20)+0,无限模式!$A$3:$B$22,2,FALSE)*3*0.075,0)</f>
        <v>-2430</v>
      </c>
      <c r="G15" s="57">
        <v>0</v>
      </c>
      <c r="H15" s="57">
        <v>0</v>
      </c>
      <c r="I15" s="57">
        <v>0</v>
      </c>
      <c r="J15" s="57">
        <v>0</v>
      </c>
      <c r="K15" s="110"/>
      <c r="L15" s="110"/>
      <c r="M15" s="110"/>
    </row>
    <row r="16" spans="1:20" x14ac:dyDescent="0.2">
      <c r="B16" s="57" t="s">
        <v>627</v>
      </c>
      <c r="D16" s="68" t="s">
        <v>626</v>
      </c>
      <c r="E16" s="57" t="s">
        <v>624</v>
      </c>
      <c r="F16" s="102">
        <f>-ROUND(VLOOKUP(RIGHT(LEFT(B16,LEN(B16)-10),LEN(LEFT(B16,LEN(B16)-10))-20)+0,无限模式!$A$3:$B$22,2,FALSE)*3*0.075,0)</f>
        <v>-2633</v>
      </c>
      <c r="G16" s="57">
        <v>0</v>
      </c>
      <c r="H16" s="57">
        <v>0</v>
      </c>
      <c r="I16" s="57">
        <v>0</v>
      </c>
      <c r="J16" s="57">
        <v>0</v>
      </c>
      <c r="K16" s="110"/>
      <c r="L16" s="110"/>
      <c r="M16" s="110"/>
    </row>
    <row r="17" spans="2:13" x14ac:dyDescent="0.2">
      <c r="B17" s="57" t="s">
        <v>628</v>
      </c>
      <c r="D17" s="68" t="s">
        <v>626</v>
      </c>
      <c r="E17" s="57" t="s">
        <v>624</v>
      </c>
      <c r="F17" s="102">
        <f>-ROUND(VLOOKUP(RIGHT(LEFT(B17,LEN(B17)-10),LEN(LEFT(B17,LEN(B17)-10))-20)+0,无限模式!$A$3:$B$22,2,FALSE)*3*0.075,0)</f>
        <v>-2835</v>
      </c>
      <c r="G17" s="57">
        <v>0</v>
      </c>
      <c r="H17" s="57">
        <v>0</v>
      </c>
      <c r="I17" s="57">
        <v>0</v>
      </c>
      <c r="J17" s="57">
        <v>0</v>
      </c>
      <c r="K17" s="110"/>
      <c r="L17" s="110"/>
      <c r="M17" s="110"/>
    </row>
    <row r="18" spans="2:13" x14ac:dyDescent="0.2">
      <c r="B18" s="57" t="s">
        <v>629</v>
      </c>
      <c r="D18" s="68" t="s">
        <v>626</v>
      </c>
      <c r="E18" s="57" t="s">
        <v>624</v>
      </c>
      <c r="F18" s="102">
        <f>-ROUND(VLOOKUP(RIGHT(LEFT(B18,LEN(B18)-10),LEN(LEFT(B18,LEN(B18)-10))-20)+0,无限模式!$A$3:$B$22,2,FALSE)*3*0.075,0)</f>
        <v>-3240</v>
      </c>
      <c r="G18" s="57">
        <v>0</v>
      </c>
      <c r="H18" s="57">
        <v>0</v>
      </c>
      <c r="I18" s="57">
        <v>0</v>
      </c>
      <c r="J18" s="57">
        <v>0</v>
      </c>
      <c r="K18" s="110"/>
      <c r="L18" s="110"/>
      <c r="M18" s="110"/>
    </row>
    <row r="19" spans="2:13" x14ac:dyDescent="0.2">
      <c r="B19" s="57" t="s">
        <v>630</v>
      </c>
      <c r="D19" s="68" t="s">
        <v>626</v>
      </c>
      <c r="E19" s="57" t="s">
        <v>624</v>
      </c>
      <c r="F19" s="102">
        <f>-ROUND(VLOOKUP(RIGHT(LEFT(B19,LEN(B19)-10),LEN(LEFT(B19,LEN(B19)-10))-20)+0,无限模式!$A$3:$B$22,2,FALSE)*3*0.075,0)</f>
        <v>-3240</v>
      </c>
      <c r="G19" s="57">
        <v>0</v>
      </c>
      <c r="H19" s="57">
        <v>0</v>
      </c>
      <c r="I19" s="57">
        <v>0</v>
      </c>
      <c r="J19" s="57">
        <v>0</v>
      </c>
      <c r="K19" s="110"/>
      <c r="L19" s="110"/>
      <c r="M19" s="110"/>
    </row>
    <row r="20" spans="2:13" x14ac:dyDescent="0.2">
      <c r="B20" s="57" t="s">
        <v>631</v>
      </c>
      <c r="D20" s="68" t="s">
        <v>626</v>
      </c>
      <c r="E20" s="57" t="s">
        <v>624</v>
      </c>
      <c r="F20" s="102">
        <f>-ROUND(VLOOKUP(RIGHT(LEFT(B20,LEN(B20)-10),LEN(LEFT(B20,LEN(B20)-10))-20)+0,无限模式!$A$3:$B$22,2,FALSE)*3*0.075,0)</f>
        <v>-4050</v>
      </c>
      <c r="G20" s="57">
        <v>0</v>
      </c>
      <c r="H20" s="57">
        <v>0</v>
      </c>
      <c r="I20" s="57">
        <v>0</v>
      </c>
      <c r="J20" s="57">
        <v>0</v>
      </c>
      <c r="K20" s="110"/>
      <c r="L20" s="110"/>
      <c r="M20" s="110"/>
    </row>
    <row r="21" spans="2:13" x14ac:dyDescent="0.2">
      <c r="B21" s="57" t="s">
        <v>632</v>
      </c>
      <c r="D21" s="68" t="s">
        <v>626</v>
      </c>
      <c r="E21" s="57" t="s">
        <v>624</v>
      </c>
      <c r="F21" s="102">
        <f>-ROUND(VLOOKUP(RIGHT(LEFT(B21,LEN(B21)-10),LEN(LEFT(B21,LEN(B21)-10))-20)+0,无限模式!$A$3:$B$22,2,FALSE)*3*0.075,0)</f>
        <v>-5063</v>
      </c>
      <c r="G21" s="57">
        <v>0</v>
      </c>
      <c r="H21" s="57">
        <v>0</v>
      </c>
      <c r="I21" s="57">
        <v>0</v>
      </c>
      <c r="J21" s="57">
        <v>0</v>
      </c>
      <c r="K21" s="110"/>
      <c r="L21" s="110"/>
      <c r="M21" s="110"/>
    </row>
    <row r="22" spans="2:13" x14ac:dyDescent="0.2">
      <c r="B22" s="57" t="s">
        <v>633</v>
      </c>
      <c r="D22" s="68" t="s">
        <v>626</v>
      </c>
      <c r="E22" s="57" t="s">
        <v>624</v>
      </c>
      <c r="F22" s="102">
        <f>-ROUND(VLOOKUP(RIGHT(LEFT(B22,LEN(B22)-10),LEN(LEFT(B22,LEN(B22)-10))-20)+0,无限模式!$A$3:$B$22,2,FALSE)*3*0.075,0)</f>
        <v>-5265</v>
      </c>
      <c r="G22" s="57">
        <v>0</v>
      </c>
      <c r="H22" s="57">
        <v>0</v>
      </c>
      <c r="I22" s="57">
        <v>0</v>
      </c>
      <c r="J22" s="57">
        <v>0</v>
      </c>
      <c r="K22" s="110"/>
      <c r="L22" s="110"/>
      <c r="M22" s="110"/>
    </row>
    <row r="23" spans="2:13" x14ac:dyDescent="0.2">
      <c r="K23" s="110"/>
      <c r="L23" s="110"/>
      <c r="M23" s="110"/>
    </row>
    <row r="24" spans="2:13" x14ac:dyDescent="0.2">
      <c r="B24" s="94" t="s">
        <v>899</v>
      </c>
      <c r="C24" s="94"/>
      <c r="D24" s="94" t="s">
        <v>900</v>
      </c>
      <c r="E24" s="94" t="s">
        <v>624</v>
      </c>
      <c r="F24" s="102">
        <f>-ROUND(VLOOKUP(K24&amp;"_"&amp;L24,挑战模式!$A$3:$Z$27,4,FALSE)*M24,0)</f>
        <v>-180</v>
      </c>
      <c r="G24" s="94">
        <v>0</v>
      </c>
      <c r="H24" s="94">
        <v>0</v>
      </c>
      <c r="I24" s="94">
        <v>0</v>
      </c>
      <c r="J24" s="94">
        <v>0</v>
      </c>
      <c r="K24" s="110">
        <v>3</v>
      </c>
      <c r="L24" s="110">
        <v>1</v>
      </c>
      <c r="M24" s="110">
        <v>0.2</v>
      </c>
    </row>
    <row r="25" spans="2:13" x14ac:dyDescent="0.2">
      <c r="B25" s="94" t="s">
        <v>901</v>
      </c>
      <c r="C25" s="94"/>
      <c r="D25" s="94" t="s">
        <v>900</v>
      </c>
      <c r="E25" s="94" t="s">
        <v>624</v>
      </c>
      <c r="F25" s="102">
        <f>-ROUND(VLOOKUP(K25&amp;"_"&amp;L25,挑战模式!$A$3:$Z$27,4,FALSE)*M25,0)</f>
        <v>-360</v>
      </c>
      <c r="G25" s="94">
        <v>0</v>
      </c>
      <c r="H25" s="94">
        <v>0</v>
      </c>
      <c r="I25" s="94">
        <v>0</v>
      </c>
      <c r="J25" s="94">
        <v>0</v>
      </c>
      <c r="K25" s="110">
        <v>3</v>
      </c>
      <c r="L25" s="110">
        <v>2</v>
      </c>
      <c r="M25" s="110">
        <v>0.2</v>
      </c>
    </row>
    <row r="26" spans="2:13" x14ac:dyDescent="0.2">
      <c r="B26" s="94" t="s">
        <v>902</v>
      </c>
      <c r="C26" s="94"/>
      <c r="D26" s="94" t="s">
        <v>900</v>
      </c>
      <c r="E26" s="94" t="s">
        <v>624</v>
      </c>
      <c r="F26" s="102">
        <f>-ROUND(VLOOKUP(K26&amp;"_"&amp;L26,挑战模式!$A$3:$Z$27,4,FALSE)*M26,0)</f>
        <v>-360</v>
      </c>
      <c r="G26" s="94">
        <v>0</v>
      </c>
      <c r="H26" s="94">
        <v>0</v>
      </c>
      <c r="I26" s="94">
        <v>0</v>
      </c>
      <c r="J26" s="94">
        <v>0</v>
      </c>
      <c r="K26" s="110">
        <v>3</v>
      </c>
      <c r="L26" s="110">
        <v>3</v>
      </c>
      <c r="M26" s="110">
        <v>0.1</v>
      </c>
    </row>
    <row r="27" spans="2:13" x14ac:dyDescent="0.2">
      <c r="B27" s="94" t="s">
        <v>903</v>
      </c>
      <c r="C27" s="94"/>
      <c r="D27" s="94" t="s">
        <v>900</v>
      </c>
      <c r="E27" s="94" t="s">
        <v>624</v>
      </c>
      <c r="F27" s="102">
        <f>-ROUND(VLOOKUP(K27&amp;"_"&amp;L27,挑战模式!$A$3:$Z$27,4,FALSE)*M27,0)</f>
        <v>-450</v>
      </c>
      <c r="G27" s="94">
        <v>0</v>
      </c>
      <c r="H27" s="94">
        <v>0</v>
      </c>
      <c r="I27" s="94">
        <v>0</v>
      </c>
      <c r="J27" s="94">
        <v>0</v>
      </c>
      <c r="K27" s="110">
        <v>3</v>
      </c>
      <c r="L27" s="110">
        <v>4</v>
      </c>
      <c r="M27" s="110">
        <v>0.1</v>
      </c>
    </row>
    <row r="28" spans="2:13" x14ac:dyDescent="0.2">
      <c r="B28" s="94" t="s">
        <v>904</v>
      </c>
      <c r="C28" s="94"/>
      <c r="D28" s="94" t="s">
        <v>900</v>
      </c>
      <c r="E28" s="94" t="s">
        <v>624</v>
      </c>
      <c r="F28" s="102">
        <f>-ROUND(VLOOKUP(K28&amp;"_"&amp;L28,挑战模式!$A$3:$Z$27,4,FALSE)*M28,0)</f>
        <v>-540</v>
      </c>
      <c r="G28" s="94">
        <v>0</v>
      </c>
      <c r="H28" s="94">
        <v>0</v>
      </c>
      <c r="I28" s="94">
        <v>0</v>
      </c>
      <c r="J28" s="94">
        <v>0</v>
      </c>
      <c r="K28" s="110">
        <v>3</v>
      </c>
      <c r="L28" s="110">
        <v>5</v>
      </c>
      <c r="M28" s="110">
        <v>0.1</v>
      </c>
    </row>
    <row r="29" spans="2:13" x14ac:dyDescent="0.2">
      <c r="B29" s="94" t="s">
        <v>905</v>
      </c>
      <c r="C29" s="94"/>
      <c r="D29" s="94" t="s">
        <v>900</v>
      </c>
      <c r="E29" s="94" t="s">
        <v>624</v>
      </c>
      <c r="F29" s="102">
        <f>-ROUND(VLOOKUP(K29&amp;"_"&amp;L29,挑战模式!$A$3:$Z$27,4,FALSE)*M29,0)</f>
        <v>-1080</v>
      </c>
      <c r="G29" s="94">
        <v>0</v>
      </c>
      <c r="H29" s="94">
        <v>0</v>
      </c>
      <c r="I29" s="94">
        <v>0</v>
      </c>
      <c r="J29" s="94">
        <v>0</v>
      </c>
      <c r="K29" s="110">
        <v>4</v>
      </c>
      <c r="L29" s="110">
        <v>5</v>
      </c>
      <c r="M29" s="110">
        <v>0.2</v>
      </c>
    </row>
    <row r="30" spans="2:13" x14ac:dyDescent="0.2">
      <c r="B30" s="94" t="s">
        <v>906</v>
      </c>
      <c r="C30" s="94"/>
      <c r="D30" s="94" t="s">
        <v>900</v>
      </c>
      <c r="E30" s="94" t="s">
        <v>624</v>
      </c>
      <c r="F30" s="102">
        <f>-ROUND(VLOOKUP(K30&amp;"_"&amp;L30,挑战模式!$A$3:$Z$27,4,FALSE)*M30,0)</f>
        <v>-1080</v>
      </c>
      <c r="G30" s="94">
        <v>0</v>
      </c>
      <c r="H30" s="94">
        <v>0</v>
      </c>
      <c r="I30" s="94">
        <v>0</v>
      </c>
      <c r="J30" s="94">
        <v>0</v>
      </c>
      <c r="K30" s="110">
        <v>5</v>
      </c>
      <c r="L30" s="110">
        <v>5</v>
      </c>
      <c r="M30" s="110">
        <v>0.2</v>
      </c>
    </row>
  </sheetData>
  <mergeCells count="2">
    <mergeCell ref="E1:J1"/>
    <mergeCell ref="E3:J3"/>
  </mergeCells>
  <phoneticPr fontId="4" type="noConversion"/>
  <conditionalFormatting sqref="B15:B23">
    <cfRule type="duplicateValues" dxfId="5" priority="2"/>
  </conditionalFormatting>
  <conditionalFormatting sqref="B24:B30">
    <cfRule type="duplicateValues" dxfId="4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9956-3830-4D5A-AE1E-B085976BE059}">
  <dimension ref="A1:T50"/>
  <sheetViews>
    <sheetView workbookViewId="0">
      <selection activeCell="J49" sqref="J49"/>
    </sheetView>
  </sheetViews>
  <sheetFormatPr defaultRowHeight="14.25" x14ac:dyDescent="0.2"/>
  <sheetData>
    <row r="1" spans="1:19" x14ac:dyDescent="0.2">
      <c r="A1" s="48" t="s">
        <v>67</v>
      </c>
      <c r="B1" s="48"/>
      <c r="C1" s="48"/>
      <c r="D1" s="48" t="s">
        <v>154</v>
      </c>
      <c r="E1" s="48" t="s">
        <v>255</v>
      </c>
      <c r="F1" s="72" t="s">
        <v>256</v>
      </c>
      <c r="G1" s="72" t="s">
        <v>257</v>
      </c>
      <c r="H1" s="48" t="s">
        <v>258</v>
      </c>
      <c r="I1" s="48" t="s">
        <v>259</v>
      </c>
      <c r="J1" s="48" t="s">
        <v>260</v>
      </c>
      <c r="K1" s="48" t="s">
        <v>261</v>
      </c>
      <c r="L1" s="48" t="s">
        <v>181</v>
      </c>
      <c r="M1" s="48" t="s">
        <v>262</v>
      </c>
      <c r="N1" s="48" t="s">
        <v>263</v>
      </c>
      <c r="O1" s="48" t="s">
        <v>264</v>
      </c>
      <c r="P1" s="48" t="s">
        <v>265</v>
      </c>
      <c r="Q1" s="48" t="s">
        <v>266</v>
      </c>
      <c r="R1" s="48" t="s">
        <v>267</v>
      </c>
      <c r="S1" s="48" t="s">
        <v>268</v>
      </c>
    </row>
    <row r="2" spans="1:19" x14ac:dyDescent="0.2">
      <c r="A2" s="48" t="s">
        <v>67</v>
      </c>
      <c r="B2" s="48"/>
      <c r="C2" s="48"/>
      <c r="D2" s="48"/>
      <c r="E2" s="48"/>
      <c r="F2" s="72"/>
      <c r="G2" s="72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</row>
    <row r="3" spans="1:19" x14ac:dyDescent="0.2">
      <c r="A3" s="49" t="s">
        <v>71</v>
      </c>
      <c r="B3" s="49"/>
      <c r="C3" s="49"/>
      <c r="D3" s="49" t="s">
        <v>269</v>
      </c>
      <c r="E3" s="49" t="s">
        <v>270</v>
      </c>
      <c r="F3" s="73" t="s">
        <v>271</v>
      </c>
      <c r="G3" s="73" t="s">
        <v>272</v>
      </c>
      <c r="H3" s="49" t="s">
        <v>74</v>
      </c>
      <c r="I3" s="49" t="s">
        <v>273</v>
      </c>
      <c r="J3" s="49" t="s">
        <v>274</v>
      </c>
      <c r="K3" s="49" t="s">
        <v>275</v>
      </c>
      <c r="L3" s="49" t="s">
        <v>275</v>
      </c>
      <c r="M3" s="49" t="s">
        <v>73</v>
      </c>
      <c r="N3" s="49" t="s">
        <v>275</v>
      </c>
      <c r="O3" s="49" t="s">
        <v>73</v>
      </c>
      <c r="P3" s="49" t="s">
        <v>73</v>
      </c>
      <c r="Q3" s="49" t="s">
        <v>276</v>
      </c>
      <c r="R3" s="49" t="s">
        <v>73</v>
      </c>
      <c r="S3" s="74" t="s">
        <v>277</v>
      </c>
    </row>
    <row r="4" spans="1:19" x14ac:dyDescent="0.2">
      <c r="A4" s="49" t="s">
        <v>75</v>
      </c>
      <c r="B4" s="49"/>
      <c r="C4" s="49"/>
      <c r="D4" s="49"/>
      <c r="E4" s="49"/>
      <c r="F4" s="73"/>
      <c r="G4" s="73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x14ac:dyDescent="0.2">
      <c r="A5" s="75" t="s">
        <v>77</v>
      </c>
      <c r="B5" s="75"/>
      <c r="C5" s="75"/>
      <c r="D5" s="75" t="s">
        <v>104</v>
      </c>
      <c r="E5" s="75" t="s">
        <v>278</v>
      </c>
      <c r="F5" s="75" t="s">
        <v>279</v>
      </c>
      <c r="G5" s="75" t="s">
        <v>280</v>
      </c>
      <c r="H5" s="75" t="s">
        <v>281</v>
      </c>
      <c r="I5" s="75" t="s">
        <v>282</v>
      </c>
      <c r="J5" s="75" t="s">
        <v>260</v>
      </c>
      <c r="K5" s="75" t="s">
        <v>283</v>
      </c>
      <c r="L5" s="75" t="s">
        <v>284</v>
      </c>
      <c r="M5" s="75" t="s">
        <v>285</v>
      </c>
      <c r="N5" s="75" t="s">
        <v>286</v>
      </c>
      <c r="O5" s="75" t="s">
        <v>287</v>
      </c>
      <c r="P5" s="75" t="s">
        <v>288</v>
      </c>
      <c r="Q5" s="75" t="s">
        <v>289</v>
      </c>
      <c r="R5" s="75" t="s">
        <v>290</v>
      </c>
      <c r="S5" s="75" t="s">
        <v>268</v>
      </c>
    </row>
    <row r="6" spans="1:19" x14ac:dyDescent="0.2">
      <c r="A6" s="76"/>
      <c r="B6" s="54" t="s">
        <v>33</v>
      </c>
      <c r="C6">
        <v>1</v>
      </c>
      <c r="D6" s="76" t="s">
        <v>292</v>
      </c>
      <c r="E6" s="76" t="s">
        <v>293</v>
      </c>
      <c r="F6" s="77" t="s">
        <v>294</v>
      </c>
      <c r="G6" s="77" t="s">
        <v>291</v>
      </c>
      <c r="H6" s="78"/>
      <c r="I6" s="76"/>
      <c r="J6" s="76" t="s">
        <v>295</v>
      </c>
      <c r="K6" s="76">
        <v>1</v>
      </c>
      <c r="L6" s="76">
        <v>1</v>
      </c>
      <c r="M6" s="55">
        <f>VLOOKUP(B6,防御塔!$A$2:$N$17,2,FALSE)*3^(C6-1)</f>
        <v>150</v>
      </c>
      <c r="N6" s="76"/>
      <c r="O6" s="76">
        <v>0</v>
      </c>
      <c r="P6" s="55">
        <f t="shared" ref="P6:P50" si="0">INT(M6*0.8)</f>
        <v>120</v>
      </c>
      <c r="Q6" s="76" t="s">
        <v>296</v>
      </c>
      <c r="R6" s="76">
        <v>3</v>
      </c>
      <c r="S6" s="76" t="s">
        <v>297</v>
      </c>
    </row>
    <row r="7" spans="1:19" x14ac:dyDescent="0.2">
      <c r="A7" s="76"/>
      <c r="B7" s="54" t="s">
        <v>33</v>
      </c>
      <c r="C7">
        <v>2</v>
      </c>
      <c r="D7" s="76" t="s">
        <v>296</v>
      </c>
      <c r="E7" s="76" t="s">
        <v>293</v>
      </c>
      <c r="F7" s="77" t="s">
        <v>294</v>
      </c>
      <c r="G7" s="77" t="s">
        <v>298</v>
      </c>
      <c r="H7" s="76"/>
      <c r="I7" s="76"/>
      <c r="J7" s="76" t="s">
        <v>299</v>
      </c>
      <c r="K7" s="76">
        <v>1</v>
      </c>
      <c r="L7" s="76">
        <v>2</v>
      </c>
      <c r="M7" s="55">
        <f>VLOOKUP(B7,防御塔!$A$2:$N$17,2,FALSE)*3^(C7-1)</f>
        <v>450</v>
      </c>
      <c r="N7" s="76"/>
      <c r="O7" s="76">
        <v>0</v>
      </c>
      <c r="P7" s="55">
        <f t="shared" si="0"/>
        <v>360</v>
      </c>
      <c r="Q7" s="76" t="s">
        <v>300</v>
      </c>
      <c r="R7" s="76">
        <v>3</v>
      </c>
      <c r="S7" s="76" t="s">
        <v>297</v>
      </c>
    </row>
    <row r="8" spans="1:19" x14ac:dyDescent="0.2">
      <c r="A8" s="76"/>
      <c r="B8" s="54" t="s">
        <v>33</v>
      </c>
      <c r="C8">
        <v>3</v>
      </c>
      <c r="D8" s="76" t="s">
        <v>300</v>
      </c>
      <c r="E8" s="76" t="s">
        <v>293</v>
      </c>
      <c r="F8" s="77" t="s">
        <v>294</v>
      </c>
      <c r="G8" s="77" t="s">
        <v>301</v>
      </c>
      <c r="H8" s="76"/>
      <c r="I8" s="76"/>
      <c r="J8" s="76" t="s">
        <v>302</v>
      </c>
      <c r="K8" s="76">
        <v>1</v>
      </c>
      <c r="L8" s="76">
        <v>3</v>
      </c>
      <c r="M8" s="55">
        <f>VLOOKUP(B8,防御塔!$A$2:$N$17,2,FALSE)*3^(C8-1)</f>
        <v>1350</v>
      </c>
      <c r="N8" s="76"/>
      <c r="O8" s="76">
        <v>0</v>
      </c>
      <c r="P8" s="55">
        <f t="shared" si="0"/>
        <v>1080</v>
      </c>
      <c r="Q8" s="76"/>
      <c r="R8" s="76"/>
      <c r="S8" s="76" t="s">
        <v>297</v>
      </c>
    </row>
    <row r="9" spans="1:19" x14ac:dyDescent="0.2">
      <c r="A9" s="76"/>
      <c r="B9" s="54" t="s">
        <v>34</v>
      </c>
      <c r="C9">
        <v>1</v>
      </c>
      <c r="D9" s="76" t="s">
        <v>303</v>
      </c>
      <c r="E9" s="76" t="s">
        <v>293</v>
      </c>
      <c r="F9" s="76" t="s">
        <v>304</v>
      </c>
      <c r="G9" s="76" t="s">
        <v>291</v>
      </c>
      <c r="H9" s="76"/>
      <c r="I9" s="76"/>
      <c r="J9" s="76" t="s">
        <v>305</v>
      </c>
      <c r="K9" s="76">
        <v>1</v>
      </c>
      <c r="L9" s="76">
        <v>1</v>
      </c>
      <c r="M9" s="55">
        <f>VLOOKUP(B9,防御塔!$A$2:$N$17,2,FALSE)*3^(C9-1)</f>
        <v>150</v>
      </c>
      <c r="N9" s="76"/>
      <c r="O9" s="76">
        <v>0</v>
      </c>
      <c r="P9" s="55">
        <f t="shared" si="0"/>
        <v>120</v>
      </c>
      <c r="Q9" s="76" t="s">
        <v>306</v>
      </c>
      <c r="R9" s="76">
        <v>3</v>
      </c>
      <c r="S9" s="76" t="s">
        <v>297</v>
      </c>
    </row>
    <row r="10" spans="1:19" x14ac:dyDescent="0.2">
      <c r="A10" s="76"/>
      <c r="B10" s="54" t="s">
        <v>34</v>
      </c>
      <c r="C10">
        <v>2</v>
      </c>
      <c r="D10" s="76" t="s">
        <v>306</v>
      </c>
      <c r="E10" s="76" t="s">
        <v>293</v>
      </c>
      <c r="F10" s="76" t="s">
        <v>304</v>
      </c>
      <c r="G10" s="76" t="s">
        <v>298</v>
      </c>
      <c r="H10" s="76"/>
      <c r="I10" s="76"/>
      <c r="J10" s="76" t="s">
        <v>307</v>
      </c>
      <c r="K10" s="76">
        <v>1</v>
      </c>
      <c r="L10" s="76">
        <v>2</v>
      </c>
      <c r="M10" s="55">
        <f>VLOOKUP(B10,防御塔!$A$2:$N$17,2,FALSE)*3^(C10-1)</f>
        <v>450</v>
      </c>
      <c r="N10" s="76"/>
      <c r="O10" s="76">
        <v>0</v>
      </c>
      <c r="P10" s="55">
        <f t="shared" si="0"/>
        <v>360</v>
      </c>
      <c r="Q10" s="76" t="s">
        <v>308</v>
      </c>
      <c r="R10" s="76">
        <v>3</v>
      </c>
      <c r="S10" s="76" t="s">
        <v>297</v>
      </c>
    </row>
    <row r="11" spans="1:19" x14ac:dyDescent="0.2">
      <c r="A11" s="76"/>
      <c r="B11" s="54" t="s">
        <v>34</v>
      </c>
      <c r="C11">
        <v>3</v>
      </c>
      <c r="D11" s="76" t="s">
        <v>308</v>
      </c>
      <c r="E11" s="76" t="s">
        <v>293</v>
      </c>
      <c r="F11" s="76" t="s">
        <v>304</v>
      </c>
      <c r="G11" s="76" t="s">
        <v>301</v>
      </c>
      <c r="H11" s="76"/>
      <c r="I11" s="76"/>
      <c r="J11" s="76" t="s">
        <v>309</v>
      </c>
      <c r="K11" s="76">
        <v>1</v>
      </c>
      <c r="L11" s="76">
        <v>3</v>
      </c>
      <c r="M11" s="55">
        <f>VLOOKUP(B11,防御塔!$A$2:$N$17,2,FALSE)*3^(C11-1)</f>
        <v>1350</v>
      </c>
      <c r="N11" s="76"/>
      <c r="O11" s="76">
        <v>0</v>
      </c>
      <c r="P11" s="55">
        <f t="shared" si="0"/>
        <v>1080</v>
      </c>
      <c r="Q11" s="76"/>
      <c r="R11" s="76"/>
      <c r="S11" s="76" t="s">
        <v>297</v>
      </c>
    </row>
    <row r="12" spans="1:19" x14ac:dyDescent="0.2">
      <c r="A12" s="76"/>
      <c r="B12" s="54" t="s">
        <v>35</v>
      </c>
      <c r="C12">
        <v>1</v>
      </c>
      <c r="D12" s="76" t="s">
        <v>310</v>
      </c>
      <c r="E12" s="76" t="s">
        <v>293</v>
      </c>
      <c r="F12" s="77" t="s">
        <v>311</v>
      </c>
      <c r="G12" s="77" t="s">
        <v>291</v>
      </c>
      <c r="H12" s="76"/>
      <c r="I12" s="76"/>
      <c r="J12" s="76" t="s">
        <v>312</v>
      </c>
      <c r="K12" s="76">
        <v>1</v>
      </c>
      <c r="L12" s="76">
        <v>1</v>
      </c>
      <c r="M12" s="55">
        <f>VLOOKUP(B12,防御塔!$A$2:$N$17,2,FALSE)*3^(C12-1)</f>
        <v>200</v>
      </c>
      <c r="N12" s="76"/>
      <c r="O12" s="76">
        <v>0</v>
      </c>
      <c r="P12" s="55">
        <f t="shared" si="0"/>
        <v>160</v>
      </c>
      <c r="Q12" s="76" t="s">
        <v>313</v>
      </c>
      <c r="R12" s="76">
        <v>3</v>
      </c>
      <c r="S12" s="76" t="s">
        <v>297</v>
      </c>
    </row>
    <row r="13" spans="1:19" x14ac:dyDescent="0.2">
      <c r="A13" s="76"/>
      <c r="B13" s="54" t="s">
        <v>35</v>
      </c>
      <c r="C13">
        <v>2</v>
      </c>
      <c r="D13" s="76" t="s">
        <v>313</v>
      </c>
      <c r="E13" s="76" t="s">
        <v>293</v>
      </c>
      <c r="F13" s="77" t="s">
        <v>311</v>
      </c>
      <c r="G13" s="77" t="s">
        <v>298</v>
      </c>
      <c r="H13" s="76"/>
      <c r="I13" s="76"/>
      <c r="J13" s="76" t="s">
        <v>314</v>
      </c>
      <c r="K13" s="76">
        <v>1</v>
      </c>
      <c r="L13" s="76">
        <v>2</v>
      </c>
      <c r="M13" s="55">
        <f>VLOOKUP(B13,防御塔!$A$2:$N$17,2,FALSE)*3^(C13-1)</f>
        <v>600</v>
      </c>
      <c r="N13" s="76"/>
      <c r="O13" s="76">
        <v>0</v>
      </c>
      <c r="P13" s="55">
        <f t="shared" si="0"/>
        <v>480</v>
      </c>
      <c r="Q13" s="76" t="s">
        <v>315</v>
      </c>
      <c r="R13" s="76">
        <v>3</v>
      </c>
      <c r="S13" s="76" t="s">
        <v>297</v>
      </c>
    </row>
    <row r="14" spans="1:19" x14ac:dyDescent="0.2">
      <c r="A14" s="76"/>
      <c r="B14" s="54" t="s">
        <v>35</v>
      </c>
      <c r="C14">
        <v>3</v>
      </c>
      <c r="D14" s="76" t="s">
        <v>315</v>
      </c>
      <c r="E14" s="76" t="s">
        <v>293</v>
      </c>
      <c r="F14" s="77" t="s">
        <v>311</v>
      </c>
      <c r="G14" s="77" t="s">
        <v>301</v>
      </c>
      <c r="H14" s="76"/>
      <c r="I14" s="76"/>
      <c r="J14" s="76" t="s">
        <v>316</v>
      </c>
      <c r="K14" s="76">
        <v>1</v>
      </c>
      <c r="L14" s="76">
        <v>3</v>
      </c>
      <c r="M14" s="55">
        <f>VLOOKUP(B14,防御塔!$A$2:$N$17,2,FALSE)*3^(C14-1)</f>
        <v>1800</v>
      </c>
      <c r="N14" s="76"/>
      <c r="O14" s="76">
        <v>0</v>
      </c>
      <c r="P14" s="55">
        <f t="shared" si="0"/>
        <v>1440</v>
      </c>
      <c r="Q14" s="76"/>
      <c r="R14" s="76"/>
      <c r="S14" s="76" t="s">
        <v>297</v>
      </c>
    </row>
    <row r="15" spans="1:19" x14ac:dyDescent="0.2">
      <c r="A15" s="76"/>
      <c r="B15" s="54" t="s">
        <v>36</v>
      </c>
      <c r="C15">
        <v>1</v>
      </c>
      <c r="D15" s="76" t="s">
        <v>317</v>
      </c>
      <c r="E15" s="76" t="s">
        <v>293</v>
      </c>
      <c r="F15" s="76" t="s">
        <v>304</v>
      </c>
      <c r="G15" s="76" t="s">
        <v>291</v>
      </c>
      <c r="H15" s="76"/>
      <c r="I15" s="76"/>
      <c r="J15" s="76" t="s">
        <v>318</v>
      </c>
      <c r="K15" s="76">
        <v>1</v>
      </c>
      <c r="L15" s="76">
        <v>1</v>
      </c>
      <c r="M15" s="55">
        <f>VLOOKUP(B15,防御塔!$A$2:$N$17,2,FALSE)*3^(C15-1)</f>
        <v>200</v>
      </c>
      <c r="N15" s="76"/>
      <c r="O15" s="76">
        <v>0</v>
      </c>
      <c r="P15" s="55">
        <f t="shared" si="0"/>
        <v>160</v>
      </c>
      <c r="Q15" s="76" t="s">
        <v>319</v>
      </c>
      <c r="R15" s="76">
        <v>3</v>
      </c>
      <c r="S15" s="76" t="s">
        <v>297</v>
      </c>
    </row>
    <row r="16" spans="1:19" x14ac:dyDescent="0.2">
      <c r="A16" s="76"/>
      <c r="B16" s="54" t="s">
        <v>36</v>
      </c>
      <c r="C16">
        <v>2</v>
      </c>
      <c r="D16" s="76" t="s">
        <v>319</v>
      </c>
      <c r="E16" s="76" t="s">
        <v>293</v>
      </c>
      <c r="F16" s="76" t="s">
        <v>304</v>
      </c>
      <c r="G16" s="76" t="s">
        <v>298</v>
      </c>
      <c r="H16" s="76"/>
      <c r="I16" s="76"/>
      <c r="J16" s="76" t="s">
        <v>320</v>
      </c>
      <c r="K16" s="76">
        <v>1</v>
      </c>
      <c r="L16" s="76">
        <v>2</v>
      </c>
      <c r="M16" s="55">
        <f>VLOOKUP(B16,防御塔!$A$2:$N$17,2,FALSE)*3^(C16-1)</f>
        <v>600</v>
      </c>
      <c r="N16" s="76"/>
      <c r="O16" s="76">
        <v>0</v>
      </c>
      <c r="P16" s="55">
        <f t="shared" si="0"/>
        <v>480</v>
      </c>
      <c r="Q16" s="76" t="s">
        <v>321</v>
      </c>
      <c r="R16" s="76">
        <v>3</v>
      </c>
      <c r="S16" s="76" t="s">
        <v>297</v>
      </c>
    </row>
    <row r="17" spans="1:20" x14ac:dyDescent="0.2">
      <c r="A17" s="76"/>
      <c r="B17" s="54" t="s">
        <v>36</v>
      </c>
      <c r="C17">
        <v>3</v>
      </c>
      <c r="D17" s="76" t="s">
        <v>321</v>
      </c>
      <c r="E17" s="76" t="s">
        <v>293</v>
      </c>
      <c r="F17" s="76" t="s">
        <v>304</v>
      </c>
      <c r="G17" s="76" t="s">
        <v>301</v>
      </c>
      <c r="H17" s="76"/>
      <c r="I17" s="76"/>
      <c r="J17" s="76" t="s">
        <v>322</v>
      </c>
      <c r="K17" s="76">
        <v>1</v>
      </c>
      <c r="L17" s="76">
        <v>3</v>
      </c>
      <c r="M17" s="55">
        <f>VLOOKUP(B17,防御塔!$A$2:$N$17,2,FALSE)*3^(C17-1)</f>
        <v>1800</v>
      </c>
      <c r="N17" s="76"/>
      <c r="O17" s="76">
        <v>0</v>
      </c>
      <c r="P17" s="55">
        <f t="shared" si="0"/>
        <v>1440</v>
      </c>
      <c r="Q17" s="76"/>
      <c r="R17" s="76"/>
      <c r="S17" s="76" t="s">
        <v>297</v>
      </c>
    </row>
    <row r="18" spans="1:20" x14ac:dyDescent="0.2">
      <c r="A18" s="76"/>
      <c r="B18" s="54" t="s">
        <v>37</v>
      </c>
      <c r="C18">
        <v>1</v>
      </c>
      <c r="D18" s="76" t="s">
        <v>323</v>
      </c>
      <c r="E18" s="76" t="s">
        <v>293</v>
      </c>
      <c r="F18" s="77" t="s">
        <v>294</v>
      </c>
      <c r="G18" s="77" t="s">
        <v>291</v>
      </c>
      <c r="H18" s="76"/>
      <c r="I18" s="76"/>
      <c r="J18" s="76" t="s">
        <v>324</v>
      </c>
      <c r="K18" s="76">
        <v>1</v>
      </c>
      <c r="L18" s="76">
        <v>1</v>
      </c>
      <c r="M18" s="55">
        <f>VLOOKUP(B18,防御塔!$A$2:$N$17,2,FALSE)*3^(C18-1)</f>
        <v>200</v>
      </c>
      <c r="N18" s="76"/>
      <c r="O18" s="76">
        <v>0</v>
      </c>
      <c r="P18" s="55">
        <f t="shared" si="0"/>
        <v>160</v>
      </c>
      <c r="Q18" s="76" t="s">
        <v>325</v>
      </c>
      <c r="R18" s="76">
        <v>3</v>
      </c>
      <c r="S18" s="76" t="s">
        <v>297</v>
      </c>
    </row>
    <row r="19" spans="1:20" x14ac:dyDescent="0.2">
      <c r="A19" s="76"/>
      <c r="B19" s="54" t="s">
        <v>37</v>
      </c>
      <c r="C19">
        <v>2</v>
      </c>
      <c r="D19" s="76" t="s">
        <v>325</v>
      </c>
      <c r="E19" s="76" t="s">
        <v>293</v>
      </c>
      <c r="F19" s="77" t="s">
        <v>294</v>
      </c>
      <c r="G19" s="77" t="s">
        <v>298</v>
      </c>
      <c r="H19" s="76"/>
      <c r="I19" s="76"/>
      <c r="J19" s="76" t="s">
        <v>326</v>
      </c>
      <c r="K19" s="76">
        <v>1</v>
      </c>
      <c r="L19" s="76">
        <v>2</v>
      </c>
      <c r="M19" s="55">
        <f>VLOOKUP(B19,防御塔!$A$2:$N$17,2,FALSE)*3^(C19-1)</f>
        <v>600</v>
      </c>
      <c r="N19" s="76"/>
      <c r="O19" s="76">
        <v>0</v>
      </c>
      <c r="P19" s="55">
        <f t="shared" si="0"/>
        <v>480</v>
      </c>
      <c r="Q19" s="76" t="s">
        <v>327</v>
      </c>
      <c r="R19" s="76">
        <v>3</v>
      </c>
      <c r="S19" s="76" t="s">
        <v>297</v>
      </c>
    </row>
    <row r="20" spans="1:20" x14ac:dyDescent="0.2">
      <c r="A20" s="76"/>
      <c r="B20" s="54" t="s">
        <v>37</v>
      </c>
      <c r="C20">
        <v>3</v>
      </c>
      <c r="D20" s="76" t="s">
        <v>327</v>
      </c>
      <c r="E20" s="76" t="s">
        <v>293</v>
      </c>
      <c r="F20" s="77" t="s">
        <v>294</v>
      </c>
      <c r="G20" s="77" t="s">
        <v>301</v>
      </c>
      <c r="H20" s="76"/>
      <c r="I20" s="76"/>
      <c r="J20" s="76" t="s">
        <v>328</v>
      </c>
      <c r="K20" s="76">
        <v>1</v>
      </c>
      <c r="L20" s="76">
        <v>3</v>
      </c>
      <c r="M20" s="55">
        <f>VLOOKUP(B20,防御塔!$A$2:$N$17,2,FALSE)*3^(C20-1)</f>
        <v>1800</v>
      </c>
      <c r="N20" s="76"/>
      <c r="O20" s="76">
        <v>0</v>
      </c>
      <c r="P20" s="55">
        <f t="shared" si="0"/>
        <v>1440</v>
      </c>
      <c r="Q20" s="76"/>
      <c r="R20" s="76"/>
      <c r="S20" s="76" t="s">
        <v>297</v>
      </c>
    </row>
    <row r="21" spans="1:20" x14ac:dyDescent="0.2">
      <c r="A21" s="76"/>
      <c r="B21" s="54" t="s">
        <v>38</v>
      </c>
      <c r="C21">
        <v>1</v>
      </c>
      <c r="D21" s="76" t="s">
        <v>329</v>
      </c>
      <c r="E21" s="76" t="s">
        <v>293</v>
      </c>
      <c r="F21" s="77" t="s">
        <v>294</v>
      </c>
      <c r="G21" s="77" t="s">
        <v>291</v>
      </c>
      <c r="H21" s="76"/>
      <c r="I21" s="76"/>
      <c r="J21" s="76" t="s">
        <v>330</v>
      </c>
      <c r="K21" s="76">
        <v>1</v>
      </c>
      <c r="L21" s="76">
        <v>1</v>
      </c>
      <c r="M21" s="55">
        <f>VLOOKUP(B21,防御塔!$A$2:$N$17,2,FALSE)*3^(C21-1)</f>
        <v>200</v>
      </c>
      <c r="N21" s="76"/>
      <c r="O21" s="76">
        <v>0</v>
      </c>
      <c r="P21" s="55">
        <f t="shared" si="0"/>
        <v>160</v>
      </c>
      <c r="Q21" s="76" t="s">
        <v>331</v>
      </c>
      <c r="R21" s="76">
        <v>3</v>
      </c>
      <c r="S21" s="76" t="s">
        <v>297</v>
      </c>
    </row>
    <row r="22" spans="1:20" x14ac:dyDescent="0.2">
      <c r="A22" s="76"/>
      <c r="B22" s="54" t="s">
        <v>38</v>
      </c>
      <c r="C22">
        <v>2</v>
      </c>
      <c r="D22" s="76" t="s">
        <v>331</v>
      </c>
      <c r="E22" s="76" t="s">
        <v>293</v>
      </c>
      <c r="F22" s="77" t="s">
        <v>294</v>
      </c>
      <c r="G22" s="77" t="s">
        <v>298</v>
      </c>
      <c r="H22" s="76"/>
      <c r="I22" s="76"/>
      <c r="J22" s="76" t="s">
        <v>332</v>
      </c>
      <c r="K22" s="76">
        <v>1</v>
      </c>
      <c r="L22" s="76">
        <v>2</v>
      </c>
      <c r="M22" s="55">
        <f>VLOOKUP(B22,防御塔!$A$2:$N$17,2,FALSE)*3^(C22-1)</f>
        <v>600</v>
      </c>
      <c r="N22" s="76"/>
      <c r="O22" s="76">
        <v>0</v>
      </c>
      <c r="P22" s="55">
        <f t="shared" si="0"/>
        <v>480</v>
      </c>
      <c r="Q22" s="76" t="s">
        <v>333</v>
      </c>
      <c r="R22" s="76">
        <v>3</v>
      </c>
      <c r="S22" s="76" t="s">
        <v>297</v>
      </c>
    </row>
    <row r="23" spans="1:20" x14ac:dyDescent="0.2">
      <c r="A23" s="76"/>
      <c r="B23" s="54" t="s">
        <v>38</v>
      </c>
      <c r="C23">
        <v>3</v>
      </c>
      <c r="D23" s="76" t="s">
        <v>333</v>
      </c>
      <c r="E23" s="76" t="s">
        <v>293</v>
      </c>
      <c r="F23" s="77" t="s">
        <v>294</v>
      </c>
      <c r="G23" s="77" t="s">
        <v>301</v>
      </c>
      <c r="H23" s="76"/>
      <c r="I23" s="76"/>
      <c r="J23" s="76" t="s">
        <v>334</v>
      </c>
      <c r="K23" s="76">
        <v>1</v>
      </c>
      <c r="L23" s="76">
        <v>3</v>
      </c>
      <c r="M23" s="55">
        <f>VLOOKUP(B23,防御塔!$A$2:$N$17,2,FALSE)*3^(C23-1)</f>
        <v>1800</v>
      </c>
      <c r="N23" s="76"/>
      <c r="O23" s="76">
        <v>0</v>
      </c>
      <c r="P23" s="55">
        <f t="shared" si="0"/>
        <v>1440</v>
      </c>
      <c r="Q23" s="76"/>
      <c r="R23" s="76"/>
      <c r="S23" s="76" t="s">
        <v>297</v>
      </c>
    </row>
    <row r="24" spans="1:20" x14ac:dyDescent="0.2">
      <c r="A24" s="76"/>
      <c r="B24" s="54" t="s">
        <v>39</v>
      </c>
      <c r="C24">
        <v>1</v>
      </c>
      <c r="D24" s="76" t="s">
        <v>335</v>
      </c>
      <c r="E24" s="76" t="s">
        <v>293</v>
      </c>
      <c r="F24" s="77" t="s">
        <v>336</v>
      </c>
      <c r="G24" s="77" t="s">
        <v>291</v>
      </c>
      <c r="H24" s="76"/>
      <c r="I24" s="76"/>
      <c r="J24" s="76" t="s">
        <v>337</v>
      </c>
      <c r="K24" s="76">
        <v>1</v>
      </c>
      <c r="L24" s="76">
        <v>1</v>
      </c>
      <c r="M24" s="55">
        <f>VLOOKUP(B24,防御塔!$A$2:$N$17,2,FALSE)*3^(C24-1)</f>
        <v>250</v>
      </c>
      <c r="N24" s="76"/>
      <c r="O24" s="76">
        <v>0</v>
      </c>
      <c r="P24" s="55">
        <f t="shared" si="0"/>
        <v>200</v>
      </c>
      <c r="Q24" s="76" t="s">
        <v>338</v>
      </c>
      <c r="R24" s="76">
        <v>3</v>
      </c>
      <c r="S24" s="76" t="s">
        <v>297</v>
      </c>
    </row>
    <row r="25" spans="1:20" x14ac:dyDescent="0.2">
      <c r="A25" s="76"/>
      <c r="B25" s="54" t="s">
        <v>39</v>
      </c>
      <c r="C25">
        <v>2</v>
      </c>
      <c r="D25" s="76" t="s">
        <v>338</v>
      </c>
      <c r="E25" s="76" t="s">
        <v>293</v>
      </c>
      <c r="F25" s="77" t="s">
        <v>336</v>
      </c>
      <c r="G25" s="77" t="s">
        <v>298</v>
      </c>
      <c r="H25" s="76"/>
      <c r="I25" s="76"/>
      <c r="J25" s="76" t="s">
        <v>339</v>
      </c>
      <c r="K25" s="76">
        <v>1</v>
      </c>
      <c r="L25" s="76">
        <v>2</v>
      </c>
      <c r="M25" s="55">
        <f>VLOOKUP(B25,防御塔!$A$2:$N$17,2,FALSE)*3^(C25-1)</f>
        <v>750</v>
      </c>
      <c r="N25" s="76"/>
      <c r="O25" s="76">
        <v>0</v>
      </c>
      <c r="P25" s="55">
        <f t="shared" si="0"/>
        <v>600</v>
      </c>
      <c r="Q25" s="76" t="s">
        <v>340</v>
      </c>
      <c r="R25" s="76">
        <v>3</v>
      </c>
      <c r="S25" s="76" t="s">
        <v>297</v>
      </c>
    </row>
    <row r="26" spans="1:20" x14ac:dyDescent="0.2">
      <c r="A26" s="76"/>
      <c r="B26" s="54" t="s">
        <v>39</v>
      </c>
      <c r="C26">
        <v>3</v>
      </c>
      <c r="D26" s="76" t="s">
        <v>340</v>
      </c>
      <c r="E26" s="76" t="s">
        <v>293</v>
      </c>
      <c r="F26" s="77" t="s">
        <v>336</v>
      </c>
      <c r="G26" s="77" t="s">
        <v>301</v>
      </c>
      <c r="H26" s="76"/>
      <c r="I26" s="76"/>
      <c r="J26" s="76" t="s">
        <v>341</v>
      </c>
      <c r="K26" s="76">
        <v>1</v>
      </c>
      <c r="L26" s="76">
        <v>3</v>
      </c>
      <c r="M26" s="55">
        <f>VLOOKUP(B26,防御塔!$A$2:$N$17,2,FALSE)*3^(C26-1)</f>
        <v>2250</v>
      </c>
      <c r="N26" s="76"/>
      <c r="O26" s="76">
        <v>0</v>
      </c>
      <c r="P26" s="55">
        <f t="shared" si="0"/>
        <v>1800</v>
      </c>
      <c r="Q26" s="76"/>
      <c r="R26" s="76"/>
      <c r="S26" s="76" t="s">
        <v>297</v>
      </c>
    </row>
    <row r="27" spans="1:20" x14ac:dyDescent="0.2">
      <c r="A27" s="76"/>
      <c r="B27" s="54" t="s">
        <v>40</v>
      </c>
      <c r="C27">
        <v>1</v>
      </c>
      <c r="D27" s="76" t="s">
        <v>342</v>
      </c>
      <c r="E27" s="76" t="s">
        <v>293</v>
      </c>
      <c r="F27" s="79" t="s">
        <v>343</v>
      </c>
      <c r="G27" s="47" t="s">
        <v>291</v>
      </c>
      <c r="H27" s="76"/>
      <c r="I27" s="76"/>
      <c r="J27" s="76" t="s">
        <v>344</v>
      </c>
      <c r="K27" s="76">
        <v>1</v>
      </c>
      <c r="L27" s="76">
        <v>1</v>
      </c>
      <c r="M27" s="55">
        <f>VLOOKUP(B27,防御塔!$A$2:$N$17,2,FALSE)*3^(C27-1)</f>
        <v>250</v>
      </c>
      <c r="N27" s="76"/>
      <c r="O27" s="76">
        <v>0</v>
      </c>
      <c r="P27" s="55">
        <f t="shared" si="0"/>
        <v>200</v>
      </c>
      <c r="Q27" s="76" t="s">
        <v>345</v>
      </c>
      <c r="R27" s="76">
        <v>3</v>
      </c>
      <c r="S27" s="76" t="s">
        <v>297</v>
      </c>
    </row>
    <row r="28" spans="1:20" x14ac:dyDescent="0.2">
      <c r="A28" s="76"/>
      <c r="B28" s="54" t="s">
        <v>40</v>
      </c>
      <c r="C28">
        <v>2</v>
      </c>
      <c r="D28" s="76" t="s">
        <v>345</v>
      </c>
      <c r="E28" s="76" t="s">
        <v>293</v>
      </c>
      <c r="F28" s="79" t="s">
        <v>343</v>
      </c>
      <c r="G28" s="47" t="s">
        <v>298</v>
      </c>
      <c r="H28" s="76"/>
      <c r="I28" s="76"/>
      <c r="J28" s="76" t="s">
        <v>346</v>
      </c>
      <c r="K28" s="76">
        <v>1</v>
      </c>
      <c r="L28" s="76">
        <v>2</v>
      </c>
      <c r="M28" s="55">
        <f>VLOOKUP(B28,防御塔!$A$2:$N$17,2,FALSE)*3^(C28-1)</f>
        <v>750</v>
      </c>
      <c r="N28" s="76"/>
      <c r="O28" s="76">
        <v>0</v>
      </c>
      <c r="P28" s="55">
        <f t="shared" si="0"/>
        <v>600</v>
      </c>
      <c r="Q28" s="76" t="s">
        <v>347</v>
      </c>
      <c r="R28" s="76">
        <v>3</v>
      </c>
      <c r="S28" s="76" t="s">
        <v>297</v>
      </c>
    </row>
    <row r="29" spans="1:20" x14ac:dyDescent="0.2">
      <c r="A29" s="76"/>
      <c r="B29" s="54" t="s">
        <v>40</v>
      </c>
      <c r="C29">
        <v>3</v>
      </c>
      <c r="D29" s="76" t="s">
        <v>347</v>
      </c>
      <c r="E29" s="76" t="s">
        <v>293</v>
      </c>
      <c r="F29" s="79" t="s">
        <v>343</v>
      </c>
      <c r="G29" s="47" t="s">
        <v>301</v>
      </c>
      <c r="H29" s="76"/>
      <c r="I29" s="76"/>
      <c r="J29" s="76" t="s">
        <v>348</v>
      </c>
      <c r="K29" s="76">
        <v>1</v>
      </c>
      <c r="L29" s="76">
        <v>3</v>
      </c>
      <c r="M29" s="55">
        <f>VLOOKUP(B29,防御塔!$A$2:$N$17,2,FALSE)*3^(C29-1)</f>
        <v>2250</v>
      </c>
      <c r="N29" s="76"/>
      <c r="O29" s="76">
        <v>0</v>
      </c>
      <c r="P29" s="55">
        <f t="shared" si="0"/>
        <v>1800</v>
      </c>
      <c r="Q29" s="76"/>
      <c r="R29" s="76"/>
      <c r="S29" s="76" t="s">
        <v>297</v>
      </c>
    </row>
    <row r="30" spans="1:20" x14ac:dyDescent="0.2">
      <c r="A30" s="76"/>
      <c r="B30" s="54" t="s">
        <v>1534</v>
      </c>
      <c r="C30" s="76">
        <v>1</v>
      </c>
      <c r="D30" s="76" t="s">
        <v>1536</v>
      </c>
      <c r="E30" s="76" t="s">
        <v>293</v>
      </c>
      <c r="F30" s="77" t="s">
        <v>1537</v>
      </c>
      <c r="G30" s="77" t="s">
        <v>291</v>
      </c>
      <c r="H30" s="76"/>
      <c r="I30" s="76"/>
      <c r="J30" s="76" t="s">
        <v>1538</v>
      </c>
      <c r="K30" s="76">
        <v>1</v>
      </c>
      <c r="L30" s="76">
        <v>1</v>
      </c>
      <c r="M30" s="55">
        <f>VLOOKUP(B30,防御塔!$A$2:$N$17,2,FALSE)*3^(C30-1)</f>
        <v>200</v>
      </c>
      <c r="N30" s="76"/>
      <c r="O30" s="76">
        <v>0</v>
      </c>
      <c r="P30" s="55">
        <f t="shared" si="0"/>
        <v>160</v>
      </c>
      <c r="Q30" s="76" t="s">
        <v>1539</v>
      </c>
      <c r="R30" s="76">
        <v>3</v>
      </c>
      <c r="S30" s="76" t="s">
        <v>297</v>
      </c>
      <c r="T30" s="76"/>
    </row>
    <row r="31" spans="1:20" x14ac:dyDescent="0.2">
      <c r="A31" s="76"/>
      <c r="B31" s="54" t="s">
        <v>1534</v>
      </c>
      <c r="C31" s="76">
        <v>2</v>
      </c>
      <c r="D31" s="76" t="s">
        <v>1539</v>
      </c>
      <c r="E31" s="76" t="s">
        <v>293</v>
      </c>
      <c r="F31" s="77" t="s">
        <v>1537</v>
      </c>
      <c r="G31" s="77" t="s">
        <v>298</v>
      </c>
      <c r="H31" s="76"/>
      <c r="I31" s="76"/>
      <c r="J31" s="76" t="s">
        <v>1540</v>
      </c>
      <c r="K31" s="76">
        <v>1</v>
      </c>
      <c r="L31" s="76">
        <v>2</v>
      </c>
      <c r="M31" s="55">
        <f>VLOOKUP(B31,防御塔!$A$2:$N$17,2,FALSE)*3^(C31-1)</f>
        <v>600</v>
      </c>
      <c r="N31" s="76"/>
      <c r="O31" s="76">
        <v>0</v>
      </c>
      <c r="P31" s="55">
        <f t="shared" si="0"/>
        <v>480</v>
      </c>
      <c r="Q31" s="76" t="s">
        <v>1541</v>
      </c>
      <c r="R31" s="76">
        <v>3</v>
      </c>
      <c r="S31" s="76" t="s">
        <v>297</v>
      </c>
      <c r="T31" s="76"/>
    </row>
    <row r="32" spans="1:20" x14ac:dyDescent="0.2">
      <c r="A32" s="76"/>
      <c r="B32" s="54" t="s">
        <v>1534</v>
      </c>
      <c r="C32" s="76">
        <v>3</v>
      </c>
      <c r="D32" s="76" t="s">
        <v>1541</v>
      </c>
      <c r="E32" s="76" t="s">
        <v>293</v>
      </c>
      <c r="F32" s="77" t="s">
        <v>1537</v>
      </c>
      <c r="G32" s="77" t="s">
        <v>301</v>
      </c>
      <c r="H32" s="76"/>
      <c r="I32" s="76"/>
      <c r="J32" s="76" t="s">
        <v>1542</v>
      </c>
      <c r="K32" s="76">
        <v>1</v>
      </c>
      <c r="L32" s="76">
        <v>3</v>
      </c>
      <c r="M32" s="55">
        <f>VLOOKUP(B32,防御塔!$A$2:$N$17,2,FALSE)*3^(C32-1)</f>
        <v>1800</v>
      </c>
      <c r="N32" s="76"/>
      <c r="O32" s="76">
        <v>0</v>
      </c>
      <c r="P32" s="55">
        <f t="shared" si="0"/>
        <v>1440</v>
      </c>
      <c r="Q32" s="76"/>
      <c r="R32" s="76"/>
      <c r="S32" s="76" t="s">
        <v>297</v>
      </c>
      <c r="T32" s="76"/>
    </row>
    <row r="33" spans="1:20" x14ac:dyDescent="0.2">
      <c r="A33" s="76"/>
      <c r="B33" s="54" t="s">
        <v>1535</v>
      </c>
      <c r="C33" s="76">
        <v>1</v>
      </c>
      <c r="D33" s="76" t="s">
        <v>1543</v>
      </c>
      <c r="E33" s="76" t="s">
        <v>293</v>
      </c>
      <c r="F33" s="77" t="s">
        <v>1544</v>
      </c>
      <c r="G33" s="77" t="s">
        <v>291</v>
      </c>
      <c r="H33" s="76"/>
      <c r="I33" s="76"/>
      <c r="J33" s="76" t="s">
        <v>1545</v>
      </c>
      <c r="K33" s="76">
        <v>1</v>
      </c>
      <c r="L33" s="76">
        <v>1</v>
      </c>
      <c r="M33" s="55">
        <f>VLOOKUP(B33,防御塔!$A$2:$N$17,2,FALSE)*3^(C33-1)</f>
        <v>250</v>
      </c>
      <c r="N33" s="76"/>
      <c r="O33" s="76">
        <v>0</v>
      </c>
      <c r="P33" s="55">
        <f t="shared" si="0"/>
        <v>200</v>
      </c>
      <c r="Q33" s="76" t="s">
        <v>1546</v>
      </c>
      <c r="R33" s="76">
        <v>3</v>
      </c>
      <c r="S33" s="76" t="s">
        <v>297</v>
      </c>
      <c r="T33" s="76"/>
    </row>
    <row r="34" spans="1:20" x14ac:dyDescent="0.2">
      <c r="A34" s="76"/>
      <c r="B34" s="54" t="s">
        <v>1535</v>
      </c>
      <c r="C34" s="76">
        <v>2</v>
      </c>
      <c r="D34" s="76" t="s">
        <v>1546</v>
      </c>
      <c r="E34" s="76" t="s">
        <v>293</v>
      </c>
      <c r="F34" s="77" t="s">
        <v>1544</v>
      </c>
      <c r="G34" s="77" t="s">
        <v>298</v>
      </c>
      <c r="H34" s="76"/>
      <c r="I34" s="76"/>
      <c r="J34" s="76" t="s">
        <v>1547</v>
      </c>
      <c r="K34" s="76">
        <v>1</v>
      </c>
      <c r="L34" s="76">
        <v>2</v>
      </c>
      <c r="M34" s="55">
        <f>VLOOKUP(B34,防御塔!$A$2:$N$17,2,FALSE)*3^(C34-1)</f>
        <v>750</v>
      </c>
      <c r="N34" s="76"/>
      <c r="O34" s="76">
        <v>0</v>
      </c>
      <c r="P34" s="55">
        <f t="shared" si="0"/>
        <v>600</v>
      </c>
      <c r="Q34" s="76" t="s">
        <v>1548</v>
      </c>
      <c r="R34" s="76">
        <v>3</v>
      </c>
      <c r="S34" s="76" t="s">
        <v>297</v>
      </c>
      <c r="T34" s="76"/>
    </row>
    <row r="35" spans="1:20" x14ac:dyDescent="0.2">
      <c r="A35" s="76"/>
      <c r="B35" s="54" t="s">
        <v>1535</v>
      </c>
      <c r="C35" s="76">
        <v>3</v>
      </c>
      <c r="D35" s="76" t="s">
        <v>1548</v>
      </c>
      <c r="E35" s="76" t="s">
        <v>293</v>
      </c>
      <c r="F35" s="77" t="s">
        <v>1544</v>
      </c>
      <c r="G35" s="77" t="s">
        <v>301</v>
      </c>
      <c r="H35" s="76"/>
      <c r="I35" s="76"/>
      <c r="J35" s="76" t="s">
        <v>1549</v>
      </c>
      <c r="K35" s="76">
        <v>1</v>
      </c>
      <c r="L35" s="76">
        <v>3</v>
      </c>
      <c r="M35" s="55">
        <f>VLOOKUP(B35,防御塔!$A$2:$N$17,2,FALSE)*3^(C35-1)</f>
        <v>2250</v>
      </c>
      <c r="N35" s="76"/>
      <c r="O35" s="76">
        <v>0</v>
      </c>
      <c r="P35" s="55">
        <f t="shared" si="0"/>
        <v>1800</v>
      </c>
      <c r="Q35" s="76"/>
      <c r="R35" s="76"/>
      <c r="S35" s="76" t="s">
        <v>297</v>
      </c>
      <c r="T35" s="76"/>
    </row>
    <row r="36" spans="1:20" x14ac:dyDescent="0.2">
      <c r="B36" s="54" t="s">
        <v>1553</v>
      </c>
      <c r="C36" s="76">
        <v>1</v>
      </c>
      <c r="D36" s="76" t="s">
        <v>1554</v>
      </c>
      <c r="E36" s="76" t="s">
        <v>293</v>
      </c>
      <c r="F36" s="77" t="s">
        <v>336</v>
      </c>
      <c r="G36" s="77" t="s">
        <v>291</v>
      </c>
      <c r="J36" s="76" t="s">
        <v>1559</v>
      </c>
      <c r="K36" s="76">
        <v>1</v>
      </c>
      <c r="L36" s="76">
        <v>1</v>
      </c>
      <c r="M36" s="55">
        <f>VLOOKUP(B36,防御塔!$A$2:$N$17,2,FALSE)*3^(C36-1)</f>
        <v>50</v>
      </c>
      <c r="N36" s="76"/>
      <c r="O36" s="76">
        <v>0</v>
      </c>
      <c r="P36" s="55">
        <f t="shared" si="0"/>
        <v>40</v>
      </c>
      <c r="Q36" s="76" t="s">
        <v>1557</v>
      </c>
      <c r="R36" s="76">
        <v>3</v>
      </c>
      <c r="S36" s="76" t="s">
        <v>297</v>
      </c>
    </row>
    <row r="37" spans="1:20" x14ac:dyDescent="0.2">
      <c r="B37" s="54" t="s">
        <v>1553</v>
      </c>
      <c r="C37" s="76">
        <v>2</v>
      </c>
      <c r="D37" s="76" t="s">
        <v>1555</v>
      </c>
      <c r="E37" s="76" t="s">
        <v>293</v>
      </c>
      <c r="F37" s="77" t="s">
        <v>336</v>
      </c>
      <c r="G37" s="77" t="s">
        <v>298</v>
      </c>
      <c r="J37" s="76" t="s">
        <v>1560</v>
      </c>
      <c r="K37" s="76">
        <v>1</v>
      </c>
      <c r="L37" s="76">
        <v>2</v>
      </c>
      <c r="M37" s="55">
        <f>VLOOKUP(B37,防御塔!$A$2:$N$17,2,FALSE)*3^(C37-1)</f>
        <v>150</v>
      </c>
      <c r="N37" s="76"/>
      <c r="O37" s="76">
        <v>0</v>
      </c>
      <c r="P37" s="55">
        <f t="shared" si="0"/>
        <v>120</v>
      </c>
      <c r="Q37" s="76" t="s">
        <v>1558</v>
      </c>
      <c r="R37" s="76">
        <v>3</v>
      </c>
      <c r="S37" s="76" t="s">
        <v>297</v>
      </c>
    </row>
    <row r="38" spans="1:20" x14ac:dyDescent="0.2">
      <c r="B38" s="54" t="s">
        <v>1553</v>
      </c>
      <c r="C38" s="76">
        <v>3</v>
      </c>
      <c r="D38" s="76" t="s">
        <v>1556</v>
      </c>
      <c r="E38" s="76" t="s">
        <v>293</v>
      </c>
      <c r="F38" s="77" t="s">
        <v>336</v>
      </c>
      <c r="G38" s="77" t="s">
        <v>301</v>
      </c>
      <c r="J38" s="76" t="s">
        <v>1561</v>
      </c>
      <c r="K38" s="76">
        <v>1</v>
      </c>
      <c r="L38" s="76">
        <v>3</v>
      </c>
      <c r="M38" s="55">
        <f>VLOOKUP(B38,防御塔!$A$2:$N$17,2,FALSE)*3^(C38-1)</f>
        <v>450</v>
      </c>
      <c r="N38" s="76"/>
      <c r="O38" s="76">
        <v>0</v>
      </c>
      <c r="P38" s="55">
        <f t="shared" si="0"/>
        <v>360</v>
      </c>
      <c r="Q38" s="76"/>
      <c r="R38" s="76"/>
      <c r="S38" s="76" t="s">
        <v>297</v>
      </c>
    </row>
    <row r="39" spans="1:20" x14ac:dyDescent="0.2">
      <c r="B39" s="54" t="s">
        <v>3185</v>
      </c>
      <c r="C39" s="76">
        <v>1</v>
      </c>
      <c r="D39" s="76" t="s">
        <v>3186</v>
      </c>
      <c r="E39" s="76" t="s">
        <v>293</v>
      </c>
      <c r="F39" s="77" t="s">
        <v>3217</v>
      </c>
      <c r="G39" s="77" t="s">
        <v>291</v>
      </c>
      <c r="J39" s="76" t="s">
        <v>3196</v>
      </c>
      <c r="K39" s="76">
        <v>1</v>
      </c>
      <c r="L39" s="76">
        <v>1</v>
      </c>
      <c r="M39" s="55">
        <f>VLOOKUP(B39,防御塔!$A$2:$N$17,2,FALSE)*3^(C39-1)</f>
        <v>150</v>
      </c>
      <c r="O39" s="76">
        <v>0</v>
      </c>
      <c r="P39" s="55">
        <f t="shared" si="0"/>
        <v>120</v>
      </c>
      <c r="Q39" s="76" t="s">
        <v>3205</v>
      </c>
      <c r="R39" s="76">
        <v>3</v>
      </c>
      <c r="S39" s="76" t="s">
        <v>297</v>
      </c>
    </row>
    <row r="40" spans="1:20" x14ac:dyDescent="0.2">
      <c r="B40" s="54" t="s">
        <v>3185</v>
      </c>
      <c r="C40" s="76">
        <v>2</v>
      </c>
      <c r="D40" s="76" t="s">
        <v>3187</v>
      </c>
      <c r="E40" s="76" t="s">
        <v>293</v>
      </c>
      <c r="F40" s="77" t="s">
        <v>3217</v>
      </c>
      <c r="G40" s="77" t="s">
        <v>298</v>
      </c>
      <c r="J40" s="76" t="s">
        <v>3197</v>
      </c>
      <c r="K40" s="76">
        <v>1</v>
      </c>
      <c r="L40" s="76">
        <v>2</v>
      </c>
      <c r="M40" s="55">
        <f>VLOOKUP(B40,防御塔!$A$2:$N$17,2,FALSE)*3^(C40-1)</f>
        <v>450</v>
      </c>
      <c r="O40" s="76">
        <v>0</v>
      </c>
      <c r="P40" s="55">
        <f t="shared" si="0"/>
        <v>360</v>
      </c>
      <c r="Q40" s="76" t="s">
        <v>3206</v>
      </c>
      <c r="R40" s="76">
        <v>3</v>
      </c>
      <c r="S40" s="76" t="s">
        <v>297</v>
      </c>
    </row>
    <row r="41" spans="1:20" x14ac:dyDescent="0.2">
      <c r="B41" s="54" t="s">
        <v>3185</v>
      </c>
      <c r="C41" s="76">
        <v>3</v>
      </c>
      <c r="D41" s="76" t="s">
        <v>3188</v>
      </c>
      <c r="E41" s="76" t="s">
        <v>293</v>
      </c>
      <c r="F41" s="77" t="s">
        <v>3217</v>
      </c>
      <c r="G41" s="77" t="s">
        <v>301</v>
      </c>
      <c r="J41" s="76" t="s">
        <v>3198</v>
      </c>
      <c r="K41" s="76">
        <v>1</v>
      </c>
      <c r="L41" s="76">
        <v>3</v>
      </c>
      <c r="M41" s="55">
        <f>VLOOKUP(B41,防御塔!$A$2:$N$17,2,FALSE)*3^(C41-1)</f>
        <v>1350</v>
      </c>
      <c r="O41" s="76">
        <v>0</v>
      </c>
      <c r="P41" s="55">
        <f t="shared" si="0"/>
        <v>1080</v>
      </c>
      <c r="Q41" s="76"/>
      <c r="R41" s="76"/>
      <c r="S41" s="76" t="s">
        <v>297</v>
      </c>
    </row>
    <row r="42" spans="1:20" x14ac:dyDescent="0.2">
      <c r="B42" s="54" t="s">
        <v>3189</v>
      </c>
      <c r="C42" s="76">
        <v>1</v>
      </c>
      <c r="D42" s="76" t="s">
        <v>3190</v>
      </c>
      <c r="E42" s="76" t="s">
        <v>293</v>
      </c>
      <c r="F42" s="77" t="s">
        <v>3218</v>
      </c>
      <c r="G42" s="77" t="s">
        <v>291</v>
      </c>
      <c r="J42" s="76" t="s">
        <v>3193</v>
      </c>
      <c r="K42" s="76">
        <v>1</v>
      </c>
      <c r="L42" s="76">
        <v>1</v>
      </c>
      <c r="M42" s="55">
        <f>VLOOKUP(B42,防御塔!$A$2:$N$17,2,FALSE)*3^(C42-1)</f>
        <v>200</v>
      </c>
      <c r="O42" s="76">
        <v>0</v>
      </c>
      <c r="P42" s="55">
        <f t="shared" si="0"/>
        <v>160</v>
      </c>
      <c r="Q42" s="76" t="s">
        <v>3207</v>
      </c>
      <c r="R42" s="76">
        <v>3</v>
      </c>
      <c r="S42" s="76" t="s">
        <v>297</v>
      </c>
    </row>
    <row r="43" spans="1:20" x14ac:dyDescent="0.2">
      <c r="B43" s="54" t="s">
        <v>3189</v>
      </c>
      <c r="C43" s="76">
        <v>2</v>
      </c>
      <c r="D43" s="76" t="s">
        <v>3191</v>
      </c>
      <c r="E43" s="76" t="s">
        <v>293</v>
      </c>
      <c r="F43" s="77" t="s">
        <v>3218</v>
      </c>
      <c r="G43" s="77" t="s">
        <v>298</v>
      </c>
      <c r="J43" s="76" t="s">
        <v>3194</v>
      </c>
      <c r="K43" s="76">
        <v>1</v>
      </c>
      <c r="L43" s="76">
        <v>2</v>
      </c>
      <c r="M43" s="55">
        <f>VLOOKUP(B43,防御塔!$A$2:$N$17,2,FALSE)*3^(C43-1)</f>
        <v>600</v>
      </c>
      <c r="O43" s="76">
        <v>0</v>
      </c>
      <c r="P43" s="55">
        <f t="shared" si="0"/>
        <v>480</v>
      </c>
      <c r="Q43" s="76" t="s">
        <v>3208</v>
      </c>
      <c r="R43" s="76">
        <v>3</v>
      </c>
      <c r="S43" s="76" t="s">
        <v>297</v>
      </c>
    </row>
    <row r="44" spans="1:20" x14ac:dyDescent="0.2">
      <c r="B44" s="54" t="s">
        <v>3189</v>
      </c>
      <c r="C44" s="76">
        <v>3</v>
      </c>
      <c r="D44" s="76" t="s">
        <v>3192</v>
      </c>
      <c r="E44" s="76" t="s">
        <v>293</v>
      </c>
      <c r="F44" s="77" t="s">
        <v>3218</v>
      </c>
      <c r="G44" s="77" t="s">
        <v>301</v>
      </c>
      <c r="J44" s="76" t="s">
        <v>3195</v>
      </c>
      <c r="K44" s="76">
        <v>1</v>
      </c>
      <c r="L44" s="76">
        <v>3</v>
      </c>
      <c r="M44" s="55">
        <f>VLOOKUP(B44,防御塔!$A$2:$N$17,2,FALSE)*3^(C44-1)</f>
        <v>1800</v>
      </c>
      <c r="O44" s="76">
        <v>0</v>
      </c>
      <c r="P44" s="55">
        <f t="shared" si="0"/>
        <v>1440</v>
      </c>
      <c r="Q44" s="76"/>
      <c r="R44" s="76"/>
      <c r="S44" s="76" t="s">
        <v>297</v>
      </c>
    </row>
    <row r="45" spans="1:20" x14ac:dyDescent="0.2">
      <c r="B45" s="54" t="s">
        <v>3181</v>
      </c>
      <c r="C45" s="76">
        <v>1</v>
      </c>
      <c r="D45" s="76" t="s">
        <v>3182</v>
      </c>
      <c r="E45" s="76" t="s">
        <v>293</v>
      </c>
      <c r="F45" s="77" t="s">
        <v>3218</v>
      </c>
      <c r="G45" s="77" t="s">
        <v>291</v>
      </c>
      <c r="J45" s="76" t="s">
        <v>3199</v>
      </c>
      <c r="K45" s="76">
        <v>1</v>
      </c>
      <c r="L45" s="76">
        <v>1</v>
      </c>
      <c r="M45" s="55">
        <f>VLOOKUP(B45,防御塔!$A$2:$N$17,2,FALSE)*3^(C45-1)</f>
        <v>200</v>
      </c>
      <c r="O45" s="76">
        <v>0</v>
      </c>
      <c r="P45" s="55">
        <f t="shared" si="0"/>
        <v>160</v>
      </c>
      <c r="Q45" s="76" t="s">
        <v>3209</v>
      </c>
      <c r="R45" s="76">
        <v>3</v>
      </c>
      <c r="S45" s="76" t="s">
        <v>297</v>
      </c>
    </row>
    <row r="46" spans="1:20" x14ac:dyDescent="0.2">
      <c r="B46" s="54" t="s">
        <v>3181</v>
      </c>
      <c r="C46" s="76">
        <v>2</v>
      </c>
      <c r="D46" s="76" t="s">
        <v>3183</v>
      </c>
      <c r="E46" s="76" t="s">
        <v>293</v>
      </c>
      <c r="F46" s="77" t="s">
        <v>3218</v>
      </c>
      <c r="G46" s="77" t="s">
        <v>298</v>
      </c>
      <c r="J46" s="76" t="s">
        <v>3200</v>
      </c>
      <c r="K46" s="76">
        <v>1</v>
      </c>
      <c r="L46" s="76">
        <v>2</v>
      </c>
      <c r="M46" s="55">
        <f>VLOOKUP(B46,防御塔!$A$2:$N$17,2,FALSE)*3^(C46-1)</f>
        <v>600</v>
      </c>
      <c r="O46" s="76">
        <v>0</v>
      </c>
      <c r="P46" s="55">
        <f t="shared" si="0"/>
        <v>480</v>
      </c>
      <c r="Q46" s="76" t="s">
        <v>3210</v>
      </c>
      <c r="R46" s="76">
        <v>3</v>
      </c>
      <c r="S46" s="76" t="s">
        <v>297</v>
      </c>
    </row>
    <row r="47" spans="1:20" x14ac:dyDescent="0.2">
      <c r="B47" s="54" t="s">
        <v>3181</v>
      </c>
      <c r="C47" s="76">
        <v>3</v>
      </c>
      <c r="D47" s="76" t="s">
        <v>3184</v>
      </c>
      <c r="E47" s="76" t="s">
        <v>293</v>
      </c>
      <c r="F47" s="77" t="s">
        <v>3218</v>
      </c>
      <c r="G47" s="77" t="s">
        <v>301</v>
      </c>
      <c r="J47" s="76" t="s">
        <v>3201</v>
      </c>
      <c r="K47" s="76">
        <v>1</v>
      </c>
      <c r="L47" s="76">
        <v>3</v>
      </c>
      <c r="M47" s="55">
        <f>VLOOKUP(B47,防御塔!$A$2:$N$17,2,FALSE)*3^(C47-1)</f>
        <v>1800</v>
      </c>
      <c r="O47" s="76">
        <v>0</v>
      </c>
      <c r="P47" s="55">
        <f t="shared" si="0"/>
        <v>1440</v>
      </c>
      <c r="Q47" s="76"/>
      <c r="R47" s="76"/>
      <c r="S47" s="76" t="s">
        <v>297</v>
      </c>
    </row>
    <row r="48" spans="1:20" x14ac:dyDescent="0.2">
      <c r="B48" s="54" t="s">
        <v>3180</v>
      </c>
      <c r="C48" s="76">
        <v>1</v>
      </c>
      <c r="D48" s="76" t="s">
        <v>3176</v>
      </c>
      <c r="E48" s="76" t="s">
        <v>293</v>
      </c>
      <c r="F48" s="77" t="s">
        <v>3218</v>
      </c>
      <c r="G48" s="77" t="s">
        <v>291</v>
      </c>
      <c r="J48" s="76" t="s">
        <v>3202</v>
      </c>
      <c r="K48" s="76">
        <v>1</v>
      </c>
      <c r="L48" s="76">
        <v>1</v>
      </c>
      <c r="M48" s="55">
        <f>VLOOKUP(B48,防御塔!$A$2:$N$17,2,FALSE)*3^(C48-1)</f>
        <v>250</v>
      </c>
      <c r="O48" s="76">
        <v>0</v>
      </c>
      <c r="P48" s="55">
        <f t="shared" si="0"/>
        <v>200</v>
      </c>
      <c r="Q48" s="76" t="s">
        <v>3211</v>
      </c>
      <c r="R48" s="76">
        <v>3</v>
      </c>
      <c r="S48" s="76" t="s">
        <v>297</v>
      </c>
    </row>
    <row r="49" spans="2:19" x14ac:dyDescent="0.2">
      <c r="B49" s="54" t="s">
        <v>3180</v>
      </c>
      <c r="C49" s="76">
        <v>2</v>
      </c>
      <c r="D49" s="76" t="s">
        <v>3177</v>
      </c>
      <c r="E49" s="76" t="s">
        <v>293</v>
      </c>
      <c r="F49" s="77" t="s">
        <v>3218</v>
      </c>
      <c r="G49" s="77" t="s">
        <v>298</v>
      </c>
      <c r="J49" s="76" t="s">
        <v>3203</v>
      </c>
      <c r="K49" s="76">
        <v>1</v>
      </c>
      <c r="L49" s="76">
        <v>2</v>
      </c>
      <c r="M49" s="55">
        <f>VLOOKUP(B49,防御塔!$A$2:$N$17,2,FALSE)*3^(C49-1)</f>
        <v>750</v>
      </c>
      <c r="O49" s="76">
        <v>0</v>
      </c>
      <c r="P49" s="55">
        <f t="shared" si="0"/>
        <v>600</v>
      </c>
      <c r="Q49" s="76" t="s">
        <v>3212</v>
      </c>
      <c r="R49" s="76">
        <v>3</v>
      </c>
      <c r="S49" s="76" t="s">
        <v>297</v>
      </c>
    </row>
    <row r="50" spans="2:19" x14ac:dyDescent="0.2">
      <c r="B50" s="54" t="s">
        <v>3180</v>
      </c>
      <c r="C50" s="76">
        <v>3</v>
      </c>
      <c r="D50" s="76" t="s">
        <v>3178</v>
      </c>
      <c r="E50" s="76" t="s">
        <v>293</v>
      </c>
      <c r="F50" s="77" t="s">
        <v>3218</v>
      </c>
      <c r="G50" s="77" t="s">
        <v>301</v>
      </c>
      <c r="J50" s="76" t="s">
        <v>3204</v>
      </c>
      <c r="K50" s="76">
        <v>1</v>
      </c>
      <c r="L50" s="76">
        <v>3</v>
      </c>
      <c r="M50" s="55">
        <f>VLOOKUP(B50,防御塔!$A$2:$N$17,2,FALSE)*3^(C50-1)</f>
        <v>2250</v>
      </c>
      <c r="O50" s="76">
        <v>0</v>
      </c>
      <c r="P50" s="55">
        <f t="shared" si="0"/>
        <v>1800</v>
      </c>
      <c r="Q50" s="76"/>
      <c r="R50" s="76"/>
      <c r="S50" s="76" t="s">
        <v>297</v>
      </c>
    </row>
  </sheetData>
  <phoneticPr fontId="4" type="noConversion"/>
  <hyperlinks>
    <hyperlink ref="S3" r:id="rId1" location="ref=AIConfigId@AICfgCategory" xr:uid="{2293361B-65E7-461E-B3B9-5B4B73161BD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8CDD-ABFC-4CE9-873F-AA8F2DE5DF02}">
  <dimension ref="A1:R839"/>
  <sheetViews>
    <sheetView topLeftCell="B1" zoomScale="85" zoomScaleNormal="85" workbookViewId="0">
      <pane xSplit="1" ySplit="6" topLeftCell="C806" activePane="bottomRight" state="frozen"/>
      <selection activeCell="B1" sqref="B1"/>
      <selection pane="topRight" activeCell="C1" sqref="C1"/>
      <selection pane="bottomLeft" activeCell="B7" sqref="B7"/>
      <selection pane="bottomRight" activeCell="B387" sqref="A387:XFD839"/>
    </sheetView>
  </sheetViews>
  <sheetFormatPr defaultColWidth="9" defaultRowHeight="14.25" x14ac:dyDescent="0.2"/>
  <cols>
    <col min="1" max="1" width="9.25" style="57" customWidth="1"/>
    <col min="2" max="2" width="37.375" style="57" customWidth="1"/>
    <col min="3" max="3" width="11.25" style="57" customWidth="1"/>
    <col min="4" max="4" width="11" style="57" customWidth="1"/>
    <col min="5" max="7" width="13.75" style="57" customWidth="1"/>
    <col min="8" max="8" width="27.625" style="57" customWidth="1"/>
    <col min="9" max="10" width="11.125" style="57" customWidth="1"/>
    <col min="11" max="11" width="16.5" style="57" customWidth="1"/>
    <col min="12" max="12" width="32.375" style="57" bestFit="1" customWidth="1"/>
    <col min="13" max="14" width="9.5" style="57" customWidth="1"/>
    <col min="15" max="15" width="12.375" style="57" customWidth="1"/>
    <col min="16" max="18" width="5.25" style="57" customWidth="1"/>
    <col min="19" max="16384" width="9" style="57"/>
  </cols>
  <sheetData>
    <row r="1" spans="1:18" s="106" customFormat="1" x14ac:dyDescent="0.2">
      <c r="A1" s="63" t="s">
        <v>67</v>
      </c>
      <c r="B1" s="63" t="s">
        <v>432</v>
      </c>
      <c r="C1" s="63" t="s">
        <v>433</v>
      </c>
      <c r="D1" s="63" t="s">
        <v>69</v>
      </c>
      <c r="E1" s="63" t="s">
        <v>155</v>
      </c>
      <c r="F1" s="63" t="s">
        <v>434</v>
      </c>
      <c r="G1" s="63" t="s">
        <v>435</v>
      </c>
      <c r="H1" s="189" t="s">
        <v>436</v>
      </c>
      <c r="I1" s="190"/>
      <c r="J1" s="190"/>
      <c r="K1" s="190"/>
      <c r="L1" s="190"/>
      <c r="M1" s="190"/>
      <c r="N1" s="190"/>
      <c r="O1" s="190"/>
    </row>
    <row r="2" spans="1:18" s="106" customFormat="1" x14ac:dyDescent="0.2">
      <c r="A2" s="63" t="s">
        <v>67</v>
      </c>
      <c r="B2" s="63"/>
      <c r="C2" s="63"/>
      <c r="D2" s="63"/>
      <c r="E2" s="63"/>
      <c r="F2" s="63"/>
      <c r="G2" s="63"/>
      <c r="H2" s="104" t="s">
        <v>437</v>
      </c>
      <c r="I2" s="104" t="s">
        <v>438</v>
      </c>
      <c r="J2" s="104" t="s">
        <v>439</v>
      </c>
      <c r="K2" s="104" t="s">
        <v>440</v>
      </c>
      <c r="L2" s="104" t="s">
        <v>441</v>
      </c>
      <c r="M2" s="104" t="s">
        <v>181</v>
      </c>
      <c r="N2" s="104" t="s">
        <v>969</v>
      </c>
      <c r="O2" s="104" t="s">
        <v>263</v>
      </c>
    </row>
    <row r="3" spans="1:18" s="106" customFormat="1" x14ac:dyDescent="0.2">
      <c r="A3" s="63" t="s">
        <v>67</v>
      </c>
      <c r="B3" s="63"/>
      <c r="C3" s="63"/>
      <c r="D3" s="63"/>
      <c r="E3" s="63"/>
      <c r="F3" s="63"/>
      <c r="G3" s="63"/>
      <c r="H3" s="104"/>
      <c r="I3" s="105"/>
      <c r="J3" s="105"/>
      <c r="K3" s="105"/>
      <c r="L3" s="105"/>
      <c r="M3" s="105"/>
      <c r="N3" s="105"/>
      <c r="O3" s="105"/>
    </row>
    <row r="4" spans="1:18" s="108" customFormat="1" x14ac:dyDescent="0.2">
      <c r="A4" s="64" t="s">
        <v>71</v>
      </c>
      <c r="B4" s="64" t="s">
        <v>72</v>
      </c>
      <c r="C4" s="64" t="s">
        <v>73</v>
      </c>
      <c r="D4" s="64" t="s">
        <v>72</v>
      </c>
      <c r="E4" s="64" t="s">
        <v>72</v>
      </c>
      <c r="F4" s="64" t="s">
        <v>73</v>
      </c>
      <c r="G4" s="64" t="s">
        <v>74</v>
      </c>
      <c r="H4" s="191" t="s">
        <v>442</v>
      </c>
      <c r="I4" s="192"/>
      <c r="J4" s="192"/>
      <c r="K4" s="192"/>
      <c r="L4" s="192"/>
      <c r="M4" s="192"/>
      <c r="N4" s="192"/>
      <c r="O4" s="192"/>
    </row>
    <row r="5" spans="1:18" s="108" customFormat="1" x14ac:dyDescent="0.2">
      <c r="A5" s="64" t="s">
        <v>75</v>
      </c>
      <c r="B5" s="64"/>
      <c r="C5" s="64"/>
      <c r="D5" s="64"/>
      <c r="E5" s="64" t="s">
        <v>76</v>
      </c>
      <c r="F5" s="64"/>
      <c r="G5" s="64"/>
      <c r="H5" s="64"/>
      <c r="I5" s="64"/>
      <c r="J5" s="64"/>
      <c r="K5" s="64"/>
      <c r="L5" s="64"/>
      <c r="M5" s="64"/>
      <c r="N5" s="107"/>
      <c r="O5" s="107"/>
    </row>
    <row r="6" spans="1:18" s="106" customFormat="1" x14ac:dyDescent="0.2">
      <c r="A6" s="67" t="s">
        <v>77</v>
      </c>
      <c r="B6" s="67" t="s">
        <v>443</v>
      </c>
      <c r="C6" s="67" t="s">
        <v>395</v>
      </c>
      <c r="D6" s="67" t="s">
        <v>79</v>
      </c>
      <c r="E6" s="67" t="s">
        <v>80</v>
      </c>
      <c r="F6" s="67" t="s">
        <v>444</v>
      </c>
      <c r="G6" s="67" t="s">
        <v>938</v>
      </c>
      <c r="H6" s="67" t="s">
        <v>445</v>
      </c>
      <c r="I6" s="67" t="s">
        <v>446</v>
      </c>
      <c r="J6" s="67" t="s">
        <v>447</v>
      </c>
      <c r="K6" s="67" t="s">
        <v>448</v>
      </c>
      <c r="L6" s="67" t="s">
        <v>449</v>
      </c>
      <c r="M6" s="67" t="s">
        <v>450</v>
      </c>
      <c r="N6" s="109" t="s">
        <v>970</v>
      </c>
      <c r="O6" s="109" t="s">
        <v>451</v>
      </c>
      <c r="P6" s="106" t="s">
        <v>453</v>
      </c>
      <c r="Q6" s="106" t="s">
        <v>453</v>
      </c>
      <c r="R6" s="106" t="s">
        <v>453</v>
      </c>
    </row>
    <row r="7" spans="1:18" x14ac:dyDescent="0.2">
      <c r="B7" s="57" t="s">
        <v>1379</v>
      </c>
      <c r="C7" s="57">
        <v>1</v>
      </c>
      <c r="D7" s="57" t="str">
        <f>IF(C7="","","新手关卡第"&amp;C7&amp;"波")</f>
        <v>新手关卡第1波</v>
      </c>
      <c r="F7" s="57">
        <f>IF(C7="","",0)</f>
        <v>0</v>
      </c>
      <c r="G7" s="102">
        <f>IF(C7="","",180)</f>
        <v>180</v>
      </c>
      <c r="H7" s="57">
        <f>IF(I7="","",0)</f>
        <v>0</v>
      </c>
      <c r="I7" s="102">
        <f>IF(VLOOKUP($P7,新手关卡!$A$3:$X$5,5,FALSE)="","",VLOOKUP($P7,新手关卡!$A$3:$X$5,6,FALSE))</f>
        <v>13</v>
      </c>
      <c r="J7" s="102">
        <f>IF(VLOOKUP($P7,新手关卡!$A$3:$X$5,5,FALSE)="","",VLOOKUP($P7,新手关卡!$A$3:$X$5,7,FALSE))</f>
        <v>0.75</v>
      </c>
      <c r="K7" s="102">
        <f>IF(I7="","",1)</f>
        <v>1</v>
      </c>
      <c r="L7" s="102" t="str">
        <f>IF(VLOOKUP($P7,新手关卡!$A$3:$X$5,5,FALSE)="","","Monster_Tutorial_"&amp;P7&amp;"_1")</f>
        <v>Monster_Tutorial_1_1</v>
      </c>
      <c r="M7" s="57">
        <f>IF(I7="","",1)</f>
        <v>1</v>
      </c>
      <c r="O7" s="102">
        <f>IF(VLOOKUP($P7,新手关卡!$A$3:$X$5,5,FALSE)="","",VLOOKUP($P7,新手关卡!$A$3:$X$5,9,FALSE))</f>
        <v>35</v>
      </c>
      <c r="P7" s="110">
        <f>IF(C7="",#REF!,C7)</f>
        <v>1</v>
      </c>
      <c r="Q7" s="110">
        <v>1</v>
      </c>
    </row>
    <row r="8" spans="1:18" x14ac:dyDescent="0.2">
      <c r="D8" s="57" t="str">
        <f t="shared" ref="D8:D18" si="0">IF(C8="","","新手关卡第"&amp;C8&amp;"波")</f>
        <v/>
      </c>
      <c r="F8" s="57" t="str">
        <f t="shared" ref="F8:F10" si="1">IF(C8="","",0)</f>
        <v/>
      </c>
      <c r="G8" s="102" t="str">
        <f t="shared" ref="G8:G10" si="2">IF(C8="","",180)</f>
        <v/>
      </c>
      <c r="H8" s="57" t="str">
        <f t="shared" ref="H8:H10" si="3">IF(I8="","",0)</f>
        <v/>
      </c>
      <c r="I8" s="102" t="str">
        <f>IF(VLOOKUP($P8,新手关卡!$A$3:$X$5,10,FALSE)="","",VLOOKUP($P8,新手关卡!$A$3:$X$5,11,FALSE))</f>
        <v/>
      </c>
      <c r="J8" s="102" t="str">
        <f>IF(VLOOKUP($P8,新手关卡!$A$3:$X$5,10,FALSE)="","",VLOOKUP($P8,新手关卡!$A$3:$X$5,12,FALSE))</f>
        <v/>
      </c>
      <c r="K8" s="102" t="str">
        <f t="shared" ref="K8:K10" si="4">IF(I8="","",1)</f>
        <v/>
      </c>
      <c r="L8" s="102" t="str">
        <f>IF(VLOOKUP($P8,新手关卡!$A$3:$X$5,10,FALSE)="","","Monster_Tutorial_"&amp;P8&amp;"_1")</f>
        <v/>
      </c>
      <c r="M8" s="57" t="str">
        <f t="shared" ref="M8:M10" si="5">IF(I8="","",1)</f>
        <v/>
      </c>
      <c r="O8" s="102" t="str">
        <f>IF(VLOOKUP($P8,新手关卡!$A$3:$X$5,10,FALSE)="","",VLOOKUP($P8,新手关卡!$A$3:$X$5,14,FALSE))</f>
        <v/>
      </c>
      <c r="P8" s="110">
        <f t="shared" ref="P8:P10" si="6">IF(C8="",P7,C8)</f>
        <v>1</v>
      </c>
      <c r="Q8" s="110">
        <v>2</v>
      </c>
    </row>
    <row r="9" spans="1:18" x14ac:dyDescent="0.2">
      <c r="D9" s="57" t="str">
        <f t="shared" si="0"/>
        <v/>
      </c>
      <c r="F9" s="57" t="str">
        <f t="shared" si="1"/>
        <v/>
      </c>
      <c r="G9" s="102" t="str">
        <f t="shared" si="2"/>
        <v/>
      </c>
      <c r="H9" s="57" t="str">
        <f t="shared" si="3"/>
        <v/>
      </c>
      <c r="I9" s="102" t="str">
        <f>IF(VLOOKUP($P9,新手关卡!$A$3:$X$5,15,FALSE)="","",VLOOKUP($P9,新手关卡!$A$3:$X$5,16,FALSE))</f>
        <v/>
      </c>
      <c r="J9" s="102" t="str">
        <f>IF(VLOOKUP($P9,新手关卡!$A$3:$X$5,15,FALSE)="","",VLOOKUP($P9,新手关卡!$A$3:$X$5,17,FALSE))</f>
        <v/>
      </c>
      <c r="K9" s="102" t="str">
        <f t="shared" si="4"/>
        <v/>
      </c>
      <c r="L9" s="102" t="str">
        <f>IF(VLOOKUP($P9,新手关卡!$A$3:$X$5,15,FALSE)="","","Monster_Tutorial_"&amp;P9&amp;"_1")</f>
        <v/>
      </c>
      <c r="M9" s="57" t="str">
        <f t="shared" si="5"/>
        <v/>
      </c>
      <c r="O9" s="102" t="str">
        <f>IF(VLOOKUP($P9,新手关卡!$A$3:$X$5,15,FALSE)="","",VLOOKUP($P9,新手关卡!$A$3:$X$5,19,FALSE))</f>
        <v/>
      </c>
      <c r="P9" s="110">
        <f t="shared" si="6"/>
        <v>1</v>
      </c>
      <c r="Q9" s="110">
        <v>3</v>
      </c>
    </row>
    <row r="10" spans="1:18" x14ac:dyDescent="0.2">
      <c r="D10" s="57" t="str">
        <f t="shared" si="0"/>
        <v/>
      </c>
      <c r="F10" s="57" t="str">
        <f t="shared" si="1"/>
        <v/>
      </c>
      <c r="G10" s="102" t="str">
        <f t="shared" si="2"/>
        <v/>
      </c>
      <c r="H10" s="57" t="str">
        <f t="shared" si="3"/>
        <v/>
      </c>
      <c r="I10" s="102" t="str">
        <f>IF(VLOOKUP($P10,新手关卡!$A$3:$X$5,20,FALSE)="","",VLOOKUP($P10,新手关卡!$A$3:$X$5,21,FALSE))</f>
        <v/>
      </c>
      <c r="J10" s="102" t="str">
        <f>IF(VLOOKUP($P10,新手关卡!$A$3:$X$5,20,FALSE)="","",VLOOKUP($P10,新手关卡!$A$3:$X$5,22,FALSE))</f>
        <v/>
      </c>
      <c r="K10" s="102" t="str">
        <f t="shared" si="4"/>
        <v/>
      </c>
      <c r="L10" s="102" t="str">
        <f>IF(VLOOKUP($P10,新手关卡!$A$3:$X$5,20,FALSE)="","","Monster_Infinite_"&amp;P10&amp;"_4")</f>
        <v/>
      </c>
      <c r="M10" s="57" t="str">
        <f t="shared" si="5"/>
        <v/>
      </c>
      <c r="O10" s="102" t="str">
        <f>IF(VLOOKUP($P10,新手关卡!$A$3:$X$5,20,FALSE)="","",VLOOKUP($P10,新手关卡!$A$3:$X$5,24,FALSE))</f>
        <v/>
      </c>
      <c r="P10" s="110">
        <f t="shared" si="6"/>
        <v>1</v>
      </c>
      <c r="Q10" s="110">
        <v>4</v>
      </c>
    </row>
    <row r="11" spans="1:18" x14ac:dyDescent="0.2">
      <c r="B11" s="57" t="s">
        <v>1379</v>
      </c>
      <c r="C11" s="57">
        <v>2</v>
      </c>
      <c r="D11" s="57" t="str">
        <f t="shared" si="0"/>
        <v>新手关卡第2波</v>
      </c>
      <c r="F11" s="57">
        <f>IF(C11="","",0)</f>
        <v>0</v>
      </c>
      <c r="G11" s="102">
        <f>IF(C11="","",180)</f>
        <v>180</v>
      </c>
      <c r="H11" s="57">
        <f>IF(I11="","",0)</f>
        <v>0</v>
      </c>
      <c r="I11" s="102">
        <f>IF(VLOOKUP($P11,新手关卡!$A$3:$X$5,5,FALSE)="","",VLOOKUP($P11,新手关卡!$A$3:$X$5,6,FALSE))</f>
        <v>7</v>
      </c>
      <c r="J11" s="102">
        <f>IF(VLOOKUP($P11,新手关卡!$A$3:$X$5,5,FALSE)="","",VLOOKUP($P11,新手关卡!$A$3:$X$5,7,FALSE))</f>
        <v>1.5</v>
      </c>
      <c r="K11" s="102">
        <f>IF(I11="","",1)</f>
        <v>1</v>
      </c>
      <c r="L11" s="102" t="str">
        <f>IF(VLOOKUP($P11,新手关卡!$A$3:$X$5,5,FALSE)="","","Monster_Tutorial_"&amp;P11&amp;"_1")</f>
        <v>Monster_Tutorial_2_1</v>
      </c>
      <c r="M11" s="57">
        <f>IF(I11="","",1)</f>
        <v>1</v>
      </c>
      <c r="O11" s="102">
        <f>IF(VLOOKUP($P11,新手关卡!$A$3:$X$5,5,FALSE)="","",VLOOKUP($P11,新手关卡!$A$3:$X$5,9,FALSE))</f>
        <v>64</v>
      </c>
      <c r="P11" s="110">
        <f>IF(C11="",#REF!,C11)</f>
        <v>2</v>
      </c>
      <c r="Q11" s="110">
        <v>1</v>
      </c>
    </row>
    <row r="12" spans="1:18" x14ac:dyDescent="0.2">
      <c r="D12" s="57" t="str">
        <f t="shared" si="0"/>
        <v/>
      </c>
      <c r="F12" s="57" t="str">
        <f t="shared" ref="F12:F14" si="7">IF(C12="","",0)</f>
        <v/>
      </c>
      <c r="G12" s="102" t="str">
        <f t="shared" ref="G12:G14" si="8">IF(C12="","",180)</f>
        <v/>
      </c>
      <c r="H12" s="57" t="str">
        <f t="shared" ref="H12:H14" si="9">IF(I12="","",0)</f>
        <v/>
      </c>
      <c r="I12" s="102" t="str">
        <f>IF(VLOOKUP($P12,新手关卡!$A$3:$X$5,10,FALSE)="","",VLOOKUP($P12,新手关卡!$A$3:$X$5,11,FALSE))</f>
        <v/>
      </c>
      <c r="J12" s="102" t="str">
        <f>IF(VLOOKUP($P12,新手关卡!$A$3:$X$5,10,FALSE)="","",VLOOKUP($P12,新手关卡!$A$3:$X$5,12,FALSE))</f>
        <v/>
      </c>
      <c r="K12" s="102" t="str">
        <f t="shared" ref="K12:K14" si="10">IF(I12="","",1)</f>
        <v/>
      </c>
      <c r="L12" s="102" t="str">
        <f>IF(VLOOKUP($P12,新手关卡!$A$3:$X$5,10,FALSE)="","","Monster_Infinite_"&amp;P12&amp;"_2")</f>
        <v/>
      </c>
      <c r="M12" s="57" t="str">
        <f t="shared" ref="M12:M14" si="11">IF(I12="","",1)</f>
        <v/>
      </c>
      <c r="O12" s="102" t="str">
        <f>IF(VLOOKUP($P12,新手关卡!$A$3:$X$5,10,FALSE)="","",VLOOKUP($P12,新手关卡!$A$3:$X$5,14,FALSE))</f>
        <v/>
      </c>
      <c r="P12" s="110">
        <f t="shared" ref="P12:P14" si="12">IF(C12="",P11,C12)</f>
        <v>2</v>
      </c>
      <c r="Q12" s="110">
        <v>2</v>
      </c>
    </row>
    <row r="13" spans="1:18" x14ac:dyDescent="0.2">
      <c r="D13" s="57" t="str">
        <f t="shared" si="0"/>
        <v/>
      </c>
      <c r="F13" s="57" t="str">
        <f t="shared" si="7"/>
        <v/>
      </c>
      <c r="G13" s="102" t="str">
        <f t="shared" si="8"/>
        <v/>
      </c>
      <c r="H13" s="57" t="str">
        <f t="shared" si="9"/>
        <v/>
      </c>
      <c r="I13" s="102" t="str">
        <f>IF(VLOOKUP($P13,新手关卡!$A$3:$X$5,15,FALSE)="","",VLOOKUP($P13,新手关卡!$A$3:$X$5,16,FALSE))</f>
        <v/>
      </c>
      <c r="J13" s="102" t="str">
        <f>IF(VLOOKUP($P13,新手关卡!$A$3:$X$5,15,FALSE)="","",VLOOKUP($P13,新手关卡!$A$3:$X$5,17,FALSE))</f>
        <v/>
      </c>
      <c r="K13" s="102" t="str">
        <f t="shared" si="10"/>
        <v/>
      </c>
      <c r="L13" s="102" t="str">
        <f>IF(VLOOKUP($P13,新手关卡!$A$3:$X$5,15,FALSE)="","","Monster_Infinite_"&amp;P13&amp;"_3")</f>
        <v/>
      </c>
      <c r="M13" s="57" t="str">
        <f t="shared" si="11"/>
        <v/>
      </c>
      <c r="O13" s="102" t="str">
        <f>IF(VLOOKUP($P13,新手关卡!$A$3:$X$5,15,FALSE)="","",VLOOKUP($P13,新手关卡!$A$3:$X$5,19,FALSE))</f>
        <v/>
      </c>
      <c r="P13" s="110">
        <f t="shared" si="12"/>
        <v>2</v>
      </c>
      <c r="Q13" s="110">
        <v>3</v>
      </c>
    </row>
    <row r="14" spans="1:18" x14ac:dyDescent="0.2">
      <c r="D14" s="57" t="str">
        <f t="shared" si="0"/>
        <v/>
      </c>
      <c r="F14" s="57" t="str">
        <f t="shared" si="7"/>
        <v/>
      </c>
      <c r="G14" s="102" t="str">
        <f t="shared" si="8"/>
        <v/>
      </c>
      <c r="H14" s="57" t="str">
        <f t="shared" si="9"/>
        <v/>
      </c>
      <c r="I14" s="102" t="str">
        <f>IF(VLOOKUP($P14,新手关卡!$A$3:$X$5,20,FALSE)="","",VLOOKUP($P14,新手关卡!$A$3:$X$5,21,FALSE))</f>
        <v/>
      </c>
      <c r="J14" s="102" t="str">
        <f>IF(VLOOKUP($P14,新手关卡!$A$3:$X$5,20,FALSE)="","",VLOOKUP($P14,新手关卡!$A$3:$X$5,22,FALSE))</f>
        <v/>
      </c>
      <c r="K14" s="102" t="str">
        <f t="shared" si="10"/>
        <v/>
      </c>
      <c r="L14" s="102" t="str">
        <f>IF(VLOOKUP($P14,新手关卡!$A$3:$X$5,20,FALSE)="","","Monster_Infinite_"&amp;P14&amp;"_4")</f>
        <v/>
      </c>
      <c r="M14" s="57" t="str">
        <f t="shared" si="11"/>
        <v/>
      </c>
      <c r="O14" s="102" t="str">
        <f>IF(VLOOKUP($P14,新手关卡!$A$3:$X$5,20,FALSE)="","",VLOOKUP($P14,新手关卡!$A$3:$X$5,24,FALSE))</f>
        <v/>
      </c>
      <c r="P14" s="110">
        <f t="shared" si="12"/>
        <v>2</v>
      </c>
      <c r="Q14" s="110">
        <v>4</v>
      </c>
    </row>
    <row r="15" spans="1:18" x14ac:dyDescent="0.2">
      <c r="B15" s="57" t="s">
        <v>1379</v>
      </c>
      <c r="C15" s="57">
        <v>3</v>
      </c>
      <c r="D15" s="57" t="str">
        <f t="shared" si="0"/>
        <v>新手关卡第3波</v>
      </c>
      <c r="F15" s="57">
        <f>IF(C15="","",0)</f>
        <v>0</v>
      </c>
      <c r="G15" s="102">
        <f>IF(C15="","",180)</f>
        <v>180</v>
      </c>
      <c r="H15" s="57">
        <f>IF(I15="","",0)</f>
        <v>0</v>
      </c>
      <c r="I15" s="102">
        <f>IF(VLOOKUP($P15,新手关卡!$A$3:$X$5,5,FALSE)="","",VLOOKUP($P15,新手关卡!$A$3:$X$5,6,FALSE))</f>
        <v>16</v>
      </c>
      <c r="J15" s="102">
        <f>IF(VLOOKUP($P15,新手关卡!$A$3:$X$5,5,FALSE)="","",VLOOKUP($P15,新手关卡!$A$3:$X$5,7,FALSE))</f>
        <v>0.75</v>
      </c>
      <c r="K15" s="102">
        <f>IF(I15="","",1)</f>
        <v>1</v>
      </c>
      <c r="L15" s="102" t="str">
        <f>IF(VLOOKUP($P15,新手关卡!$A$3:$X$5,5,FALSE)="","","Monster_Tutorial_"&amp;P15&amp;"_1")</f>
        <v>Monster_Tutorial_3_1</v>
      </c>
      <c r="M15" s="57">
        <f>IF(I15="","",1)</f>
        <v>1</v>
      </c>
      <c r="O15" s="102">
        <f>IF(VLOOKUP($P15,新手关卡!$A$3:$X$5,5,FALSE)="","",VLOOKUP($P15,新手关卡!$A$3:$X$5,9,FALSE))</f>
        <v>6</v>
      </c>
      <c r="P15" s="110">
        <f>IF(C15="",#REF!,C15)</f>
        <v>3</v>
      </c>
      <c r="Q15" s="110">
        <v>1</v>
      </c>
    </row>
    <row r="16" spans="1:18" x14ac:dyDescent="0.2">
      <c r="D16" s="57" t="str">
        <f t="shared" si="0"/>
        <v/>
      </c>
      <c r="F16" s="57" t="str">
        <f t="shared" ref="F16:F18" si="13">IF(C16="","",0)</f>
        <v/>
      </c>
      <c r="G16" s="102" t="str">
        <f t="shared" ref="G16:G18" si="14">IF(C16="","",180)</f>
        <v/>
      </c>
      <c r="H16" s="57">
        <f t="shared" ref="H16:H18" si="15">IF(I16="","",0)</f>
        <v>0</v>
      </c>
      <c r="I16" s="102">
        <f>IF(VLOOKUP($P16,新手关卡!$A$3:$X$5,10,FALSE)="","",VLOOKUP($P16,新手关卡!$A$3:$X$5,11,FALSE))</f>
        <v>8</v>
      </c>
      <c r="J16" s="102">
        <f>IF(VLOOKUP($P16,新手关卡!$A$3:$X$5,10,FALSE)="","",VLOOKUP($P16,新手关卡!$A$3:$X$5,12,FALSE))</f>
        <v>1.5</v>
      </c>
      <c r="K16" s="102">
        <f t="shared" ref="K16:K18" si="16">IF(I16="","",1)</f>
        <v>1</v>
      </c>
      <c r="L16" s="102" t="str">
        <f>IF(VLOOKUP($P16,新手关卡!$A$3:$X$5,10,FALSE)="","","Monster_Tutorial_"&amp;P16&amp;"_2")</f>
        <v>Monster_Tutorial_3_2</v>
      </c>
      <c r="M16" s="57">
        <f t="shared" ref="M16:M18" si="17">IF(I16="","",1)</f>
        <v>1</v>
      </c>
      <c r="O16" s="102">
        <f>IF(VLOOKUP($P16,新手关卡!$A$3:$X$5,10,FALSE)="","",VLOOKUP($P16,新手关卡!$A$3:$X$5,14,FALSE))</f>
        <v>25</v>
      </c>
      <c r="P16" s="110">
        <f t="shared" ref="P16:P18" si="18">IF(C16="",P15,C16)</f>
        <v>3</v>
      </c>
      <c r="Q16" s="110">
        <v>2</v>
      </c>
    </row>
    <row r="17" spans="2:17" x14ac:dyDescent="0.2">
      <c r="D17" s="57" t="str">
        <f t="shared" si="0"/>
        <v/>
      </c>
      <c r="F17" s="57" t="str">
        <f t="shared" si="13"/>
        <v/>
      </c>
      <c r="G17" s="102" t="str">
        <f t="shared" si="14"/>
        <v/>
      </c>
      <c r="H17" s="57">
        <f t="shared" si="15"/>
        <v>0</v>
      </c>
      <c r="I17" s="102">
        <f>IF(VLOOKUP($P17,新手关卡!$A$3:$X$5,15,FALSE)="","",VLOOKUP($P17,新手关卡!$A$3:$X$5,16,FALSE))</f>
        <v>12</v>
      </c>
      <c r="J17" s="102">
        <f>IF(VLOOKUP($P17,新手关卡!$A$3:$X$5,15,FALSE)="","",VLOOKUP($P17,新手关卡!$A$3:$X$5,17,FALSE))</f>
        <v>1</v>
      </c>
      <c r="K17" s="102">
        <f t="shared" si="16"/>
        <v>1</v>
      </c>
      <c r="L17" s="102" t="str">
        <f>IF(VLOOKUP($P17,新手关卡!$A$3:$X$5,15,FALSE)="","","Monster_Tutorial_"&amp;P17&amp;"_3")</f>
        <v>Monster_Tutorial_3_3</v>
      </c>
      <c r="M17" s="57">
        <f t="shared" si="17"/>
        <v>1</v>
      </c>
      <c r="O17" s="102">
        <f>IF(VLOOKUP($P17,新手关卡!$A$3:$X$5,15,FALSE)="","",VLOOKUP($P17,新手关卡!$A$3:$X$5,19,FALSE))</f>
        <v>13</v>
      </c>
      <c r="P17" s="110">
        <f t="shared" si="18"/>
        <v>3</v>
      </c>
      <c r="Q17" s="110">
        <v>3</v>
      </c>
    </row>
    <row r="18" spans="2:17" x14ac:dyDescent="0.2">
      <c r="D18" s="57" t="str">
        <f t="shared" si="0"/>
        <v/>
      </c>
      <c r="F18" s="57" t="str">
        <f t="shared" si="13"/>
        <v/>
      </c>
      <c r="G18" s="102" t="str">
        <f t="shared" si="14"/>
        <v/>
      </c>
      <c r="H18" s="57" t="str">
        <f t="shared" si="15"/>
        <v/>
      </c>
      <c r="I18" s="102" t="str">
        <f>IF(VLOOKUP($P18,新手关卡!$A$3:$X$5,20,FALSE)="","",VLOOKUP($P18,新手关卡!$A$3:$X$5,21,FALSE))</f>
        <v/>
      </c>
      <c r="J18" s="102" t="str">
        <f>IF(VLOOKUP($P18,新手关卡!$A$3:$X$5,20,FALSE)="","",VLOOKUP($P18,新手关卡!$A$3:$X$5,22,FALSE))</f>
        <v/>
      </c>
      <c r="K18" s="102" t="str">
        <f t="shared" si="16"/>
        <v/>
      </c>
      <c r="L18" s="102" t="str">
        <f>IF(VLOOKUP($P18,新手关卡!$A$3:$X$5,20,FALSE)="","","Monster_Infinite_"&amp;P18&amp;"_4")</f>
        <v/>
      </c>
      <c r="M18" s="57" t="str">
        <f t="shared" si="17"/>
        <v/>
      </c>
      <c r="O18" s="102" t="str">
        <f>IF(VLOOKUP($P18,新手关卡!$A$3:$X$5,20,FALSE)="","",VLOOKUP($P18,新手关卡!$A$3:$X$5,24,FALSE))</f>
        <v/>
      </c>
      <c r="P18" s="110">
        <f t="shared" si="18"/>
        <v>3</v>
      </c>
      <c r="Q18" s="110">
        <v>4</v>
      </c>
    </row>
    <row r="23" spans="2:17" x14ac:dyDescent="0.2">
      <c r="B23" s="57" t="s">
        <v>452</v>
      </c>
      <c r="C23" s="57">
        <v>1</v>
      </c>
      <c r="D23" s="57" t="str">
        <f t="shared" ref="D23:D54" si="19">IF(C23="","","无限模式第"&amp;C23&amp;"波")</f>
        <v>无限模式第1波</v>
      </c>
      <c r="F23" s="57">
        <f>IF(C23="","",0)</f>
        <v>0</v>
      </c>
      <c r="G23" s="102">
        <f>IF(C23="","",180)</f>
        <v>180</v>
      </c>
      <c r="H23" s="57">
        <f>IF(I23="","",0)</f>
        <v>0</v>
      </c>
      <c r="I23" s="102">
        <f>IF(VLOOKUP($P23,无限模式!$A$3:$X$22,5,FALSE)="","",VLOOKUP($P23,无限模式!$A$3:$X$22,6,FALSE))</f>
        <v>13</v>
      </c>
      <c r="J23" s="102">
        <f>IF(VLOOKUP($P23,无限模式!$A$3:$X$22,5,FALSE)="","",VLOOKUP($P23,无限模式!$A$3:$X$22,7,FALSE))</f>
        <v>0.75</v>
      </c>
      <c r="K23" s="102">
        <f>IF(I23="","",1)</f>
        <v>1</v>
      </c>
      <c r="L23" s="102" t="str">
        <f>IF(VLOOKUP($P23,无限模式!$A$3:$X$22,5,FALSE)="","","Monster_Infinite_"&amp;P23&amp;"_1")</f>
        <v>Monster_Infinite_1_1</v>
      </c>
      <c r="M23" s="57">
        <f>IF(I23="","",1)</f>
        <v>1</v>
      </c>
      <c r="O23" s="102">
        <f>IF(VLOOKUP($P23,无限模式!$A$3:$X$22,5,FALSE)="","",VLOOKUP($P23,无限模式!$A$3:$X$22,9,FALSE))</f>
        <v>46</v>
      </c>
      <c r="P23" s="110">
        <f>IF(C23="",P6,C23)</f>
        <v>1</v>
      </c>
      <c r="Q23" s="110">
        <v>1</v>
      </c>
    </row>
    <row r="24" spans="2:17" x14ac:dyDescent="0.2">
      <c r="D24" s="57" t="str">
        <f t="shared" si="19"/>
        <v/>
      </c>
      <c r="F24" s="57" t="str">
        <f t="shared" ref="F24:F87" si="20">IF(C24="","",0)</f>
        <v/>
      </c>
      <c r="G24" s="102" t="str">
        <f t="shared" ref="G24:G87" si="21">IF(C24="","",180)</f>
        <v/>
      </c>
      <c r="H24" s="57" t="str">
        <f t="shared" ref="H24:H87" si="22">IF(I24="","",0)</f>
        <v/>
      </c>
      <c r="I24" s="102" t="str">
        <f>IF(VLOOKUP($P24,无限模式!$A$3:$X$22,10,FALSE)="","",VLOOKUP($P24,无限模式!$A$3:$X$22,11,FALSE))</f>
        <v/>
      </c>
      <c r="J24" s="102" t="str">
        <f>IF(VLOOKUP($P24,无限模式!$A$3:$X$22,10,FALSE)="","",VLOOKUP($P24,无限模式!$A$3:$X$22,12,FALSE))</f>
        <v/>
      </c>
      <c r="K24" s="102" t="str">
        <f t="shared" ref="K24:K87" si="23">IF(I24="","",1)</f>
        <v/>
      </c>
      <c r="L24" s="102" t="str">
        <f>IF(VLOOKUP($P24,无限模式!$A$3:$X$22,10,FALSE)="","","Monster_Infinite_"&amp;P24&amp;"_2")</f>
        <v/>
      </c>
      <c r="M24" s="57" t="str">
        <f t="shared" ref="M24:M87" si="24">IF(I24="","",1)</f>
        <v/>
      </c>
      <c r="O24" s="102" t="str">
        <f>IF(VLOOKUP($P24,无限模式!$A$3:$X$22,10,FALSE)="","",VLOOKUP($P24,无限模式!$A$3:$X$22,14,FALSE))</f>
        <v/>
      </c>
      <c r="P24" s="110">
        <f t="shared" ref="P24:P87" si="25">IF(C24="",P23,C24)</f>
        <v>1</v>
      </c>
      <c r="Q24" s="110">
        <v>2</v>
      </c>
    </row>
    <row r="25" spans="2:17" x14ac:dyDescent="0.2">
      <c r="D25" s="57" t="str">
        <f t="shared" si="19"/>
        <v/>
      </c>
      <c r="F25" s="57" t="str">
        <f t="shared" si="20"/>
        <v/>
      </c>
      <c r="G25" s="102" t="str">
        <f t="shared" si="21"/>
        <v/>
      </c>
      <c r="H25" s="57" t="str">
        <f t="shared" si="22"/>
        <v/>
      </c>
      <c r="I25" s="102" t="str">
        <f>IF(VLOOKUP($P25,无限模式!$A$3:$X$22,15,FALSE)="","",VLOOKUP($P25,无限模式!$A$3:$X$22,16,FALSE))</f>
        <v/>
      </c>
      <c r="J25" s="102" t="str">
        <f>IF(VLOOKUP($P25,无限模式!$A$3:$X$22,15,FALSE)="","",VLOOKUP($P25,无限模式!$A$3:$X$22,17,FALSE))</f>
        <v/>
      </c>
      <c r="K25" s="102" t="str">
        <f t="shared" si="23"/>
        <v/>
      </c>
      <c r="L25" s="102" t="str">
        <f>IF(VLOOKUP($P25,无限模式!$A$3:$X$22,15,FALSE)="","","Monster_Infinite_"&amp;P25&amp;"_3")</f>
        <v/>
      </c>
      <c r="M25" s="57" t="str">
        <f t="shared" si="24"/>
        <v/>
      </c>
      <c r="O25" s="102" t="str">
        <f>IF(VLOOKUP($P25,无限模式!$A$3:$X$22,15,FALSE)="","",VLOOKUP($P25,无限模式!$A$3:$X$22,19,FALSE))</f>
        <v/>
      </c>
      <c r="P25" s="110">
        <f t="shared" si="25"/>
        <v>1</v>
      </c>
      <c r="Q25" s="110">
        <v>3</v>
      </c>
    </row>
    <row r="26" spans="2:17" x14ac:dyDescent="0.2">
      <c r="D26" s="57" t="str">
        <f t="shared" si="19"/>
        <v/>
      </c>
      <c r="F26" s="57" t="str">
        <f t="shared" si="20"/>
        <v/>
      </c>
      <c r="G26" s="102" t="str">
        <f t="shared" si="21"/>
        <v/>
      </c>
      <c r="H26" s="57" t="str">
        <f t="shared" si="22"/>
        <v/>
      </c>
      <c r="I26" s="102" t="str">
        <f>IF(VLOOKUP($P26,无限模式!$A$3:$X$22,20,FALSE)="","",VLOOKUP($P26,无限模式!$A$3:$X$22,21,FALSE))</f>
        <v/>
      </c>
      <c r="J26" s="102" t="str">
        <f>IF(VLOOKUP($P26,无限模式!$A$3:$X$22,20,FALSE)="","",VLOOKUP($P26,无限模式!$A$3:$X$22,22,FALSE))</f>
        <v/>
      </c>
      <c r="K26" s="102" t="str">
        <f t="shared" si="23"/>
        <v/>
      </c>
      <c r="L26" s="102" t="str">
        <f>IF(VLOOKUP($P26,无限模式!$A$3:$X$22,20,FALSE)="","","Monster_Infinite_"&amp;P26&amp;"_4")</f>
        <v/>
      </c>
      <c r="M26" s="57" t="str">
        <f t="shared" si="24"/>
        <v/>
      </c>
      <c r="O26" s="102" t="str">
        <f>IF(VLOOKUP($P26,无限模式!$A$3:$X$22,20,FALSE)="","",VLOOKUP($P26,无限模式!$A$3:$X$22,24,FALSE))</f>
        <v/>
      </c>
      <c r="P26" s="110">
        <f t="shared" si="25"/>
        <v>1</v>
      </c>
      <c r="Q26" s="110">
        <v>4</v>
      </c>
    </row>
    <row r="27" spans="2:17" x14ac:dyDescent="0.2">
      <c r="B27" s="57" t="s">
        <v>452</v>
      </c>
      <c r="C27" s="57">
        <v>2</v>
      </c>
      <c r="D27" s="57" t="str">
        <f t="shared" si="19"/>
        <v>无限模式第2波</v>
      </c>
      <c r="F27" s="57">
        <f t="shared" si="20"/>
        <v>0</v>
      </c>
      <c r="G27" s="102">
        <f t="shared" si="21"/>
        <v>180</v>
      </c>
      <c r="H27" s="57">
        <f t="shared" si="22"/>
        <v>0</v>
      </c>
      <c r="I27" s="102">
        <f>IF(VLOOKUP($P27,无限模式!$A$3:$X$22,5,FALSE)="","",VLOOKUP($P27,无限模式!$A$3:$X$22,6,FALSE))</f>
        <v>15</v>
      </c>
      <c r="J27" s="102">
        <f>IF(VLOOKUP($P27,无限模式!$A$3:$X$22,5,FALSE)="","",VLOOKUP($P27,无限模式!$A$3:$X$22,7,FALSE))</f>
        <v>0.75</v>
      </c>
      <c r="K27" s="102">
        <f t="shared" si="23"/>
        <v>1</v>
      </c>
      <c r="L27" s="102" t="str">
        <f>IF(VLOOKUP($P27,无限模式!$A$3:$X$22,5,FALSE)="","","Monster_Infinite_"&amp;P27&amp;"_1")</f>
        <v>Monster_Infinite_2_1</v>
      </c>
      <c r="M27" s="57">
        <f t="shared" si="24"/>
        <v>1</v>
      </c>
      <c r="O27" s="102">
        <f>IF(VLOOKUP($P27,无限模式!$A$3:$X$22,5,FALSE)="","",VLOOKUP($P27,无限模式!$A$3:$X$22,9,FALSE))</f>
        <v>14</v>
      </c>
      <c r="P27" s="110">
        <f t="shared" si="25"/>
        <v>2</v>
      </c>
      <c r="Q27" s="110">
        <v>1</v>
      </c>
    </row>
    <row r="28" spans="2:17" x14ac:dyDescent="0.2">
      <c r="D28" s="57" t="str">
        <f t="shared" si="19"/>
        <v/>
      </c>
      <c r="F28" s="57" t="str">
        <f t="shared" si="20"/>
        <v/>
      </c>
      <c r="G28" s="102" t="str">
        <f t="shared" si="21"/>
        <v/>
      </c>
      <c r="H28" s="57">
        <f t="shared" si="22"/>
        <v>0</v>
      </c>
      <c r="I28" s="102">
        <f>IF(VLOOKUP($P28,无限模式!$A$3:$X$22,10,FALSE)="","",VLOOKUP($P28,无限模式!$A$3:$X$22,11,FALSE))</f>
        <v>7</v>
      </c>
      <c r="J28" s="102">
        <f>IF(VLOOKUP($P28,无限模式!$A$3:$X$22,10,FALSE)="","",VLOOKUP($P28,无限模式!$A$3:$X$22,12,FALSE))</f>
        <v>1.5</v>
      </c>
      <c r="K28" s="102">
        <f t="shared" si="23"/>
        <v>1</v>
      </c>
      <c r="L28" s="102" t="str">
        <f>IF(VLOOKUP($P28,无限模式!$A$3:$X$22,10,FALSE)="","","Monster_Infinite_"&amp;P28&amp;"_2")</f>
        <v>Monster_Infinite_2_2</v>
      </c>
      <c r="M28" s="57">
        <f t="shared" si="24"/>
        <v>1</v>
      </c>
      <c r="O28" s="102">
        <f>IF(VLOOKUP($P28,无限模式!$A$3:$X$22,10,FALSE)="","",VLOOKUP($P28,无限模式!$A$3:$X$22,14,FALSE))</f>
        <v>56</v>
      </c>
      <c r="P28" s="110">
        <f t="shared" si="25"/>
        <v>2</v>
      </c>
      <c r="Q28" s="110">
        <v>2</v>
      </c>
    </row>
    <row r="29" spans="2:17" x14ac:dyDescent="0.2">
      <c r="D29" s="57" t="str">
        <f t="shared" si="19"/>
        <v/>
      </c>
      <c r="F29" s="57" t="str">
        <f t="shared" si="20"/>
        <v/>
      </c>
      <c r="G29" s="102" t="str">
        <f t="shared" si="21"/>
        <v/>
      </c>
      <c r="H29" s="57" t="str">
        <f t="shared" si="22"/>
        <v/>
      </c>
      <c r="I29" s="102" t="str">
        <f>IF(VLOOKUP($P29,无限模式!$A$3:$X$22,15,FALSE)="","",VLOOKUP(P29,无限模式!$A$3:$X$22,16,FALSE))</f>
        <v/>
      </c>
      <c r="J29" s="102" t="str">
        <f>IF(VLOOKUP($P29,无限模式!$A$3:$X$22,15,FALSE)="","",VLOOKUP($P29,无限模式!$A$3:$X$22,17,FALSE))</f>
        <v/>
      </c>
      <c r="K29" s="102" t="str">
        <f t="shared" si="23"/>
        <v/>
      </c>
      <c r="L29" s="102" t="str">
        <f>IF(VLOOKUP($P29,无限模式!$A$3:$X$22,15,FALSE)="","","Monster_Infinite_"&amp;P29&amp;"_3")</f>
        <v/>
      </c>
      <c r="M29" s="57" t="str">
        <f t="shared" si="24"/>
        <v/>
      </c>
      <c r="O29" s="102" t="str">
        <f>IF(VLOOKUP($P29,无限模式!$A$3:$X$22,15,FALSE)="","",VLOOKUP($P29,无限模式!$A$3:$X$22,19,FALSE))</f>
        <v/>
      </c>
      <c r="P29" s="110">
        <f t="shared" si="25"/>
        <v>2</v>
      </c>
      <c r="Q29" s="110">
        <v>3</v>
      </c>
    </row>
    <row r="30" spans="2:17" x14ac:dyDescent="0.2">
      <c r="D30" s="57" t="str">
        <f t="shared" si="19"/>
        <v/>
      </c>
      <c r="F30" s="57" t="str">
        <f t="shared" si="20"/>
        <v/>
      </c>
      <c r="G30" s="102" t="str">
        <f t="shared" si="21"/>
        <v/>
      </c>
      <c r="H30" s="57" t="str">
        <f t="shared" si="22"/>
        <v/>
      </c>
      <c r="I30" s="102" t="str">
        <f>IF(VLOOKUP($P30,无限模式!$A$3:$X$22,20,FALSE)="","",VLOOKUP($P30,无限模式!$A$3:$X$22,21,FALSE))</f>
        <v/>
      </c>
      <c r="J30" s="102" t="str">
        <f>IF(VLOOKUP($P30,无限模式!$A$3:$X$22,20,FALSE)="","",VLOOKUP($P30,无限模式!$A$3:$X$22,22,FALSE))</f>
        <v/>
      </c>
      <c r="K30" s="102" t="str">
        <f t="shared" si="23"/>
        <v/>
      </c>
      <c r="L30" s="102" t="str">
        <f>IF(VLOOKUP($P30,无限模式!$A$3:$X$22,20,FALSE)="","","Monster_Infinite_"&amp;P30&amp;"_4")</f>
        <v/>
      </c>
      <c r="M30" s="57" t="str">
        <f t="shared" si="24"/>
        <v/>
      </c>
      <c r="O30" s="102" t="str">
        <f>IF(VLOOKUP($P30,无限模式!$A$3:$X$22,20,FALSE)="","",VLOOKUP($P30,无限模式!$A$3:$X$22,24,FALSE))</f>
        <v/>
      </c>
      <c r="P30" s="110">
        <f t="shared" si="25"/>
        <v>2</v>
      </c>
      <c r="Q30" s="110">
        <v>4</v>
      </c>
    </row>
    <row r="31" spans="2:17" x14ac:dyDescent="0.2">
      <c r="B31" s="57" t="s">
        <v>452</v>
      </c>
      <c r="C31" s="57">
        <v>3</v>
      </c>
      <c r="D31" s="57" t="str">
        <f t="shared" si="19"/>
        <v>无限模式第3波</v>
      </c>
      <c r="F31" s="57">
        <f t="shared" si="20"/>
        <v>0</v>
      </c>
      <c r="G31" s="102">
        <f t="shared" si="21"/>
        <v>180</v>
      </c>
      <c r="H31" s="57">
        <f t="shared" si="22"/>
        <v>0</v>
      </c>
      <c r="I31" s="102">
        <f>IF(VLOOKUP($P31,无限模式!$A$3:$X$22,5,FALSE)="","",VLOOKUP($P31,无限模式!$A$3:$X$22,6,FALSE))</f>
        <v>8</v>
      </c>
      <c r="J31" s="102">
        <f>IF(VLOOKUP($P31,无限模式!$A$3:$X$22,5,FALSE)="","",VLOOKUP($P31,无限模式!$A$3:$X$22,7,FALSE))</f>
        <v>1.5</v>
      </c>
      <c r="K31" s="102">
        <f t="shared" si="23"/>
        <v>1</v>
      </c>
      <c r="L31" s="102" t="str">
        <f>IF(VLOOKUP($P31,无限模式!$A$3:$X$22,5,FALSE)="","","Monster_Infinite_"&amp;P31&amp;"_1")</f>
        <v>Monster_Infinite_3_1</v>
      </c>
      <c r="M31" s="57">
        <f t="shared" si="24"/>
        <v>1</v>
      </c>
      <c r="O31" s="102">
        <f>IF(VLOOKUP($P31,无限模式!$A$3:$X$22,5,FALSE)="","",VLOOKUP($P31,无限模式!$A$3:$X$22,9,FALSE))</f>
        <v>26</v>
      </c>
      <c r="P31" s="110">
        <f t="shared" si="25"/>
        <v>3</v>
      </c>
      <c r="Q31" s="110">
        <v>1</v>
      </c>
    </row>
    <row r="32" spans="2:17" x14ac:dyDescent="0.2">
      <c r="D32" s="57" t="str">
        <f t="shared" si="19"/>
        <v/>
      </c>
      <c r="F32" s="57" t="str">
        <f t="shared" si="20"/>
        <v/>
      </c>
      <c r="G32" s="102" t="str">
        <f t="shared" si="21"/>
        <v/>
      </c>
      <c r="H32" s="57">
        <f t="shared" si="22"/>
        <v>0</v>
      </c>
      <c r="I32" s="102">
        <f>IF(VLOOKUP($P32,无限模式!$A$3:$X$22,10,FALSE)="","",VLOOKUP($P32,无限模式!$A$3:$X$22,11,FALSE))</f>
        <v>60</v>
      </c>
      <c r="J32" s="102">
        <f>IF(VLOOKUP($P32,无限模式!$A$3:$X$22,10,FALSE)="","",VLOOKUP($P32,无限模式!$A$3:$X$22,12,FALSE))</f>
        <v>0.2</v>
      </c>
      <c r="K32" s="102">
        <f t="shared" si="23"/>
        <v>1</v>
      </c>
      <c r="L32" s="102" t="str">
        <f>IF(VLOOKUP($P32,无限模式!$A$3:$X$22,10,FALSE)="","","Monster_Infinite_"&amp;P32&amp;"_2")</f>
        <v>Monster_Infinite_3_2</v>
      </c>
      <c r="M32" s="57">
        <f t="shared" si="24"/>
        <v>1</v>
      </c>
      <c r="O32" s="102">
        <f>IF(VLOOKUP($P32,无限模式!$A$3:$X$22,10,FALSE)="","",VLOOKUP($P32,无限模式!$A$3:$X$22,14,FALSE))</f>
        <v>7</v>
      </c>
      <c r="P32" s="110">
        <f t="shared" si="25"/>
        <v>3</v>
      </c>
      <c r="Q32" s="110">
        <v>2</v>
      </c>
    </row>
    <row r="33" spans="2:17" x14ac:dyDescent="0.2">
      <c r="D33" s="57" t="str">
        <f t="shared" si="19"/>
        <v/>
      </c>
      <c r="F33" s="57" t="str">
        <f t="shared" si="20"/>
        <v/>
      </c>
      <c r="G33" s="102" t="str">
        <f t="shared" si="21"/>
        <v/>
      </c>
      <c r="H33" s="57" t="str">
        <f t="shared" si="22"/>
        <v/>
      </c>
      <c r="I33" s="102" t="str">
        <f>IF(VLOOKUP($P33,无限模式!$A$3:$X$22,15,FALSE)="","",VLOOKUP(P33,无限模式!$A$3:$X$22,16,FALSE))</f>
        <v/>
      </c>
      <c r="J33" s="102" t="str">
        <f>IF(VLOOKUP($P33,无限模式!$A$3:$X$22,15,FALSE)="","",VLOOKUP($P33,无限模式!$A$3:$X$22,17,FALSE))</f>
        <v/>
      </c>
      <c r="K33" s="102" t="str">
        <f t="shared" si="23"/>
        <v/>
      </c>
      <c r="L33" s="102" t="str">
        <f>IF(VLOOKUP($P33,无限模式!$A$3:$X$22,15,FALSE)="","","Monster_Infinite_"&amp;P33&amp;"_3")</f>
        <v/>
      </c>
      <c r="M33" s="57" t="str">
        <f t="shared" si="24"/>
        <v/>
      </c>
      <c r="O33" s="102" t="str">
        <f>IF(VLOOKUP($P33,无限模式!$A$3:$X$22,15,FALSE)="","",VLOOKUP($P33,无限模式!$A$3:$X$22,19,FALSE))</f>
        <v/>
      </c>
      <c r="P33" s="110">
        <f t="shared" si="25"/>
        <v>3</v>
      </c>
      <c r="Q33" s="110">
        <v>3</v>
      </c>
    </row>
    <row r="34" spans="2:17" x14ac:dyDescent="0.2">
      <c r="D34" s="57" t="str">
        <f t="shared" si="19"/>
        <v/>
      </c>
      <c r="F34" s="57" t="str">
        <f t="shared" si="20"/>
        <v/>
      </c>
      <c r="G34" s="102" t="str">
        <f t="shared" si="21"/>
        <v/>
      </c>
      <c r="H34" s="57" t="str">
        <f t="shared" si="22"/>
        <v/>
      </c>
      <c r="I34" s="102" t="str">
        <f>IF(VLOOKUP($P34,无限模式!$A$3:$X$22,20,FALSE)="","",VLOOKUP($P34,无限模式!$A$3:$X$22,21,FALSE))</f>
        <v/>
      </c>
      <c r="J34" s="102" t="str">
        <f>IF(VLOOKUP($P34,无限模式!$A$3:$X$22,20,FALSE)="","",VLOOKUP($P34,无限模式!$A$3:$X$22,22,FALSE))</f>
        <v/>
      </c>
      <c r="K34" s="102" t="str">
        <f t="shared" si="23"/>
        <v/>
      </c>
      <c r="L34" s="102" t="str">
        <f>IF(VLOOKUP($P34,无限模式!$A$3:$X$22,20,FALSE)="","","Monster_Infinite_"&amp;P34&amp;"_4")</f>
        <v/>
      </c>
      <c r="M34" s="57" t="str">
        <f t="shared" si="24"/>
        <v/>
      </c>
      <c r="O34" s="102" t="str">
        <f>IF(VLOOKUP($P34,无限模式!$A$3:$X$22,20,FALSE)="","",VLOOKUP($P34,无限模式!$A$3:$X$22,24,FALSE))</f>
        <v/>
      </c>
      <c r="P34" s="110">
        <f t="shared" si="25"/>
        <v>3</v>
      </c>
      <c r="Q34" s="110">
        <v>4</v>
      </c>
    </row>
    <row r="35" spans="2:17" x14ac:dyDescent="0.2">
      <c r="B35" s="57" t="s">
        <v>452</v>
      </c>
      <c r="C35" s="57">
        <v>4</v>
      </c>
      <c r="D35" s="57" t="str">
        <f t="shared" si="19"/>
        <v>无限模式第4波</v>
      </c>
      <c r="F35" s="57">
        <f t="shared" si="20"/>
        <v>0</v>
      </c>
      <c r="G35" s="102">
        <f t="shared" si="21"/>
        <v>180</v>
      </c>
      <c r="H35" s="57">
        <f t="shared" si="22"/>
        <v>0</v>
      </c>
      <c r="I35" s="102">
        <f>IF(VLOOKUP($P35,无限模式!$A$3:$X$22,5,FALSE)="","",VLOOKUP($P35,无限模式!$A$3:$X$22,6,FALSE))</f>
        <v>1</v>
      </c>
      <c r="J35" s="102">
        <f>IF(VLOOKUP($P35,无限模式!$A$3:$X$22,5,FALSE)="","",VLOOKUP($P35,无限模式!$A$3:$X$22,7,FALSE))</f>
        <v>0</v>
      </c>
      <c r="K35" s="102">
        <f t="shared" si="23"/>
        <v>1</v>
      </c>
      <c r="L35" s="102" t="str">
        <f>IF(VLOOKUP($P35,无限模式!$A$3:$X$22,5,FALSE)="","","Monster_Infinite_"&amp;P35&amp;"_1")</f>
        <v>Monster_Infinite_4_1</v>
      </c>
      <c r="M35" s="57">
        <f t="shared" si="24"/>
        <v>1</v>
      </c>
      <c r="O35" s="102">
        <f>IF(VLOOKUP($P35,无限模式!$A$3:$X$22,5,FALSE)="","",VLOOKUP($P35,无限模式!$A$3:$X$22,9,FALSE))</f>
        <v>331</v>
      </c>
      <c r="P35" s="110">
        <f t="shared" si="25"/>
        <v>4</v>
      </c>
      <c r="Q35" s="110">
        <v>1</v>
      </c>
    </row>
    <row r="36" spans="2:17" x14ac:dyDescent="0.2">
      <c r="D36" s="57" t="str">
        <f t="shared" si="19"/>
        <v/>
      </c>
      <c r="F36" s="57" t="str">
        <f t="shared" si="20"/>
        <v/>
      </c>
      <c r="G36" s="102" t="str">
        <f t="shared" si="21"/>
        <v/>
      </c>
      <c r="H36" s="57">
        <f t="shared" si="22"/>
        <v>0</v>
      </c>
      <c r="I36" s="102">
        <f>IF(VLOOKUP($P36,无限模式!$A$3:$X$22,10,FALSE)="","",VLOOKUP($P36,无限模式!$A$3:$X$22,11,FALSE))</f>
        <v>65</v>
      </c>
      <c r="J36" s="102">
        <f>IF(VLOOKUP($P36,无限模式!$A$3:$X$22,10,FALSE)="","",VLOOKUP($P36,无限模式!$A$3:$X$22,12,FALSE))</f>
        <v>0.2</v>
      </c>
      <c r="K36" s="102">
        <f t="shared" si="23"/>
        <v>1</v>
      </c>
      <c r="L36" s="102" t="str">
        <f>IF(VLOOKUP($P36,无限模式!$A$3:$X$22,10,FALSE)="","","Monster_Infinite_"&amp;P36&amp;"_2")</f>
        <v>Monster_Infinite_4_2</v>
      </c>
      <c r="M36" s="57">
        <f t="shared" si="24"/>
        <v>1</v>
      </c>
      <c r="O36" s="102">
        <f>IF(VLOOKUP($P36,无限模式!$A$3:$X$22,10,FALSE)="","",VLOOKUP($P36,无限模式!$A$3:$X$22,14,FALSE))</f>
        <v>4</v>
      </c>
      <c r="P36" s="110">
        <f t="shared" si="25"/>
        <v>4</v>
      </c>
      <c r="Q36" s="110">
        <v>2</v>
      </c>
    </row>
    <row r="37" spans="2:17" x14ac:dyDescent="0.2">
      <c r="D37" s="57" t="str">
        <f t="shared" si="19"/>
        <v/>
      </c>
      <c r="F37" s="57" t="str">
        <f t="shared" si="20"/>
        <v/>
      </c>
      <c r="G37" s="102" t="str">
        <f t="shared" si="21"/>
        <v/>
      </c>
      <c r="H37" s="57" t="str">
        <f t="shared" si="22"/>
        <v/>
      </c>
      <c r="I37" s="102" t="str">
        <f>IF(VLOOKUP($P37,无限模式!$A$3:$X$22,15,FALSE)="","",VLOOKUP(P37,无限模式!$A$3:$X$22,16,FALSE))</f>
        <v/>
      </c>
      <c r="J37" s="102" t="str">
        <f>IF(VLOOKUP($P37,无限模式!$A$3:$X$22,15,FALSE)="","",VLOOKUP($P37,无限模式!$A$3:$X$22,17,FALSE))</f>
        <v/>
      </c>
      <c r="K37" s="102" t="str">
        <f t="shared" si="23"/>
        <v/>
      </c>
      <c r="L37" s="102" t="str">
        <f>IF(VLOOKUP($P37,无限模式!$A$3:$X$22,15,FALSE)="","","Monster_Infinite_"&amp;P37&amp;"_3")</f>
        <v/>
      </c>
      <c r="M37" s="57" t="str">
        <f t="shared" si="24"/>
        <v/>
      </c>
      <c r="O37" s="102" t="str">
        <f>IF(VLOOKUP($P37,无限模式!$A$3:$X$22,15,FALSE)="","",VLOOKUP($P37,无限模式!$A$3:$X$22,19,FALSE))</f>
        <v/>
      </c>
      <c r="P37" s="110">
        <f t="shared" si="25"/>
        <v>4</v>
      </c>
      <c r="Q37" s="110">
        <v>3</v>
      </c>
    </row>
    <row r="38" spans="2:17" x14ac:dyDescent="0.2">
      <c r="D38" s="57" t="str">
        <f t="shared" si="19"/>
        <v/>
      </c>
      <c r="F38" s="57" t="str">
        <f t="shared" si="20"/>
        <v/>
      </c>
      <c r="G38" s="102" t="str">
        <f t="shared" si="21"/>
        <v/>
      </c>
      <c r="H38" s="57" t="str">
        <f t="shared" si="22"/>
        <v/>
      </c>
      <c r="I38" s="102" t="str">
        <f>IF(VLOOKUP($P38,无限模式!$A$3:$X$22,20,FALSE)="","",VLOOKUP($P38,无限模式!$A$3:$X$22,21,FALSE))</f>
        <v/>
      </c>
      <c r="J38" s="102" t="str">
        <f>IF(VLOOKUP($P38,无限模式!$A$3:$X$22,20,FALSE)="","",VLOOKUP($P38,无限模式!$A$3:$X$22,22,FALSE))</f>
        <v/>
      </c>
      <c r="K38" s="102" t="str">
        <f t="shared" si="23"/>
        <v/>
      </c>
      <c r="L38" s="102" t="str">
        <f>IF(VLOOKUP($P38,无限模式!$A$3:$X$22,20,FALSE)="","","Monster_Infinite_"&amp;P38&amp;"_4")</f>
        <v/>
      </c>
      <c r="M38" s="57" t="str">
        <f t="shared" si="24"/>
        <v/>
      </c>
      <c r="O38" s="102" t="str">
        <f>IF(VLOOKUP($P38,无限模式!$A$3:$X$22,20,FALSE)="","",VLOOKUP($P38,无限模式!$A$3:$X$22,24,FALSE))</f>
        <v/>
      </c>
      <c r="P38" s="110">
        <f t="shared" si="25"/>
        <v>4</v>
      </c>
      <c r="Q38" s="110">
        <v>4</v>
      </c>
    </row>
    <row r="39" spans="2:17" x14ac:dyDescent="0.2">
      <c r="B39" s="57" t="s">
        <v>452</v>
      </c>
      <c r="C39" s="57">
        <v>5</v>
      </c>
      <c r="D39" s="57" t="str">
        <f t="shared" si="19"/>
        <v>无限模式第5波</v>
      </c>
      <c r="F39" s="57">
        <f t="shared" si="20"/>
        <v>0</v>
      </c>
      <c r="G39" s="102">
        <f t="shared" si="21"/>
        <v>180</v>
      </c>
      <c r="H39" s="57">
        <f t="shared" si="22"/>
        <v>0</v>
      </c>
      <c r="I39" s="102">
        <f>IF(VLOOKUP($P39,无限模式!$A$3:$X$22,5,FALSE)="","",VLOOKUP($P39,无限模式!$A$3:$X$22,6,FALSE))</f>
        <v>19</v>
      </c>
      <c r="J39" s="102">
        <f>IF(VLOOKUP($P39,无限模式!$A$3:$X$22,5,FALSE)="","",VLOOKUP($P39,无限模式!$A$3:$X$22,7,FALSE))</f>
        <v>0.75</v>
      </c>
      <c r="K39" s="102">
        <f t="shared" si="23"/>
        <v>1</v>
      </c>
      <c r="L39" s="102" t="str">
        <f>IF(VLOOKUP($P39,无限模式!$A$3:$X$22,5,FALSE)="","","Monster_Infinite_"&amp;P39&amp;"_1")</f>
        <v>Monster_Infinite_5_1</v>
      </c>
      <c r="M39" s="57">
        <f t="shared" si="24"/>
        <v>1</v>
      </c>
      <c r="O39" s="102">
        <f>IF(VLOOKUP($P39,无限模式!$A$3:$X$22,5,FALSE)="","",VLOOKUP($P39,无限模式!$A$3:$X$22,9,FALSE))</f>
        <v>28</v>
      </c>
      <c r="P39" s="110">
        <f t="shared" si="25"/>
        <v>5</v>
      </c>
      <c r="Q39" s="110">
        <v>1</v>
      </c>
    </row>
    <row r="40" spans="2:17" x14ac:dyDescent="0.2">
      <c r="D40" s="57" t="str">
        <f t="shared" si="19"/>
        <v/>
      </c>
      <c r="F40" s="57" t="str">
        <f t="shared" si="20"/>
        <v/>
      </c>
      <c r="G40" s="102" t="str">
        <f t="shared" si="21"/>
        <v/>
      </c>
      <c r="H40" s="57">
        <f t="shared" si="22"/>
        <v>0</v>
      </c>
      <c r="I40" s="102">
        <f>IF(VLOOKUP($P40,无限模式!$A$3:$X$22,10,FALSE)="","",VLOOKUP($P40,无限模式!$A$3:$X$22,11,FALSE))</f>
        <v>5</v>
      </c>
      <c r="J40" s="102">
        <f>IF(VLOOKUP($P40,无限模式!$A$3:$X$22,10,FALSE)="","",VLOOKUP($P40,无限模式!$A$3:$X$22,12,FALSE))</f>
        <v>3</v>
      </c>
      <c r="K40" s="102">
        <f t="shared" si="23"/>
        <v>1</v>
      </c>
      <c r="L40" s="102" t="str">
        <f>IF(VLOOKUP($P40,无限模式!$A$3:$X$22,10,FALSE)="","","Monster_Infinite_"&amp;P40&amp;"_2")</f>
        <v>Monster_Infinite_5_2</v>
      </c>
      <c r="M40" s="57">
        <f t="shared" si="24"/>
        <v>1</v>
      </c>
      <c r="O40" s="102">
        <f>IF(VLOOKUP($P40,无限模式!$A$3:$X$22,10,FALSE)="","",VLOOKUP($P40,无限模式!$A$3:$X$22,14,FALSE))</f>
        <v>14</v>
      </c>
      <c r="P40" s="110">
        <f t="shared" si="25"/>
        <v>5</v>
      </c>
      <c r="Q40" s="110">
        <v>2</v>
      </c>
    </row>
    <row r="41" spans="2:17" x14ac:dyDescent="0.2">
      <c r="D41" s="57" t="str">
        <f t="shared" si="19"/>
        <v/>
      </c>
      <c r="F41" s="57" t="str">
        <f t="shared" si="20"/>
        <v/>
      </c>
      <c r="G41" s="102" t="str">
        <f t="shared" si="21"/>
        <v/>
      </c>
      <c r="H41" s="57" t="str">
        <f t="shared" si="22"/>
        <v/>
      </c>
      <c r="I41" s="102" t="str">
        <f>IF(VLOOKUP($P41,无限模式!$A$3:$X$22,15,FALSE)="","",VLOOKUP(P41,无限模式!$A$3:$X$22,16,FALSE))</f>
        <v/>
      </c>
      <c r="J41" s="102" t="str">
        <f>IF(VLOOKUP($P41,无限模式!$A$3:$X$22,15,FALSE)="","",VLOOKUP($P41,无限模式!$A$3:$X$22,17,FALSE))</f>
        <v/>
      </c>
      <c r="K41" s="102" t="str">
        <f t="shared" si="23"/>
        <v/>
      </c>
      <c r="L41" s="102" t="str">
        <f>IF(VLOOKUP($P41,无限模式!$A$3:$X$22,15,FALSE)="","","Monster_Infinite_"&amp;P41&amp;"_3")</f>
        <v/>
      </c>
      <c r="M41" s="57" t="str">
        <f t="shared" si="24"/>
        <v/>
      </c>
      <c r="O41" s="102" t="str">
        <f>IF(VLOOKUP($P41,无限模式!$A$3:$X$22,15,FALSE)="","",VLOOKUP($P41,无限模式!$A$3:$X$22,19,FALSE))</f>
        <v/>
      </c>
      <c r="P41" s="110">
        <f t="shared" si="25"/>
        <v>5</v>
      </c>
      <c r="Q41" s="110">
        <v>3</v>
      </c>
    </row>
    <row r="42" spans="2:17" x14ac:dyDescent="0.2">
      <c r="D42" s="57" t="str">
        <f t="shared" si="19"/>
        <v/>
      </c>
      <c r="F42" s="57" t="str">
        <f t="shared" si="20"/>
        <v/>
      </c>
      <c r="G42" s="102" t="str">
        <f t="shared" si="21"/>
        <v/>
      </c>
      <c r="H42" s="57" t="str">
        <f t="shared" si="22"/>
        <v/>
      </c>
      <c r="I42" s="102" t="str">
        <f>IF(VLOOKUP($P42,无限模式!$A$3:$X$22,20,FALSE)="","",VLOOKUP($P42,无限模式!$A$3:$X$22,21,FALSE))</f>
        <v/>
      </c>
      <c r="J42" s="102" t="str">
        <f>IF(VLOOKUP($P42,无限模式!$A$3:$X$22,20,FALSE)="","",VLOOKUP($P42,无限模式!$A$3:$X$22,22,FALSE))</f>
        <v/>
      </c>
      <c r="K42" s="102" t="str">
        <f t="shared" si="23"/>
        <v/>
      </c>
      <c r="L42" s="102" t="str">
        <f>IF(VLOOKUP($P42,无限模式!$A$3:$X$22,20,FALSE)="","","Monster_Infinite_"&amp;P42&amp;"_4")</f>
        <v/>
      </c>
      <c r="M42" s="57" t="str">
        <f t="shared" si="24"/>
        <v/>
      </c>
      <c r="O42" s="102" t="str">
        <f>IF(VLOOKUP($P42,无限模式!$A$3:$X$22,20,FALSE)="","",VLOOKUP($P42,无限模式!$A$3:$X$22,24,FALSE))</f>
        <v/>
      </c>
      <c r="P42" s="110">
        <f t="shared" si="25"/>
        <v>5</v>
      </c>
      <c r="Q42" s="110">
        <v>4</v>
      </c>
    </row>
    <row r="43" spans="2:17" x14ac:dyDescent="0.2">
      <c r="B43" s="57" t="s">
        <v>452</v>
      </c>
      <c r="C43" s="57">
        <v>6</v>
      </c>
      <c r="D43" s="57" t="str">
        <f t="shared" si="19"/>
        <v>无限模式第6波</v>
      </c>
      <c r="F43" s="57">
        <f t="shared" si="20"/>
        <v>0</v>
      </c>
      <c r="G43" s="102">
        <f t="shared" si="21"/>
        <v>180</v>
      </c>
      <c r="H43" s="57">
        <f t="shared" si="22"/>
        <v>0</v>
      </c>
      <c r="I43" s="102">
        <f>IF(VLOOKUP($P43,无限模式!$A$3:$X$22,5,FALSE)="","",VLOOKUP($P43,无限模式!$A$3:$X$22,6,FALSE))</f>
        <v>20</v>
      </c>
      <c r="J43" s="102">
        <f>IF(VLOOKUP($P43,无限模式!$A$3:$X$22,5,FALSE)="","",VLOOKUP($P43,无限模式!$A$3:$X$22,7,FALSE))</f>
        <v>0.75</v>
      </c>
      <c r="K43" s="102">
        <f t="shared" si="23"/>
        <v>1</v>
      </c>
      <c r="L43" s="102" t="str">
        <f>IF(VLOOKUP($P43,无限模式!$A$3:$X$22,5,FALSE)="","","Monster_Infinite_"&amp;P43&amp;"_1")</f>
        <v>Monster_Infinite_6_1</v>
      </c>
      <c r="M43" s="57">
        <f t="shared" si="24"/>
        <v>1</v>
      </c>
      <c r="O43" s="102">
        <f>IF(VLOOKUP($P43,无限模式!$A$3:$X$22,5,FALSE)="","",VLOOKUP($P43,无限模式!$A$3:$X$22,9,FALSE))</f>
        <v>20</v>
      </c>
      <c r="P43" s="110">
        <f t="shared" si="25"/>
        <v>6</v>
      </c>
      <c r="Q43" s="110">
        <v>1</v>
      </c>
    </row>
    <row r="44" spans="2:17" x14ac:dyDescent="0.2">
      <c r="D44" s="57" t="str">
        <f t="shared" si="19"/>
        <v/>
      </c>
      <c r="F44" s="57" t="str">
        <f t="shared" si="20"/>
        <v/>
      </c>
      <c r="G44" s="102" t="str">
        <f t="shared" si="21"/>
        <v/>
      </c>
      <c r="H44" s="57">
        <f t="shared" si="22"/>
        <v>0</v>
      </c>
      <c r="I44" s="102">
        <f>IF(VLOOKUP($P44,无限模式!$A$3:$X$22,10,FALSE)="","",VLOOKUP($P44,无限模式!$A$3:$X$22,11,FALSE))</f>
        <v>20</v>
      </c>
      <c r="J44" s="102">
        <f>IF(VLOOKUP($P44,无限模式!$A$3:$X$22,10,FALSE)="","",VLOOKUP($P44,无限模式!$A$3:$X$22,12,FALSE))</f>
        <v>0.75</v>
      </c>
      <c r="K44" s="102">
        <f t="shared" si="23"/>
        <v>1</v>
      </c>
      <c r="L44" s="102" t="str">
        <f>IF(VLOOKUP($P44,无限模式!$A$3:$X$22,10,FALSE)="","","Monster_Infinite_"&amp;P44&amp;"_2")</f>
        <v>Monster_Infinite_6_2</v>
      </c>
      <c r="M44" s="57">
        <f t="shared" si="24"/>
        <v>1</v>
      </c>
      <c r="O44" s="102">
        <f>IF(VLOOKUP($P44,无限模式!$A$3:$X$22,10,FALSE)="","",VLOOKUP($P44,无限模式!$A$3:$X$22,14,FALSE))</f>
        <v>10</v>
      </c>
      <c r="P44" s="110">
        <f t="shared" si="25"/>
        <v>6</v>
      </c>
      <c r="Q44" s="110">
        <v>2</v>
      </c>
    </row>
    <row r="45" spans="2:17" x14ac:dyDescent="0.2">
      <c r="D45" s="57" t="str">
        <f t="shared" si="19"/>
        <v/>
      </c>
      <c r="F45" s="57" t="str">
        <f t="shared" si="20"/>
        <v/>
      </c>
      <c r="G45" s="102" t="str">
        <f t="shared" si="21"/>
        <v/>
      </c>
      <c r="H45" s="57" t="str">
        <f t="shared" si="22"/>
        <v/>
      </c>
      <c r="I45" s="102" t="str">
        <f>IF(VLOOKUP($P45,无限模式!$A$3:$X$22,15,FALSE)="","",VLOOKUP(P45,无限模式!$A$3:$X$22,16,FALSE))</f>
        <v/>
      </c>
      <c r="J45" s="102" t="str">
        <f>IF(VLOOKUP($P45,无限模式!$A$3:$X$22,15,FALSE)="","",VLOOKUP($P45,无限模式!$A$3:$X$22,17,FALSE))</f>
        <v/>
      </c>
      <c r="K45" s="102" t="str">
        <f t="shared" si="23"/>
        <v/>
      </c>
      <c r="L45" s="102" t="str">
        <f>IF(VLOOKUP($P45,无限模式!$A$3:$X$22,15,FALSE)="","","Monster_Infinite_"&amp;P45&amp;"_3")</f>
        <v/>
      </c>
      <c r="M45" s="57" t="str">
        <f t="shared" si="24"/>
        <v/>
      </c>
      <c r="O45" s="102" t="str">
        <f>IF(VLOOKUP($P45,无限模式!$A$3:$X$22,15,FALSE)="","",VLOOKUP($P45,无限模式!$A$3:$X$22,19,FALSE))</f>
        <v/>
      </c>
      <c r="P45" s="110">
        <f t="shared" si="25"/>
        <v>6</v>
      </c>
      <c r="Q45" s="110">
        <v>3</v>
      </c>
    </row>
    <row r="46" spans="2:17" x14ac:dyDescent="0.2">
      <c r="D46" s="57" t="str">
        <f t="shared" si="19"/>
        <v/>
      </c>
      <c r="F46" s="57" t="str">
        <f t="shared" si="20"/>
        <v/>
      </c>
      <c r="G46" s="102" t="str">
        <f t="shared" si="21"/>
        <v/>
      </c>
      <c r="H46" s="57" t="str">
        <f t="shared" si="22"/>
        <v/>
      </c>
      <c r="I46" s="102" t="str">
        <f>IF(VLOOKUP($P46,无限模式!$A$3:$X$22,20,FALSE)="","",VLOOKUP($P46,无限模式!$A$3:$X$22,21,FALSE))</f>
        <v/>
      </c>
      <c r="J46" s="102" t="str">
        <f>IF(VLOOKUP($P46,无限模式!$A$3:$X$22,20,FALSE)="","",VLOOKUP($P46,无限模式!$A$3:$X$22,22,FALSE))</f>
        <v/>
      </c>
      <c r="K46" s="102" t="str">
        <f t="shared" si="23"/>
        <v/>
      </c>
      <c r="L46" s="102" t="str">
        <f>IF(VLOOKUP($P46,无限模式!$A$3:$X$22,20,FALSE)="","","Monster_Infinite_"&amp;P46&amp;"_4")</f>
        <v/>
      </c>
      <c r="M46" s="57" t="str">
        <f t="shared" si="24"/>
        <v/>
      </c>
      <c r="O46" s="102" t="str">
        <f>IF(VLOOKUP($P46,无限模式!$A$3:$X$22,20,FALSE)="","",VLOOKUP($P46,无限模式!$A$3:$X$22,24,FALSE))</f>
        <v/>
      </c>
      <c r="P46" s="110">
        <f t="shared" si="25"/>
        <v>6</v>
      </c>
      <c r="Q46" s="110">
        <v>4</v>
      </c>
    </row>
    <row r="47" spans="2:17" x14ac:dyDescent="0.2">
      <c r="B47" s="57" t="s">
        <v>452</v>
      </c>
      <c r="C47" s="57">
        <v>7</v>
      </c>
      <c r="D47" s="57" t="str">
        <f t="shared" si="19"/>
        <v>无限模式第7波</v>
      </c>
      <c r="F47" s="57">
        <f t="shared" si="20"/>
        <v>0</v>
      </c>
      <c r="G47" s="102">
        <f t="shared" si="21"/>
        <v>180</v>
      </c>
      <c r="H47" s="57">
        <f t="shared" si="22"/>
        <v>0</v>
      </c>
      <c r="I47" s="102">
        <f>IF(VLOOKUP($P47,无限模式!$A$3:$X$22,5,FALSE)="","",VLOOKUP($P47,无限模式!$A$3:$X$22,6,FALSE))</f>
        <v>80</v>
      </c>
      <c r="J47" s="102">
        <f>IF(VLOOKUP($P47,无限模式!$A$3:$X$22,5,FALSE)="","",VLOOKUP($P47,无限模式!$A$3:$X$22,7,FALSE))</f>
        <v>0.2</v>
      </c>
      <c r="K47" s="102">
        <f t="shared" si="23"/>
        <v>1</v>
      </c>
      <c r="L47" s="102" t="str">
        <f>IF(VLOOKUP($P47,无限模式!$A$3:$X$22,5,FALSE)="","","Monster_Infinite_"&amp;P47&amp;"_1")</f>
        <v>Monster_Infinite_7_1</v>
      </c>
      <c r="M47" s="57">
        <f t="shared" si="24"/>
        <v>1</v>
      </c>
      <c r="O47" s="102">
        <f>IF(VLOOKUP($P47,无限模式!$A$3:$X$22,5,FALSE)="","",VLOOKUP($P47,无限模式!$A$3:$X$22,9,FALSE))</f>
        <v>5</v>
      </c>
      <c r="P47" s="110">
        <f t="shared" si="25"/>
        <v>7</v>
      </c>
      <c r="Q47" s="110">
        <v>1</v>
      </c>
    </row>
    <row r="48" spans="2:17" x14ac:dyDescent="0.2">
      <c r="D48" s="57" t="str">
        <f t="shared" si="19"/>
        <v/>
      </c>
      <c r="F48" s="57" t="str">
        <f t="shared" si="20"/>
        <v/>
      </c>
      <c r="G48" s="102" t="str">
        <f t="shared" si="21"/>
        <v/>
      </c>
      <c r="H48" s="57">
        <f t="shared" si="22"/>
        <v>0</v>
      </c>
      <c r="I48" s="102">
        <f>IF(VLOOKUP($P48,无限模式!$A$3:$X$22,10,FALSE)="","",VLOOKUP($P48,无限模式!$A$3:$X$22,11,FALSE))</f>
        <v>21</v>
      </c>
      <c r="J48" s="102">
        <f>IF(VLOOKUP($P48,无限模式!$A$3:$X$22,10,FALSE)="","",VLOOKUP($P48,无限模式!$A$3:$X$22,12,FALSE))</f>
        <v>0.75</v>
      </c>
      <c r="K48" s="102">
        <f t="shared" si="23"/>
        <v>1</v>
      </c>
      <c r="L48" s="102" t="str">
        <f>IF(VLOOKUP($P48,无限模式!$A$3:$X$22,10,FALSE)="","","Monster_Infinite_"&amp;P48&amp;"_2")</f>
        <v>Monster_Infinite_7_2</v>
      </c>
      <c r="M48" s="57">
        <f t="shared" si="24"/>
        <v>1</v>
      </c>
      <c r="O48" s="102">
        <f>IF(VLOOKUP($P48,无限模式!$A$3:$X$22,10,FALSE)="","",VLOOKUP($P48,无限模式!$A$3:$X$22,14,FALSE))</f>
        <v>10</v>
      </c>
      <c r="P48" s="110">
        <f t="shared" si="25"/>
        <v>7</v>
      </c>
      <c r="Q48" s="110">
        <v>2</v>
      </c>
    </row>
    <row r="49" spans="2:17" x14ac:dyDescent="0.2">
      <c r="D49" s="57" t="str">
        <f t="shared" si="19"/>
        <v/>
      </c>
      <c r="F49" s="57" t="str">
        <f t="shared" si="20"/>
        <v/>
      </c>
      <c r="G49" s="102" t="str">
        <f t="shared" si="21"/>
        <v/>
      </c>
      <c r="H49" s="57" t="str">
        <f t="shared" si="22"/>
        <v/>
      </c>
      <c r="I49" s="102" t="str">
        <f>IF(VLOOKUP($P49,无限模式!$A$3:$X$22,15,FALSE)="","",VLOOKUP(P49,无限模式!$A$3:$X$22,16,FALSE))</f>
        <v/>
      </c>
      <c r="J49" s="102" t="str">
        <f>IF(VLOOKUP($P49,无限模式!$A$3:$X$22,15,FALSE)="","",VLOOKUP($P49,无限模式!$A$3:$X$22,17,FALSE))</f>
        <v/>
      </c>
      <c r="K49" s="102" t="str">
        <f t="shared" si="23"/>
        <v/>
      </c>
      <c r="L49" s="102" t="str">
        <f>IF(VLOOKUP($P49,无限模式!$A$3:$X$22,15,FALSE)="","","Monster_Infinite_"&amp;P49&amp;"_3")</f>
        <v/>
      </c>
      <c r="M49" s="57" t="str">
        <f t="shared" si="24"/>
        <v/>
      </c>
      <c r="O49" s="102" t="str">
        <f>IF(VLOOKUP($P49,无限模式!$A$3:$X$22,15,FALSE)="","",VLOOKUP($P49,无限模式!$A$3:$X$22,19,FALSE))</f>
        <v/>
      </c>
      <c r="P49" s="110">
        <f t="shared" si="25"/>
        <v>7</v>
      </c>
      <c r="Q49" s="110">
        <v>3</v>
      </c>
    </row>
    <row r="50" spans="2:17" x14ac:dyDescent="0.2">
      <c r="D50" s="57" t="str">
        <f t="shared" si="19"/>
        <v/>
      </c>
      <c r="F50" s="57" t="str">
        <f t="shared" si="20"/>
        <v/>
      </c>
      <c r="G50" s="102" t="str">
        <f t="shared" si="21"/>
        <v/>
      </c>
      <c r="H50" s="57" t="str">
        <f t="shared" si="22"/>
        <v/>
      </c>
      <c r="I50" s="102" t="str">
        <f>IF(VLOOKUP($P50,无限模式!$A$3:$X$22,20,FALSE)="","",VLOOKUP($P50,无限模式!$A$3:$X$22,21,FALSE))</f>
        <v/>
      </c>
      <c r="J50" s="102" t="str">
        <f>IF(VLOOKUP($P50,无限模式!$A$3:$X$22,20,FALSE)="","",VLOOKUP($P50,无限模式!$A$3:$X$22,22,FALSE))</f>
        <v/>
      </c>
      <c r="K50" s="102" t="str">
        <f t="shared" si="23"/>
        <v/>
      </c>
      <c r="L50" s="102" t="str">
        <f>IF(VLOOKUP($P50,无限模式!$A$3:$X$22,20,FALSE)="","","Monster_Infinite_"&amp;P50&amp;"_4")</f>
        <v/>
      </c>
      <c r="M50" s="57" t="str">
        <f t="shared" si="24"/>
        <v/>
      </c>
      <c r="O50" s="102" t="str">
        <f>IF(VLOOKUP($P50,无限模式!$A$3:$X$22,20,FALSE)="","",VLOOKUP($P50,无限模式!$A$3:$X$22,24,FALSE))</f>
        <v/>
      </c>
      <c r="P50" s="110">
        <f t="shared" si="25"/>
        <v>7</v>
      </c>
      <c r="Q50" s="110">
        <v>4</v>
      </c>
    </row>
    <row r="51" spans="2:17" x14ac:dyDescent="0.2">
      <c r="B51" s="57" t="s">
        <v>452</v>
      </c>
      <c r="C51" s="57">
        <v>8</v>
      </c>
      <c r="D51" s="57" t="str">
        <f t="shared" si="19"/>
        <v>无限模式第8波</v>
      </c>
      <c r="F51" s="57">
        <f t="shared" si="20"/>
        <v>0</v>
      </c>
      <c r="G51" s="102">
        <f t="shared" si="21"/>
        <v>180</v>
      </c>
      <c r="H51" s="57">
        <f t="shared" si="22"/>
        <v>0</v>
      </c>
      <c r="I51" s="102">
        <f>IF(VLOOKUP($P51,无限模式!$A$3:$X$22,5,FALSE)="","",VLOOKUP($P51,无限模式!$A$3:$X$22,6,FALSE))</f>
        <v>85</v>
      </c>
      <c r="J51" s="102">
        <f>IF(VLOOKUP($P51,无限模式!$A$3:$X$22,5,FALSE)="","",VLOOKUP($P51,无限模式!$A$3:$X$22,7,FALSE))</f>
        <v>0.2</v>
      </c>
      <c r="K51" s="102">
        <f t="shared" si="23"/>
        <v>1</v>
      </c>
      <c r="L51" s="102" t="str">
        <f>IF(VLOOKUP($P51,无限模式!$A$3:$X$22,5,FALSE)="","","Monster_Infinite_"&amp;P51&amp;"_1")</f>
        <v>Monster_Infinite_8_1</v>
      </c>
      <c r="M51" s="57">
        <f t="shared" si="24"/>
        <v>1</v>
      </c>
      <c r="O51" s="102">
        <f>IF(VLOOKUP($P51,无限模式!$A$3:$X$22,5,FALSE)="","",VLOOKUP($P51,无限模式!$A$3:$X$22,9,FALSE))</f>
        <v>5</v>
      </c>
      <c r="P51" s="110">
        <f t="shared" si="25"/>
        <v>8</v>
      </c>
      <c r="Q51" s="110">
        <v>1</v>
      </c>
    </row>
    <row r="52" spans="2:17" x14ac:dyDescent="0.2">
      <c r="D52" s="57" t="str">
        <f t="shared" si="19"/>
        <v/>
      </c>
      <c r="F52" s="57" t="str">
        <f t="shared" si="20"/>
        <v/>
      </c>
      <c r="G52" s="102" t="str">
        <f t="shared" si="21"/>
        <v/>
      </c>
      <c r="H52" s="57">
        <f t="shared" si="22"/>
        <v>0</v>
      </c>
      <c r="I52" s="102">
        <f>IF(VLOOKUP($P52,无限模式!$A$3:$X$22,10,FALSE)="","",VLOOKUP($P52,无限模式!$A$3:$X$22,11,FALSE))</f>
        <v>1</v>
      </c>
      <c r="J52" s="102">
        <f>IF(VLOOKUP($P52,无限模式!$A$3:$X$22,10,FALSE)="","",VLOOKUP($P52,无限模式!$A$3:$X$22,12,FALSE))</f>
        <v>0</v>
      </c>
      <c r="K52" s="102">
        <f t="shared" si="23"/>
        <v>1</v>
      </c>
      <c r="L52" s="102" t="str">
        <f>IF(VLOOKUP($P52,无限模式!$A$3:$X$22,10,FALSE)="","","Monster_Infinite_"&amp;P52&amp;"_2")</f>
        <v>Monster_Infinite_8_2</v>
      </c>
      <c r="M52" s="57">
        <f t="shared" si="24"/>
        <v>1</v>
      </c>
      <c r="O52" s="102">
        <f>IF(VLOOKUP($P52,无限模式!$A$3:$X$22,10,FALSE)="","",VLOOKUP($P52,无限模式!$A$3:$X$22,14,FALSE))</f>
        <v>192</v>
      </c>
      <c r="P52" s="110">
        <f t="shared" si="25"/>
        <v>8</v>
      </c>
      <c r="Q52" s="110">
        <v>2</v>
      </c>
    </row>
    <row r="53" spans="2:17" x14ac:dyDescent="0.2">
      <c r="D53" s="57" t="str">
        <f t="shared" si="19"/>
        <v/>
      </c>
      <c r="F53" s="57" t="str">
        <f t="shared" si="20"/>
        <v/>
      </c>
      <c r="G53" s="102" t="str">
        <f t="shared" si="21"/>
        <v/>
      </c>
      <c r="H53" s="57" t="str">
        <f t="shared" si="22"/>
        <v/>
      </c>
      <c r="I53" s="102" t="str">
        <f>IF(VLOOKUP($P53,无限模式!$A$3:$X$22,15,FALSE)="","",VLOOKUP(P53,无限模式!$A$3:$X$22,16,FALSE))</f>
        <v/>
      </c>
      <c r="J53" s="102" t="str">
        <f>IF(VLOOKUP($P53,无限模式!$A$3:$X$22,15,FALSE)="","",VLOOKUP($P53,无限模式!$A$3:$X$22,17,FALSE))</f>
        <v/>
      </c>
      <c r="K53" s="102" t="str">
        <f t="shared" si="23"/>
        <v/>
      </c>
      <c r="L53" s="102" t="str">
        <f>IF(VLOOKUP($P53,无限模式!$A$3:$X$22,15,FALSE)="","","Monster_Infinite_"&amp;P53&amp;"_3")</f>
        <v/>
      </c>
      <c r="M53" s="57" t="str">
        <f t="shared" si="24"/>
        <v/>
      </c>
      <c r="O53" s="102" t="str">
        <f>IF(VLOOKUP($P53,无限模式!$A$3:$X$22,15,FALSE)="","",VLOOKUP($P53,无限模式!$A$3:$X$22,19,FALSE))</f>
        <v/>
      </c>
      <c r="P53" s="110">
        <f t="shared" si="25"/>
        <v>8</v>
      </c>
      <c r="Q53" s="110">
        <v>3</v>
      </c>
    </row>
    <row r="54" spans="2:17" x14ac:dyDescent="0.2">
      <c r="D54" s="57" t="str">
        <f t="shared" si="19"/>
        <v/>
      </c>
      <c r="F54" s="57" t="str">
        <f t="shared" si="20"/>
        <v/>
      </c>
      <c r="G54" s="102" t="str">
        <f t="shared" si="21"/>
        <v/>
      </c>
      <c r="H54" s="57" t="str">
        <f t="shared" si="22"/>
        <v/>
      </c>
      <c r="I54" s="102" t="str">
        <f>IF(VLOOKUP($P54,无限模式!$A$3:$X$22,20,FALSE)="","",VLOOKUP($P54,无限模式!$A$3:$X$22,21,FALSE))</f>
        <v/>
      </c>
      <c r="J54" s="102" t="str">
        <f>IF(VLOOKUP($P54,无限模式!$A$3:$X$22,20,FALSE)="","",VLOOKUP($P54,无限模式!$A$3:$X$22,22,FALSE))</f>
        <v/>
      </c>
      <c r="K54" s="102" t="str">
        <f t="shared" si="23"/>
        <v/>
      </c>
      <c r="L54" s="102" t="str">
        <f>IF(VLOOKUP($P54,无限模式!$A$3:$X$22,20,FALSE)="","","Monster_Infinite_"&amp;P54&amp;"_4")</f>
        <v/>
      </c>
      <c r="M54" s="57" t="str">
        <f t="shared" si="24"/>
        <v/>
      </c>
      <c r="O54" s="102" t="str">
        <f>IF(VLOOKUP($P54,无限模式!$A$3:$X$22,20,FALSE)="","",VLOOKUP($P54,无限模式!$A$3:$X$22,24,FALSE))</f>
        <v/>
      </c>
      <c r="P54" s="110">
        <f t="shared" si="25"/>
        <v>8</v>
      </c>
      <c r="Q54" s="110">
        <v>4</v>
      </c>
    </row>
    <row r="55" spans="2:17" x14ac:dyDescent="0.2">
      <c r="B55" s="57" t="s">
        <v>452</v>
      </c>
      <c r="C55" s="57">
        <v>9</v>
      </c>
      <c r="D55" s="57" t="str">
        <f t="shared" ref="D55:D86" si="26">IF(C55="","","无限模式第"&amp;C55&amp;"波")</f>
        <v>无限模式第9波</v>
      </c>
      <c r="F55" s="57">
        <f t="shared" si="20"/>
        <v>0</v>
      </c>
      <c r="G55" s="102">
        <f t="shared" si="21"/>
        <v>180</v>
      </c>
      <c r="H55" s="57">
        <f t="shared" si="22"/>
        <v>0</v>
      </c>
      <c r="I55" s="102">
        <f>IF(VLOOKUP($P55,无限模式!$A$3:$X$22,5,FALSE)="","",VLOOKUP($P55,无限模式!$A$3:$X$22,6,FALSE))</f>
        <v>12</v>
      </c>
      <c r="J55" s="102">
        <f>IF(VLOOKUP($P55,无限模式!$A$3:$X$22,5,FALSE)="","",VLOOKUP($P55,无限模式!$A$3:$X$22,7,FALSE))</f>
        <v>1.5</v>
      </c>
      <c r="K55" s="102">
        <f t="shared" si="23"/>
        <v>1</v>
      </c>
      <c r="L55" s="102" t="str">
        <f>IF(VLOOKUP($P55,无限模式!$A$3:$X$22,5,FALSE)="","","Monster_Infinite_"&amp;P55&amp;"_1")</f>
        <v>Monster_Infinite_9_1</v>
      </c>
      <c r="M55" s="57">
        <f t="shared" si="24"/>
        <v>1</v>
      </c>
      <c r="O55" s="102">
        <f>IF(VLOOKUP($P55,无限模式!$A$3:$X$22,5,FALSE)="","",VLOOKUP($P55,无限模式!$A$3:$X$22,9,FALSE))</f>
        <v>33</v>
      </c>
      <c r="P55" s="110">
        <f t="shared" si="25"/>
        <v>9</v>
      </c>
      <c r="Q55" s="110">
        <v>1</v>
      </c>
    </row>
    <row r="56" spans="2:17" x14ac:dyDescent="0.2">
      <c r="D56" s="57" t="str">
        <f t="shared" si="26"/>
        <v/>
      </c>
      <c r="F56" s="57" t="str">
        <f t="shared" si="20"/>
        <v/>
      </c>
      <c r="G56" s="102" t="str">
        <f t="shared" si="21"/>
        <v/>
      </c>
      <c r="H56" s="57">
        <f t="shared" si="22"/>
        <v>0</v>
      </c>
      <c r="I56" s="102">
        <f>IF(VLOOKUP($P56,无限模式!$A$3:$X$22,10,FALSE)="","",VLOOKUP($P56,无限模式!$A$3:$X$22,11,FALSE))</f>
        <v>6</v>
      </c>
      <c r="J56" s="102">
        <f>IF(VLOOKUP($P56,无限模式!$A$3:$X$22,10,FALSE)="","",VLOOKUP($P56,无限模式!$A$3:$X$22,12,FALSE))</f>
        <v>3</v>
      </c>
      <c r="K56" s="102">
        <f t="shared" si="23"/>
        <v>1</v>
      </c>
      <c r="L56" s="102" t="str">
        <f>IF(VLOOKUP($P56,无限模式!$A$3:$X$22,10,FALSE)="","","Monster_Infinite_"&amp;P56&amp;"_2")</f>
        <v>Monster_Infinite_9_2</v>
      </c>
      <c r="M56" s="57">
        <f t="shared" si="24"/>
        <v>1</v>
      </c>
      <c r="O56" s="102">
        <f>IF(VLOOKUP($P56,无限模式!$A$3:$X$22,10,FALSE)="","",VLOOKUP($P56,无限模式!$A$3:$X$22,14,FALSE))</f>
        <v>33</v>
      </c>
      <c r="P56" s="110">
        <f t="shared" si="25"/>
        <v>9</v>
      </c>
      <c r="Q56" s="110">
        <v>2</v>
      </c>
    </row>
    <row r="57" spans="2:17" x14ac:dyDescent="0.2">
      <c r="D57" s="57" t="str">
        <f t="shared" si="26"/>
        <v/>
      </c>
      <c r="F57" s="57" t="str">
        <f t="shared" si="20"/>
        <v/>
      </c>
      <c r="G57" s="102" t="str">
        <f t="shared" si="21"/>
        <v/>
      </c>
      <c r="H57" s="57" t="str">
        <f t="shared" si="22"/>
        <v/>
      </c>
      <c r="I57" s="102" t="str">
        <f>IF(VLOOKUP($P57,无限模式!$A$3:$X$22,15,FALSE)="","",VLOOKUP(P57,无限模式!$A$3:$X$22,16,FALSE))</f>
        <v/>
      </c>
      <c r="J57" s="102" t="str">
        <f>IF(VLOOKUP($P57,无限模式!$A$3:$X$22,15,FALSE)="","",VLOOKUP($P57,无限模式!$A$3:$X$22,17,FALSE))</f>
        <v/>
      </c>
      <c r="K57" s="102" t="str">
        <f t="shared" si="23"/>
        <v/>
      </c>
      <c r="L57" s="102" t="str">
        <f>IF(VLOOKUP($P57,无限模式!$A$3:$X$22,15,FALSE)="","","Monster_Infinite_"&amp;P57&amp;"_3")</f>
        <v/>
      </c>
      <c r="M57" s="57" t="str">
        <f t="shared" si="24"/>
        <v/>
      </c>
      <c r="O57" s="102" t="str">
        <f>IF(VLOOKUP($P57,无限模式!$A$3:$X$22,15,FALSE)="","",VLOOKUP($P57,无限模式!$A$3:$X$22,19,FALSE))</f>
        <v/>
      </c>
      <c r="P57" s="110">
        <f t="shared" si="25"/>
        <v>9</v>
      </c>
      <c r="Q57" s="110">
        <v>3</v>
      </c>
    </row>
    <row r="58" spans="2:17" x14ac:dyDescent="0.2">
      <c r="D58" s="57" t="str">
        <f t="shared" si="26"/>
        <v/>
      </c>
      <c r="F58" s="57" t="str">
        <f t="shared" si="20"/>
        <v/>
      </c>
      <c r="G58" s="102" t="str">
        <f t="shared" si="21"/>
        <v/>
      </c>
      <c r="H58" s="57" t="str">
        <f t="shared" si="22"/>
        <v/>
      </c>
      <c r="I58" s="102" t="str">
        <f>IF(VLOOKUP($P58,无限模式!$A$3:$X$22,20,FALSE)="","",VLOOKUP($P58,无限模式!$A$3:$X$22,21,FALSE))</f>
        <v/>
      </c>
      <c r="J58" s="102" t="str">
        <f>IF(VLOOKUP($P58,无限模式!$A$3:$X$22,20,FALSE)="","",VLOOKUP($P58,无限模式!$A$3:$X$22,22,FALSE))</f>
        <v/>
      </c>
      <c r="K58" s="102" t="str">
        <f t="shared" si="23"/>
        <v/>
      </c>
      <c r="L58" s="102" t="str">
        <f>IF(VLOOKUP($P58,无限模式!$A$3:$X$22,20,FALSE)="","","Monster_Infinite_"&amp;P58&amp;"_4")</f>
        <v/>
      </c>
      <c r="M58" s="57" t="str">
        <f t="shared" si="24"/>
        <v/>
      </c>
      <c r="O58" s="102" t="str">
        <f>IF(VLOOKUP($P58,无限模式!$A$3:$X$22,20,FALSE)="","",VLOOKUP($P58,无限模式!$A$3:$X$22,24,FALSE))</f>
        <v/>
      </c>
      <c r="P58" s="110">
        <f t="shared" si="25"/>
        <v>9</v>
      </c>
      <c r="Q58" s="110">
        <v>4</v>
      </c>
    </row>
    <row r="59" spans="2:17" x14ac:dyDescent="0.2">
      <c r="B59" s="57" t="s">
        <v>452</v>
      </c>
      <c r="C59" s="57">
        <v>10</v>
      </c>
      <c r="D59" s="57" t="str">
        <f t="shared" si="26"/>
        <v>无限模式第10波</v>
      </c>
      <c r="F59" s="57">
        <f t="shared" si="20"/>
        <v>0</v>
      </c>
      <c r="G59" s="102">
        <f t="shared" si="21"/>
        <v>180</v>
      </c>
      <c r="H59" s="57">
        <f t="shared" si="22"/>
        <v>0</v>
      </c>
      <c r="I59" s="102">
        <f>IF(VLOOKUP($P59,无限模式!$A$3:$X$22,5,FALSE)="","",VLOOKUP($P59,无限模式!$A$3:$X$22,6,FALSE))</f>
        <v>95</v>
      </c>
      <c r="J59" s="102">
        <f>IF(VLOOKUP($P59,无限模式!$A$3:$X$22,5,FALSE)="","",VLOOKUP($P59,无限模式!$A$3:$X$22,7,FALSE))</f>
        <v>0.2</v>
      </c>
      <c r="K59" s="102">
        <f t="shared" si="23"/>
        <v>1</v>
      </c>
      <c r="L59" s="102" t="str">
        <f>IF(VLOOKUP($P59,无限模式!$A$3:$X$22,5,FALSE)="","","Monster_Infinite_"&amp;P59&amp;"_1")</f>
        <v>Monster_Infinite_10_1</v>
      </c>
      <c r="M59" s="57">
        <f t="shared" si="24"/>
        <v>1</v>
      </c>
      <c r="O59" s="102">
        <f>IF(VLOOKUP($P59,无限模式!$A$3:$X$22,5,FALSE)="","",VLOOKUP($P59,无限模式!$A$3:$X$22,9,FALSE))</f>
        <v>6</v>
      </c>
      <c r="P59" s="110">
        <f t="shared" si="25"/>
        <v>10</v>
      </c>
      <c r="Q59" s="110">
        <v>1</v>
      </c>
    </row>
    <row r="60" spans="2:17" x14ac:dyDescent="0.2">
      <c r="D60" s="57" t="str">
        <f t="shared" si="26"/>
        <v/>
      </c>
      <c r="F60" s="57" t="str">
        <f t="shared" si="20"/>
        <v/>
      </c>
      <c r="G60" s="102" t="str">
        <f t="shared" si="21"/>
        <v/>
      </c>
      <c r="H60" s="57">
        <f t="shared" si="22"/>
        <v>0</v>
      </c>
      <c r="I60" s="102">
        <f>IF(VLOOKUP($P60,无限模式!$A$3:$X$22,10,FALSE)="","",VLOOKUP($P60,无限模式!$A$3:$X$22,11,FALSE))</f>
        <v>6</v>
      </c>
      <c r="J60" s="102">
        <f>IF(VLOOKUP($P60,无限模式!$A$3:$X$22,10,FALSE)="","",VLOOKUP($P60,无限模式!$A$3:$X$22,12,FALSE))</f>
        <v>3</v>
      </c>
      <c r="K60" s="102">
        <f t="shared" si="23"/>
        <v>1</v>
      </c>
      <c r="L60" s="102" t="str">
        <f>IF(VLOOKUP($P60,无限模式!$A$3:$X$22,10,FALSE)="","","Monster_Infinite_"&amp;P60&amp;"_2")</f>
        <v>Monster_Infinite_10_2</v>
      </c>
      <c r="M60" s="57">
        <f t="shared" si="24"/>
        <v>1</v>
      </c>
      <c r="O60" s="102">
        <f>IF(VLOOKUP($P60,无限模式!$A$3:$X$22,10,FALSE)="","",VLOOKUP($P60,无限模式!$A$3:$X$22,14,FALSE))</f>
        <v>6</v>
      </c>
      <c r="P60" s="110">
        <f t="shared" si="25"/>
        <v>10</v>
      </c>
      <c r="Q60" s="110">
        <v>2</v>
      </c>
    </row>
    <row r="61" spans="2:17" x14ac:dyDescent="0.2">
      <c r="D61" s="57" t="str">
        <f t="shared" si="26"/>
        <v/>
      </c>
      <c r="F61" s="57" t="str">
        <f t="shared" si="20"/>
        <v/>
      </c>
      <c r="G61" s="102" t="str">
        <f t="shared" si="21"/>
        <v/>
      </c>
      <c r="H61" s="57" t="str">
        <f t="shared" si="22"/>
        <v/>
      </c>
      <c r="I61" s="102" t="str">
        <f>IF(VLOOKUP($P61,无限模式!$A$3:$X$22,15,FALSE)="","",VLOOKUP(P61,无限模式!$A$3:$X$22,16,FALSE))</f>
        <v/>
      </c>
      <c r="J61" s="102" t="str">
        <f>IF(VLOOKUP($P61,无限模式!$A$3:$X$22,15,FALSE)="","",VLOOKUP($P61,无限模式!$A$3:$X$22,17,FALSE))</f>
        <v/>
      </c>
      <c r="K61" s="102" t="str">
        <f t="shared" si="23"/>
        <v/>
      </c>
      <c r="L61" s="102" t="str">
        <f>IF(VLOOKUP($P61,无限模式!$A$3:$X$22,15,FALSE)="","","Monster_Infinite_"&amp;P61&amp;"_3")</f>
        <v/>
      </c>
      <c r="M61" s="57" t="str">
        <f t="shared" si="24"/>
        <v/>
      </c>
      <c r="O61" s="102" t="str">
        <f>IF(VLOOKUP($P61,无限模式!$A$3:$X$22,15,FALSE)="","",VLOOKUP($P61,无限模式!$A$3:$X$22,19,FALSE))</f>
        <v/>
      </c>
      <c r="P61" s="110">
        <f t="shared" si="25"/>
        <v>10</v>
      </c>
      <c r="Q61" s="110">
        <v>3</v>
      </c>
    </row>
    <row r="62" spans="2:17" x14ac:dyDescent="0.2">
      <c r="D62" s="57" t="str">
        <f t="shared" si="26"/>
        <v/>
      </c>
      <c r="F62" s="57" t="str">
        <f t="shared" si="20"/>
        <v/>
      </c>
      <c r="G62" s="102" t="str">
        <f t="shared" si="21"/>
        <v/>
      </c>
      <c r="H62" s="57" t="str">
        <f t="shared" si="22"/>
        <v/>
      </c>
      <c r="I62" s="102" t="str">
        <f>IF(VLOOKUP($P62,无限模式!$A$3:$X$22,20,FALSE)="","",VLOOKUP($P62,无限模式!$A$3:$X$22,21,FALSE))</f>
        <v/>
      </c>
      <c r="J62" s="102" t="str">
        <f>IF(VLOOKUP($P62,无限模式!$A$3:$X$22,20,FALSE)="","",VLOOKUP($P62,无限模式!$A$3:$X$22,22,FALSE))</f>
        <v/>
      </c>
      <c r="K62" s="102" t="str">
        <f t="shared" si="23"/>
        <v/>
      </c>
      <c r="L62" s="102" t="str">
        <f>IF(VLOOKUP($P62,无限模式!$A$3:$X$22,20,FALSE)="","","Monster_Infinite_"&amp;P62&amp;"_4")</f>
        <v/>
      </c>
      <c r="M62" s="57" t="str">
        <f t="shared" si="24"/>
        <v/>
      </c>
      <c r="O62" s="102" t="str">
        <f>IF(VLOOKUP($P62,无限模式!$A$3:$X$22,20,FALSE)="","",VLOOKUP($P62,无限模式!$A$3:$X$22,24,FALSE))</f>
        <v/>
      </c>
      <c r="P62" s="110">
        <f t="shared" si="25"/>
        <v>10</v>
      </c>
      <c r="Q62" s="110">
        <v>4</v>
      </c>
    </row>
    <row r="63" spans="2:17" x14ac:dyDescent="0.2">
      <c r="B63" s="57" t="s">
        <v>452</v>
      </c>
      <c r="C63" s="57">
        <v>11</v>
      </c>
      <c r="D63" s="57" t="str">
        <f t="shared" si="26"/>
        <v>无限模式第11波</v>
      </c>
      <c r="F63" s="57">
        <f t="shared" si="20"/>
        <v>0</v>
      </c>
      <c r="G63" s="102">
        <f t="shared" si="21"/>
        <v>180</v>
      </c>
      <c r="H63" s="57">
        <f t="shared" si="22"/>
        <v>0</v>
      </c>
      <c r="I63" s="102">
        <f>IF(VLOOKUP($P63,无限模式!$A$3:$X$22,5,FALSE)="","",VLOOKUP($P63,无限模式!$A$3:$X$22,6,FALSE))</f>
        <v>20</v>
      </c>
      <c r="J63" s="102">
        <f>IF(VLOOKUP($P63,无限模式!$A$3:$X$22,5,FALSE)="","",VLOOKUP($P63,无限模式!$A$3:$X$22,7,FALSE))</f>
        <v>1</v>
      </c>
      <c r="K63" s="102">
        <f t="shared" si="23"/>
        <v>1</v>
      </c>
      <c r="L63" s="102" t="str">
        <f>IF(VLOOKUP($P63,无限模式!$A$3:$X$22,5,FALSE)="","","Monster_Infinite_"&amp;P63&amp;"_1")</f>
        <v>Monster_Infinite_11_1</v>
      </c>
      <c r="M63" s="57">
        <f t="shared" si="24"/>
        <v>1</v>
      </c>
      <c r="O63" s="102">
        <f>IF(VLOOKUP($P63,无限模式!$A$3:$X$22,5,FALSE)="","",VLOOKUP($P63,无限模式!$A$3:$X$22,9,FALSE))</f>
        <v>24</v>
      </c>
      <c r="P63" s="110">
        <f t="shared" si="25"/>
        <v>11</v>
      </c>
      <c r="Q63" s="110">
        <v>1</v>
      </c>
    </row>
    <row r="64" spans="2:17" x14ac:dyDescent="0.2">
      <c r="D64" s="57" t="str">
        <f t="shared" si="26"/>
        <v/>
      </c>
      <c r="F64" s="57" t="str">
        <f t="shared" si="20"/>
        <v/>
      </c>
      <c r="G64" s="102" t="str">
        <f t="shared" si="21"/>
        <v/>
      </c>
      <c r="H64" s="57">
        <f t="shared" si="22"/>
        <v>0</v>
      </c>
      <c r="I64" s="102">
        <f>IF(VLOOKUP($P64,无限模式!$A$3:$X$22,10,FALSE)="","",VLOOKUP($P64,无限模式!$A$3:$X$22,11,FALSE))</f>
        <v>10</v>
      </c>
      <c r="J64" s="102">
        <f>IF(VLOOKUP($P64,无限模式!$A$3:$X$22,10,FALSE)="","",VLOOKUP($P64,无限模式!$A$3:$X$22,12,FALSE))</f>
        <v>2</v>
      </c>
      <c r="K64" s="102">
        <f t="shared" si="23"/>
        <v>1</v>
      </c>
      <c r="L64" s="102" t="str">
        <f>IF(VLOOKUP($P64,无限模式!$A$3:$X$22,10,FALSE)="","","Monster_Infinite_"&amp;P64&amp;"_2")</f>
        <v>Monster_Infinite_11_2</v>
      </c>
      <c r="M64" s="57">
        <f t="shared" si="24"/>
        <v>1</v>
      </c>
      <c r="O64" s="102">
        <f>IF(VLOOKUP($P64,无限模式!$A$3:$X$22,10,FALSE)="","",VLOOKUP($P64,无限模式!$A$3:$X$22,14,FALSE))</f>
        <v>12</v>
      </c>
      <c r="P64" s="110">
        <f t="shared" si="25"/>
        <v>11</v>
      </c>
      <c r="Q64" s="110">
        <v>2</v>
      </c>
    </row>
    <row r="65" spans="2:17" x14ac:dyDescent="0.2">
      <c r="D65" s="57" t="str">
        <f t="shared" si="26"/>
        <v/>
      </c>
      <c r="F65" s="57" t="str">
        <f t="shared" si="20"/>
        <v/>
      </c>
      <c r="G65" s="102" t="str">
        <f t="shared" si="21"/>
        <v/>
      </c>
      <c r="H65" s="57" t="str">
        <f t="shared" si="22"/>
        <v/>
      </c>
      <c r="I65" s="102" t="str">
        <f>IF(VLOOKUP($P65,无限模式!$A$3:$X$22,15,FALSE)="","",VLOOKUP(P65,无限模式!$A$3:$X$22,16,FALSE))</f>
        <v/>
      </c>
      <c r="J65" s="102" t="str">
        <f>IF(VLOOKUP($P65,无限模式!$A$3:$X$22,15,FALSE)="","",VLOOKUP($P65,无限模式!$A$3:$X$22,17,FALSE))</f>
        <v/>
      </c>
      <c r="K65" s="102" t="str">
        <f t="shared" si="23"/>
        <v/>
      </c>
      <c r="L65" s="102" t="str">
        <f>IF(VLOOKUP($P65,无限模式!$A$3:$X$22,15,FALSE)="","","Monster_Infinite_"&amp;P65&amp;"_3")</f>
        <v/>
      </c>
      <c r="M65" s="57" t="str">
        <f t="shared" si="24"/>
        <v/>
      </c>
      <c r="O65" s="102" t="str">
        <f>IF(VLOOKUP($P65,无限模式!$A$3:$X$22,15,FALSE)="","",VLOOKUP($P65,无限模式!$A$3:$X$22,19,FALSE))</f>
        <v/>
      </c>
      <c r="P65" s="110">
        <f t="shared" si="25"/>
        <v>11</v>
      </c>
      <c r="Q65" s="110">
        <v>3</v>
      </c>
    </row>
    <row r="66" spans="2:17" x14ac:dyDescent="0.2">
      <c r="D66" s="57" t="str">
        <f t="shared" si="26"/>
        <v/>
      </c>
      <c r="F66" s="57" t="str">
        <f t="shared" si="20"/>
        <v/>
      </c>
      <c r="G66" s="102" t="str">
        <f t="shared" si="21"/>
        <v/>
      </c>
      <c r="H66" s="57" t="str">
        <f t="shared" si="22"/>
        <v/>
      </c>
      <c r="I66" s="102" t="str">
        <f>IF(VLOOKUP($P66,无限模式!$A$3:$X$22,20,FALSE)="","",VLOOKUP($P66,无限模式!$A$3:$X$22,21,FALSE))</f>
        <v/>
      </c>
      <c r="J66" s="102" t="str">
        <f>IF(VLOOKUP($P66,无限模式!$A$3:$X$22,20,FALSE)="","",VLOOKUP($P66,无限模式!$A$3:$X$22,22,FALSE))</f>
        <v/>
      </c>
      <c r="K66" s="102" t="str">
        <f t="shared" si="23"/>
        <v/>
      </c>
      <c r="L66" s="102" t="str">
        <f>IF(VLOOKUP($P66,无限模式!$A$3:$X$22,20,FALSE)="","","Monster_Infinite_"&amp;P66&amp;"_4")</f>
        <v/>
      </c>
      <c r="M66" s="57" t="str">
        <f t="shared" si="24"/>
        <v/>
      </c>
      <c r="O66" s="102" t="str">
        <f>IF(VLOOKUP($P66,无限模式!$A$3:$X$22,20,FALSE)="","",VLOOKUP($P66,无限模式!$A$3:$X$22,24,FALSE))</f>
        <v/>
      </c>
      <c r="P66" s="110">
        <f t="shared" si="25"/>
        <v>11</v>
      </c>
      <c r="Q66" s="110">
        <v>4</v>
      </c>
    </row>
    <row r="67" spans="2:17" x14ac:dyDescent="0.2">
      <c r="B67" s="57" t="s">
        <v>452</v>
      </c>
      <c r="C67" s="57">
        <v>12</v>
      </c>
      <c r="D67" s="57" t="str">
        <f t="shared" si="26"/>
        <v>无限模式第12波</v>
      </c>
      <c r="F67" s="57">
        <f t="shared" si="20"/>
        <v>0</v>
      </c>
      <c r="G67" s="102">
        <f t="shared" si="21"/>
        <v>180</v>
      </c>
      <c r="H67" s="57">
        <f t="shared" si="22"/>
        <v>0</v>
      </c>
      <c r="I67" s="102">
        <f>IF(VLOOKUP($P67,无限模式!$A$3:$X$22,5,FALSE)="","",VLOOKUP($P67,无限模式!$A$3:$X$22,6,FALSE))</f>
        <v>42</v>
      </c>
      <c r="J67" s="102">
        <f>IF(VLOOKUP($P67,无限模式!$A$3:$X$22,5,FALSE)="","",VLOOKUP($P67,无限模式!$A$3:$X$22,7,FALSE))</f>
        <v>0.5</v>
      </c>
      <c r="K67" s="102">
        <f t="shared" si="23"/>
        <v>1</v>
      </c>
      <c r="L67" s="102" t="str">
        <f>IF(VLOOKUP($P67,无限模式!$A$3:$X$22,5,FALSE)="","","Monster_Infinite_"&amp;P67&amp;"_1")</f>
        <v>Monster_Infinite_12_1</v>
      </c>
      <c r="M67" s="57">
        <f t="shared" si="24"/>
        <v>1</v>
      </c>
      <c r="O67" s="102">
        <f>IF(VLOOKUP($P67,无限模式!$A$3:$X$22,5,FALSE)="","",VLOOKUP($P67,无限模式!$A$3:$X$22,9,FALSE))</f>
        <v>9</v>
      </c>
      <c r="P67" s="110">
        <f t="shared" si="25"/>
        <v>12</v>
      </c>
      <c r="Q67" s="110">
        <v>1</v>
      </c>
    </row>
    <row r="68" spans="2:17" x14ac:dyDescent="0.2">
      <c r="D68" s="57" t="str">
        <f t="shared" si="26"/>
        <v/>
      </c>
      <c r="F68" s="57" t="str">
        <f t="shared" si="20"/>
        <v/>
      </c>
      <c r="G68" s="102" t="str">
        <f t="shared" si="21"/>
        <v/>
      </c>
      <c r="H68" s="57">
        <f t="shared" si="22"/>
        <v>0</v>
      </c>
      <c r="I68" s="102">
        <f>IF(VLOOKUP($P68,无限模式!$A$3:$X$22,10,FALSE)="","",VLOOKUP($P68,无限模式!$A$3:$X$22,11,FALSE))</f>
        <v>7</v>
      </c>
      <c r="J68" s="102">
        <f>IF(VLOOKUP($P68,无限模式!$A$3:$X$22,10,FALSE)="","",VLOOKUP($P68,无限模式!$A$3:$X$22,12,FALSE))</f>
        <v>3</v>
      </c>
      <c r="K68" s="102">
        <f t="shared" si="23"/>
        <v>1</v>
      </c>
      <c r="L68" s="102" t="str">
        <f>IF(VLOOKUP($P68,无限模式!$A$3:$X$22,10,FALSE)="","","Monster_Infinite_"&amp;P68&amp;"_2")</f>
        <v>Monster_Infinite_12_2</v>
      </c>
      <c r="M68" s="57">
        <f t="shared" si="24"/>
        <v>1</v>
      </c>
      <c r="O68" s="102">
        <f>IF(VLOOKUP($P68,无限模式!$A$3:$X$22,10,FALSE)="","",VLOOKUP($P68,无限模式!$A$3:$X$22,14,FALSE))</f>
        <v>9</v>
      </c>
      <c r="P68" s="110">
        <f t="shared" si="25"/>
        <v>12</v>
      </c>
      <c r="Q68" s="110">
        <v>2</v>
      </c>
    </row>
    <row r="69" spans="2:17" x14ac:dyDescent="0.2">
      <c r="D69" s="57" t="str">
        <f t="shared" si="26"/>
        <v/>
      </c>
      <c r="F69" s="57" t="str">
        <f t="shared" si="20"/>
        <v/>
      </c>
      <c r="G69" s="102" t="str">
        <f t="shared" si="21"/>
        <v/>
      </c>
      <c r="H69" s="57">
        <f t="shared" si="22"/>
        <v>0</v>
      </c>
      <c r="I69" s="102">
        <f>IF(VLOOKUP($P69,无限模式!$A$3:$X$22,15,FALSE)="","",VLOOKUP(P69,无限模式!$A$3:$X$22,16,FALSE))</f>
        <v>1</v>
      </c>
      <c r="J69" s="102">
        <f>IF(VLOOKUP($P69,无限模式!$A$3:$X$22,15,FALSE)="","",VLOOKUP($P69,无限模式!$A$3:$X$22,17,FALSE))</f>
        <v>0</v>
      </c>
      <c r="K69" s="102">
        <f t="shared" si="23"/>
        <v>1</v>
      </c>
      <c r="L69" s="102" t="str">
        <f>IF(VLOOKUP($P69,无限模式!$A$3:$X$22,15,FALSE)="","","Monster_Infinite_"&amp;P69&amp;"_3")</f>
        <v>Monster_Infinite_12_3</v>
      </c>
      <c r="M69" s="57">
        <f t="shared" si="24"/>
        <v>1</v>
      </c>
      <c r="O69" s="102">
        <f>IF(VLOOKUP($P69,无限模式!$A$3:$X$22,15,FALSE)="","",VLOOKUP($P69,无限模式!$A$3:$X$22,19,FALSE))</f>
        <v>174</v>
      </c>
      <c r="P69" s="110">
        <f t="shared" si="25"/>
        <v>12</v>
      </c>
      <c r="Q69" s="110">
        <v>3</v>
      </c>
    </row>
    <row r="70" spans="2:17" x14ac:dyDescent="0.2">
      <c r="D70" s="57" t="str">
        <f t="shared" si="26"/>
        <v/>
      </c>
      <c r="F70" s="57" t="str">
        <f t="shared" si="20"/>
        <v/>
      </c>
      <c r="G70" s="102" t="str">
        <f t="shared" si="21"/>
        <v/>
      </c>
      <c r="H70" s="57" t="str">
        <f t="shared" si="22"/>
        <v/>
      </c>
      <c r="I70" s="102" t="str">
        <f>IF(VLOOKUP($P70,无限模式!$A$3:$X$22,20,FALSE)="","",VLOOKUP($P70,无限模式!$A$3:$X$22,21,FALSE))</f>
        <v/>
      </c>
      <c r="J70" s="102" t="str">
        <f>IF(VLOOKUP($P70,无限模式!$A$3:$X$22,20,FALSE)="","",VLOOKUP($P70,无限模式!$A$3:$X$22,22,FALSE))</f>
        <v/>
      </c>
      <c r="K70" s="102" t="str">
        <f t="shared" si="23"/>
        <v/>
      </c>
      <c r="L70" s="102" t="str">
        <f>IF(VLOOKUP($P70,无限模式!$A$3:$X$22,20,FALSE)="","","Monster_Infinite_"&amp;P70&amp;"_4")</f>
        <v/>
      </c>
      <c r="M70" s="57" t="str">
        <f t="shared" si="24"/>
        <v/>
      </c>
      <c r="O70" s="102" t="str">
        <f>IF(VLOOKUP($P70,无限模式!$A$3:$X$22,20,FALSE)="","",VLOOKUP($P70,无限模式!$A$3:$X$22,24,FALSE))</f>
        <v/>
      </c>
      <c r="P70" s="110">
        <f t="shared" si="25"/>
        <v>12</v>
      </c>
      <c r="Q70" s="110">
        <v>4</v>
      </c>
    </row>
    <row r="71" spans="2:17" x14ac:dyDescent="0.2">
      <c r="B71" s="57" t="s">
        <v>452</v>
      </c>
      <c r="C71" s="57">
        <v>13</v>
      </c>
      <c r="D71" s="57" t="str">
        <f t="shared" si="26"/>
        <v>无限模式第13波</v>
      </c>
      <c r="F71" s="57">
        <f t="shared" si="20"/>
        <v>0</v>
      </c>
      <c r="G71" s="102">
        <f t="shared" si="21"/>
        <v>180</v>
      </c>
      <c r="H71" s="57">
        <f t="shared" si="22"/>
        <v>0</v>
      </c>
      <c r="I71" s="102">
        <f>IF(VLOOKUP($P71,无限模式!$A$3:$X$22,5,FALSE)="","",VLOOKUP($P71,无限模式!$A$3:$X$22,6,FALSE))</f>
        <v>15</v>
      </c>
      <c r="J71" s="102">
        <f>IF(VLOOKUP($P71,无限模式!$A$3:$X$22,5,FALSE)="","",VLOOKUP($P71,无限模式!$A$3:$X$22,7,FALSE))</f>
        <v>1.5</v>
      </c>
      <c r="K71" s="102">
        <f t="shared" si="23"/>
        <v>1</v>
      </c>
      <c r="L71" s="102" t="str">
        <f>IF(VLOOKUP($P71,无限模式!$A$3:$X$22,5,FALSE)="","","Monster_Infinite_"&amp;P71&amp;"_1")</f>
        <v>Monster_Infinite_13_1</v>
      </c>
      <c r="M71" s="57">
        <f t="shared" si="24"/>
        <v>1</v>
      </c>
      <c r="O71" s="102">
        <f>IF(VLOOKUP($P71,无限模式!$A$3:$X$22,5,FALSE)="","",VLOOKUP($P71,无限模式!$A$3:$X$22,9,FALSE))</f>
        <v>40</v>
      </c>
      <c r="P71" s="110">
        <f t="shared" si="25"/>
        <v>13</v>
      </c>
      <c r="Q71" s="110">
        <v>1</v>
      </c>
    </row>
    <row r="72" spans="2:17" x14ac:dyDescent="0.2">
      <c r="D72" s="57" t="str">
        <f t="shared" si="26"/>
        <v/>
      </c>
      <c r="F72" s="57" t="str">
        <f t="shared" si="20"/>
        <v/>
      </c>
      <c r="G72" s="102" t="str">
        <f t="shared" si="21"/>
        <v/>
      </c>
      <c r="H72" s="57" t="str">
        <f t="shared" si="22"/>
        <v/>
      </c>
      <c r="I72" s="102" t="str">
        <f>IF(VLOOKUP($P72,无限模式!$A$3:$X$22,10,FALSE)="","",VLOOKUP($P72,无限模式!$A$3:$X$22,11,FALSE))</f>
        <v/>
      </c>
      <c r="J72" s="102" t="str">
        <f>IF(VLOOKUP($P72,无限模式!$A$3:$X$22,10,FALSE)="","",VLOOKUP($P72,无限模式!$A$3:$X$22,12,FALSE))</f>
        <v/>
      </c>
      <c r="K72" s="102" t="str">
        <f t="shared" si="23"/>
        <v/>
      </c>
      <c r="L72" s="102" t="str">
        <f>IF(VLOOKUP($P72,无限模式!$A$3:$X$22,10,FALSE)="","","Monster_Infinite_"&amp;P72&amp;"_2")</f>
        <v/>
      </c>
      <c r="M72" s="57" t="str">
        <f t="shared" si="24"/>
        <v/>
      </c>
      <c r="O72" s="102" t="str">
        <f>IF(VLOOKUP($P72,无限模式!$A$3:$X$22,10,FALSE)="","",VLOOKUP($P72,无限模式!$A$3:$X$22,14,FALSE))</f>
        <v/>
      </c>
      <c r="P72" s="110">
        <f t="shared" si="25"/>
        <v>13</v>
      </c>
      <c r="Q72" s="110">
        <v>2</v>
      </c>
    </row>
    <row r="73" spans="2:17" x14ac:dyDescent="0.2">
      <c r="D73" s="57" t="str">
        <f t="shared" si="26"/>
        <v/>
      </c>
      <c r="F73" s="57" t="str">
        <f t="shared" si="20"/>
        <v/>
      </c>
      <c r="G73" s="102" t="str">
        <f t="shared" si="21"/>
        <v/>
      </c>
      <c r="H73" s="57" t="str">
        <f t="shared" si="22"/>
        <v/>
      </c>
      <c r="I73" s="102" t="str">
        <f>IF(VLOOKUP($P73,无限模式!$A$3:$X$22,15,FALSE)="","",VLOOKUP(P73,无限模式!$A$3:$X$22,16,FALSE))</f>
        <v/>
      </c>
      <c r="J73" s="102" t="str">
        <f>IF(VLOOKUP($P73,无限模式!$A$3:$X$22,15,FALSE)="","",VLOOKUP($P73,无限模式!$A$3:$X$22,17,FALSE))</f>
        <v/>
      </c>
      <c r="K73" s="102" t="str">
        <f t="shared" si="23"/>
        <v/>
      </c>
      <c r="L73" s="102" t="str">
        <f>IF(VLOOKUP($P73,无限模式!$A$3:$X$22,15,FALSE)="","","Monster_Infinite_"&amp;P73&amp;"_3")</f>
        <v/>
      </c>
      <c r="M73" s="57" t="str">
        <f t="shared" si="24"/>
        <v/>
      </c>
      <c r="O73" s="102" t="str">
        <f>IF(VLOOKUP($P73,无限模式!$A$3:$X$22,15,FALSE)="","",VLOOKUP($P73,无限模式!$A$3:$X$22,19,FALSE))</f>
        <v/>
      </c>
      <c r="P73" s="110">
        <f t="shared" si="25"/>
        <v>13</v>
      </c>
      <c r="Q73" s="110">
        <v>3</v>
      </c>
    </row>
    <row r="74" spans="2:17" x14ac:dyDescent="0.2">
      <c r="D74" s="57" t="str">
        <f t="shared" si="26"/>
        <v/>
      </c>
      <c r="F74" s="57" t="str">
        <f t="shared" si="20"/>
        <v/>
      </c>
      <c r="G74" s="102" t="str">
        <f t="shared" si="21"/>
        <v/>
      </c>
      <c r="H74" s="57" t="str">
        <f t="shared" si="22"/>
        <v/>
      </c>
      <c r="I74" s="102" t="str">
        <f>IF(VLOOKUP($P74,无限模式!$A$3:$X$22,20,FALSE)="","",VLOOKUP($P74,无限模式!$A$3:$X$22,21,FALSE))</f>
        <v/>
      </c>
      <c r="J74" s="102" t="str">
        <f>IF(VLOOKUP($P74,无限模式!$A$3:$X$22,20,FALSE)="","",VLOOKUP($P74,无限模式!$A$3:$X$22,22,FALSE))</f>
        <v/>
      </c>
      <c r="K74" s="102" t="str">
        <f t="shared" si="23"/>
        <v/>
      </c>
      <c r="L74" s="102" t="str">
        <f>IF(VLOOKUP($P74,无限模式!$A$3:$X$22,20,FALSE)="","","Monster_Infinite_"&amp;P74&amp;"_4")</f>
        <v/>
      </c>
      <c r="M74" s="57" t="str">
        <f t="shared" si="24"/>
        <v/>
      </c>
      <c r="O74" s="102" t="str">
        <f>IF(VLOOKUP($P74,无限模式!$A$3:$X$22,20,FALSE)="","",VLOOKUP($P74,无限模式!$A$3:$X$22,24,FALSE))</f>
        <v/>
      </c>
      <c r="P74" s="110">
        <f t="shared" si="25"/>
        <v>13</v>
      </c>
      <c r="Q74" s="110">
        <v>4</v>
      </c>
    </row>
    <row r="75" spans="2:17" x14ac:dyDescent="0.2">
      <c r="B75" s="57" t="s">
        <v>452</v>
      </c>
      <c r="C75" s="57">
        <v>14</v>
      </c>
      <c r="D75" s="57" t="str">
        <f t="shared" si="26"/>
        <v>无限模式第14波</v>
      </c>
      <c r="F75" s="57">
        <f t="shared" si="20"/>
        <v>0</v>
      </c>
      <c r="G75" s="102">
        <f t="shared" si="21"/>
        <v>180</v>
      </c>
      <c r="H75" s="57">
        <f t="shared" si="22"/>
        <v>0</v>
      </c>
      <c r="I75" s="102">
        <f>IF(VLOOKUP($P75,无限模式!$A$3:$X$22,5,FALSE)="","",VLOOKUP($P75,无限模式!$A$3:$X$22,6,FALSE))</f>
        <v>15</v>
      </c>
      <c r="J75" s="102">
        <f>IF(VLOOKUP($P75,无限模式!$A$3:$X$22,5,FALSE)="","",VLOOKUP($P75,无限模式!$A$3:$X$22,7,FALSE))</f>
        <v>1.5</v>
      </c>
      <c r="K75" s="102">
        <f t="shared" si="23"/>
        <v>1</v>
      </c>
      <c r="L75" s="102" t="str">
        <f>IF(VLOOKUP($P75,无限模式!$A$3:$X$22,5,FALSE)="","","Monster_Infinite_"&amp;P75&amp;"_1")</f>
        <v>Monster_Infinite_14_1</v>
      </c>
      <c r="M75" s="57">
        <f t="shared" si="24"/>
        <v>1</v>
      </c>
      <c r="O75" s="102">
        <f>IF(VLOOKUP($P75,无限模式!$A$3:$X$22,5,FALSE)="","",VLOOKUP($P75,无限模式!$A$3:$X$22,9,FALSE))</f>
        <v>20</v>
      </c>
      <c r="P75" s="110">
        <f t="shared" si="25"/>
        <v>14</v>
      </c>
      <c r="Q75" s="110">
        <v>1</v>
      </c>
    </row>
    <row r="76" spans="2:17" x14ac:dyDescent="0.2">
      <c r="D76" s="57" t="str">
        <f t="shared" si="26"/>
        <v/>
      </c>
      <c r="F76" s="57" t="str">
        <f t="shared" si="20"/>
        <v/>
      </c>
      <c r="G76" s="102" t="str">
        <f t="shared" si="21"/>
        <v/>
      </c>
      <c r="H76" s="57">
        <f t="shared" si="22"/>
        <v>0</v>
      </c>
      <c r="I76" s="102">
        <f>IF(VLOOKUP($P76,无限模式!$A$3:$X$22,10,FALSE)="","",VLOOKUP($P76,无限模式!$A$3:$X$22,11,FALSE))</f>
        <v>15</v>
      </c>
      <c r="J76" s="102">
        <f>IF(VLOOKUP($P76,无限模式!$A$3:$X$22,10,FALSE)="","",VLOOKUP($P76,无限模式!$A$3:$X$22,12,FALSE))</f>
        <v>1.5</v>
      </c>
      <c r="K76" s="102">
        <f t="shared" si="23"/>
        <v>1</v>
      </c>
      <c r="L76" s="102" t="str">
        <f>IF(VLOOKUP($P76,无限模式!$A$3:$X$22,10,FALSE)="","","Monster_Infinite_"&amp;P76&amp;"_2")</f>
        <v>Monster_Infinite_14_2</v>
      </c>
      <c r="M76" s="57">
        <f t="shared" si="24"/>
        <v>1</v>
      </c>
      <c r="O76" s="102">
        <f>IF(VLOOKUP($P76,无限模式!$A$3:$X$22,10,FALSE)="","",VLOOKUP($P76,无限模式!$A$3:$X$22,14,FALSE))</f>
        <v>20</v>
      </c>
      <c r="P76" s="110">
        <f t="shared" si="25"/>
        <v>14</v>
      </c>
      <c r="Q76" s="110">
        <v>2</v>
      </c>
    </row>
    <row r="77" spans="2:17" x14ac:dyDescent="0.2">
      <c r="D77" s="57" t="str">
        <f t="shared" si="26"/>
        <v/>
      </c>
      <c r="F77" s="57" t="str">
        <f t="shared" si="20"/>
        <v/>
      </c>
      <c r="G77" s="102" t="str">
        <f t="shared" si="21"/>
        <v/>
      </c>
      <c r="H77" s="57" t="str">
        <f t="shared" si="22"/>
        <v/>
      </c>
      <c r="I77" s="102" t="str">
        <f>IF(VLOOKUP($P77,无限模式!$A$3:$X$22,15,FALSE)="","",VLOOKUP(P77,无限模式!$A$3:$X$22,16,FALSE))</f>
        <v/>
      </c>
      <c r="J77" s="102" t="str">
        <f>IF(VLOOKUP($P77,无限模式!$A$3:$X$22,15,FALSE)="","",VLOOKUP($P77,无限模式!$A$3:$X$22,17,FALSE))</f>
        <v/>
      </c>
      <c r="K77" s="102" t="str">
        <f t="shared" si="23"/>
        <v/>
      </c>
      <c r="L77" s="102" t="str">
        <f>IF(VLOOKUP($P77,无限模式!$A$3:$X$22,15,FALSE)="","","Monster_Infinite_"&amp;P77&amp;"_3")</f>
        <v/>
      </c>
      <c r="M77" s="57" t="str">
        <f t="shared" si="24"/>
        <v/>
      </c>
      <c r="O77" s="102" t="str">
        <f>IF(VLOOKUP($P77,无限模式!$A$3:$X$22,15,FALSE)="","",VLOOKUP($P77,无限模式!$A$3:$X$22,19,FALSE))</f>
        <v/>
      </c>
      <c r="P77" s="110">
        <f t="shared" si="25"/>
        <v>14</v>
      </c>
      <c r="Q77" s="110">
        <v>3</v>
      </c>
    </row>
    <row r="78" spans="2:17" x14ac:dyDescent="0.2">
      <c r="D78" s="57" t="str">
        <f t="shared" si="26"/>
        <v/>
      </c>
      <c r="F78" s="57" t="str">
        <f t="shared" si="20"/>
        <v/>
      </c>
      <c r="G78" s="102" t="str">
        <f t="shared" si="21"/>
        <v/>
      </c>
      <c r="H78" s="57" t="str">
        <f t="shared" si="22"/>
        <v/>
      </c>
      <c r="I78" s="102" t="str">
        <f>IF(VLOOKUP($P78,无限模式!$A$3:$X$22,20,FALSE)="","",VLOOKUP($P78,无限模式!$A$3:$X$22,21,FALSE))</f>
        <v/>
      </c>
      <c r="J78" s="102" t="str">
        <f>IF(VLOOKUP($P78,无限模式!$A$3:$X$22,20,FALSE)="","",VLOOKUP($P78,无限模式!$A$3:$X$22,22,FALSE))</f>
        <v/>
      </c>
      <c r="K78" s="102" t="str">
        <f t="shared" si="23"/>
        <v/>
      </c>
      <c r="L78" s="102" t="str">
        <f>IF(VLOOKUP($P78,无限模式!$A$3:$X$22,20,FALSE)="","","Monster_Infinite_"&amp;P78&amp;"_4")</f>
        <v/>
      </c>
      <c r="M78" s="57" t="str">
        <f t="shared" si="24"/>
        <v/>
      </c>
      <c r="O78" s="102" t="str">
        <f>IF(VLOOKUP($P78,无限模式!$A$3:$X$22,20,FALSE)="","",VLOOKUP($P78,无限模式!$A$3:$X$22,24,FALSE))</f>
        <v/>
      </c>
      <c r="P78" s="110">
        <f t="shared" si="25"/>
        <v>14</v>
      </c>
      <c r="Q78" s="110">
        <v>4</v>
      </c>
    </row>
    <row r="79" spans="2:17" x14ac:dyDescent="0.2">
      <c r="B79" s="57" t="s">
        <v>452</v>
      </c>
      <c r="C79" s="57">
        <v>15</v>
      </c>
      <c r="D79" s="57" t="str">
        <f t="shared" si="26"/>
        <v>无限模式第15波</v>
      </c>
      <c r="F79" s="57">
        <f t="shared" si="20"/>
        <v>0</v>
      </c>
      <c r="G79" s="102">
        <f t="shared" si="21"/>
        <v>180</v>
      </c>
      <c r="H79" s="57">
        <f t="shared" si="22"/>
        <v>0</v>
      </c>
      <c r="I79" s="102">
        <f>IF(VLOOKUP($P79,无限模式!$A$3:$X$22,5,FALSE)="","",VLOOKUP($P79,无限模式!$A$3:$X$22,6,FALSE))</f>
        <v>48</v>
      </c>
      <c r="J79" s="102">
        <f>IF(VLOOKUP($P79,无限模式!$A$3:$X$22,5,FALSE)="","",VLOOKUP($P79,无限模式!$A$3:$X$22,7,FALSE))</f>
        <v>0.5</v>
      </c>
      <c r="K79" s="102">
        <f t="shared" si="23"/>
        <v>1</v>
      </c>
      <c r="L79" s="102" t="str">
        <f>IF(VLOOKUP($P79,无限模式!$A$3:$X$22,5,FALSE)="","","Monster_Infinite_"&amp;P79&amp;"_1")</f>
        <v>Monster_Infinite_15_1</v>
      </c>
      <c r="M79" s="57">
        <f t="shared" si="24"/>
        <v>1</v>
      </c>
      <c r="O79" s="102">
        <f>IF(VLOOKUP($P79,无限模式!$A$3:$X$22,5,FALSE)="","",VLOOKUP($P79,无限模式!$A$3:$X$22,9,FALSE))</f>
        <v>8</v>
      </c>
      <c r="P79" s="110">
        <f t="shared" si="25"/>
        <v>15</v>
      </c>
      <c r="Q79" s="110">
        <v>1</v>
      </c>
    </row>
    <row r="80" spans="2:17" x14ac:dyDescent="0.2">
      <c r="D80" s="57" t="str">
        <f t="shared" si="26"/>
        <v/>
      </c>
      <c r="F80" s="57" t="str">
        <f t="shared" si="20"/>
        <v/>
      </c>
      <c r="G80" s="102" t="str">
        <f t="shared" si="21"/>
        <v/>
      </c>
      <c r="H80" s="57">
        <f t="shared" si="22"/>
        <v>0</v>
      </c>
      <c r="I80" s="102">
        <f>IF(VLOOKUP($P80,无限模式!$A$3:$X$22,10,FALSE)="","",VLOOKUP($P80,无限模式!$A$3:$X$22,11,FALSE))</f>
        <v>12</v>
      </c>
      <c r="J80" s="102">
        <f>IF(VLOOKUP($P80,无限模式!$A$3:$X$22,10,FALSE)="","",VLOOKUP($P80,无限模式!$A$3:$X$22,12,FALSE))</f>
        <v>2</v>
      </c>
      <c r="K80" s="102">
        <f t="shared" si="23"/>
        <v>1</v>
      </c>
      <c r="L80" s="102" t="str">
        <f>IF(VLOOKUP($P80,无限模式!$A$3:$X$22,10,FALSE)="","","Monster_Infinite_"&amp;P80&amp;"_2")</f>
        <v>Monster_Infinite_15_2</v>
      </c>
      <c r="M80" s="57">
        <f t="shared" si="24"/>
        <v>1</v>
      </c>
      <c r="O80" s="102">
        <f>IF(VLOOKUP($P80,无限模式!$A$3:$X$22,10,FALSE)="","",VLOOKUP($P80,无限模式!$A$3:$X$22,14,FALSE))</f>
        <v>17</v>
      </c>
      <c r="P80" s="110">
        <f t="shared" si="25"/>
        <v>15</v>
      </c>
      <c r="Q80" s="110">
        <v>2</v>
      </c>
    </row>
    <row r="81" spans="2:17" x14ac:dyDescent="0.2">
      <c r="D81" s="57" t="str">
        <f t="shared" si="26"/>
        <v/>
      </c>
      <c r="F81" s="57" t="str">
        <f t="shared" si="20"/>
        <v/>
      </c>
      <c r="G81" s="102" t="str">
        <f t="shared" si="21"/>
        <v/>
      </c>
      <c r="H81" s="57" t="str">
        <f t="shared" si="22"/>
        <v/>
      </c>
      <c r="I81" s="102" t="str">
        <f>IF(VLOOKUP($P81,无限模式!$A$3:$X$22,15,FALSE)="","",VLOOKUP(P81,无限模式!$A$3:$X$22,16,FALSE))</f>
        <v/>
      </c>
      <c r="J81" s="102" t="str">
        <f>IF(VLOOKUP($P81,无限模式!$A$3:$X$22,15,FALSE)="","",VLOOKUP($P81,无限模式!$A$3:$X$22,17,FALSE))</f>
        <v/>
      </c>
      <c r="K81" s="102" t="str">
        <f t="shared" si="23"/>
        <v/>
      </c>
      <c r="L81" s="102" t="str">
        <f>IF(VLOOKUP($P81,无限模式!$A$3:$X$22,15,FALSE)="","","Monster_Infinite_"&amp;P81&amp;"_3")</f>
        <v/>
      </c>
      <c r="M81" s="57" t="str">
        <f t="shared" si="24"/>
        <v/>
      </c>
      <c r="O81" s="102" t="str">
        <f>IF(VLOOKUP($P81,无限模式!$A$3:$X$22,15,FALSE)="","",VLOOKUP($P81,无限模式!$A$3:$X$22,19,FALSE))</f>
        <v/>
      </c>
      <c r="P81" s="110">
        <f t="shared" si="25"/>
        <v>15</v>
      </c>
      <c r="Q81" s="110">
        <v>3</v>
      </c>
    </row>
    <row r="82" spans="2:17" x14ac:dyDescent="0.2">
      <c r="D82" s="57" t="str">
        <f t="shared" si="26"/>
        <v/>
      </c>
      <c r="F82" s="57" t="str">
        <f t="shared" si="20"/>
        <v/>
      </c>
      <c r="G82" s="102" t="str">
        <f t="shared" si="21"/>
        <v/>
      </c>
      <c r="H82" s="57" t="str">
        <f t="shared" si="22"/>
        <v/>
      </c>
      <c r="I82" s="102" t="str">
        <f>IF(VLOOKUP($P82,无限模式!$A$3:$X$22,20,FALSE)="","",VLOOKUP($P82,无限模式!$A$3:$X$22,21,FALSE))</f>
        <v/>
      </c>
      <c r="J82" s="102" t="str">
        <f>IF(VLOOKUP($P82,无限模式!$A$3:$X$22,20,FALSE)="","",VLOOKUP($P82,无限模式!$A$3:$X$22,22,FALSE))</f>
        <v/>
      </c>
      <c r="K82" s="102" t="str">
        <f t="shared" si="23"/>
        <v/>
      </c>
      <c r="L82" s="102" t="str">
        <f>IF(VLOOKUP($P82,无限模式!$A$3:$X$22,20,FALSE)="","","Monster_Infinite_"&amp;P82&amp;"_4")</f>
        <v/>
      </c>
      <c r="M82" s="57" t="str">
        <f t="shared" si="24"/>
        <v/>
      </c>
      <c r="O82" s="102" t="str">
        <f>IF(VLOOKUP($P82,无限模式!$A$3:$X$22,20,FALSE)="","",VLOOKUP($P82,无限模式!$A$3:$X$22,24,FALSE))</f>
        <v/>
      </c>
      <c r="P82" s="110">
        <f t="shared" si="25"/>
        <v>15</v>
      </c>
      <c r="Q82" s="110">
        <v>4</v>
      </c>
    </row>
    <row r="83" spans="2:17" x14ac:dyDescent="0.2">
      <c r="B83" s="57" t="s">
        <v>452</v>
      </c>
      <c r="C83" s="57">
        <v>16</v>
      </c>
      <c r="D83" s="57" t="str">
        <f t="shared" si="26"/>
        <v>无限模式第16波</v>
      </c>
      <c r="F83" s="57">
        <f t="shared" si="20"/>
        <v>0</v>
      </c>
      <c r="G83" s="102">
        <f t="shared" si="21"/>
        <v>180</v>
      </c>
      <c r="H83" s="57">
        <f t="shared" si="22"/>
        <v>0</v>
      </c>
      <c r="I83" s="102">
        <f>IF(VLOOKUP($P83,无限模式!$A$3:$X$22,5,FALSE)="","",VLOOKUP($P83,无限模式!$A$3:$X$22,6,FALSE))</f>
        <v>125</v>
      </c>
      <c r="J83" s="102">
        <f>IF(VLOOKUP($P83,无限模式!$A$3:$X$22,5,FALSE)="","",VLOOKUP($P83,无限模式!$A$3:$X$22,7,FALSE))</f>
        <v>0.2</v>
      </c>
      <c r="K83" s="102">
        <f t="shared" si="23"/>
        <v>1</v>
      </c>
      <c r="L83" s="102" t="str">
        <f>IF(VLOOKUP($P83,无限模式!$A$3:$X$22,5,FALSE)="","","Monster_Infinite_"&amp;P83&amp;"_1")</f>
        <v>Monster_Infinite_16_1</v>
      </c>
      <c r="M83" s="57">
        <f t="shared" si="24"/>
        <v>1</v>
      </c>
      <c r="O83" s="102">
        <f>IF(VLOOKUP($P83,无限模式!$A$3:$X$22,5,FALSE)="","",VLOOKUP($P83,无限模式!$A$3:$X$22,9,FALSE))</f>
        <v>4</v>
      </c>
      <c r="P83" s="110">
        <f t="shared" si="25"/>
        <v>16</v>
      </c>
      <c r="Q83" s="110">
        <v>1</v>
      </c>
    </row>
    <row r="84" spans="2:17" x14ac:dyDescent="0.2">
      <c r="D84" s="57" t="str">
        <f t="shared" si="26"/>
        <v/>
      </c>
      <c r="F84" s="57" t="str">
        <f t="shared" si="20"/>
        <v/>
      </c>
      <c r="G84" s="102" t="str">
        <f t="shared" si="21"/>
        <v/>
      </c>
      <c r="H84" s="57">
        <f t="shared" si="22"/>
        <v>0</v>
      </c>
      <c r="I84" s="102">
        <f>IF(VLOOKUP($P84,无限模式!$A$3:$X$22,10,FALSE)="","",VLOOKUP($P84,无限模式!$A$3:$X$22,11,FALSE))</f>
        <v>1</v>
      </c>
      <c r="J84" s="102">
        <f>IF(VLOOKUP($P84,无限模式!$A$3:$X$22,10,FALSE)="","",VLOOKUP($P84,无限模式!$A$3:$X$22,12,FALSE))</f>
        <v>0</v>
      </c>
      <c r="K84" s="102">
        <f t="shared" si="23"/>
        <v>1</v>
      </c>
      <c r="L84" s="102" t="str">
        <f>IF(VLOOKUP($P84,无限模式!$A$3:$X$22,10,FALSE)="","","Monster_Infinite_"&amp;P84&amp;"_2")</f>
        <v>Monster_Infinite_16_2</v>
      </c>
      <c r="M84" s="57">
        <f t="shared" si="24"/>
        <v>1</v>
      </c>
      <c r="O84" s="102">
        <f>IF(VLOOKUP($P84,无限模式!$A$3:$X$22,10,FALSE)="","",VLOOKUP($P84,无限模式!$A$3:$X$22,14,FALSE))</f>
        <v>44</v>
      </c>
      <c r="P84" s="110">
        <f t="shared" si="25"/>
        <v>16</v>
      </c>
      <c r="Q84" s="110">
        <v>2</v>
      </c>
    </row>
    <row r="85" spans="2:17" x14ac:dyDescent="0.2">
      <c r="D85" s="57" t="str">
        <f t="shared" si="26"/>
        <v/>
      </c>
      <c r="F85" s="57" t="str">
        <f t="shared" si="20"/>
        <v/>
      </c>
      <c r="G85" s="102" t="str">
        <f t="shared" si="21"/>
        <v/>
      </c>
      <c r="H85" s="57" t="str">
        <f t="shared" si="22"/>
        <v/>
      </c>
      <c r="I85" s="102" t="str">
        <f>IF(VLOOKUP($P85,无限模式!$A$3:$X$22,15,FALSE)="","",VLOOKUP(P85,无限模式!$A$3:$X$22,16,FALSE))</f>
        <v/>
      </c>
      <c r="J85" s="102" t="str">
        <f>IF(VLOOKUP($P85,无限模式!$A$3:$X$22,15,FALSE)="","",VLOOKUP($P85,无限模式!$A$3:$X$22,17,FALSE))</f>
        <v/>
      </c>
      <c r="K85" s="102" t="str">
        <f t="shared" si="23"/>
        <v/>
      </c>
      <c r="L85" s="102" t="str">
        <f>IF(VLOOKUP($P85,无限模式!$A$3:$X$22,15,FALSE)="","","Monster_Infinite_"&amp;P85&amp;"_3")</f>
        <v/>
      </c>
      <c r="M85" s="57" t="str">
        <f t="shared" si="24"/>
        <v/>
      </c>
      <c r="O85" s="102" t="str">
        <f>IF(VLOOKUP($P85,无限模式!$A$3:$X$22,15,FALSE)="","",VLOOKUP($P85,无限模式!$A$3:$X$22,19,FALSE))</f>
        <v/>
      </c>
      <c r="P85" s="110">
        <f t="shared" si="25"/>
        <v>16</v>
      </c>
      <c r="Q85" s="110">
        <v>3</v>
      </c>
    </row>
    <row r="86" spans="2:17" x14ac:dyDescent="0.2">
      <c r="D86" s="57" t="str">
        <f t="shared" si="26"/>
        <v/>
      </c>
      <c r="F86" s="57" t="str">
        <f t="shared" si="20"/>
        <v/>
      </c>
      <c r="G86" s="102" t="str">
        <f t="shared" si="21"/>
        <v/>
      </c>
      <c r="H86" s="57" t="str">
        <f t="shared" si="22"/>
        <v/>
      </c>
      <c r="I86" s="102" t="str">
        <f>IF(VLOOKUP($P86,无限模式!$A$3:$X$22,20,FALSE)="","",VLOOKUP($P86,无限模式!$A$3:$X$22,21,FALSE))</f>
        <v/>
      </c>
      <c r="J86" s="102" t="str">
        <f>IF(VLOOKUP($P86,无限模式!$A$3:$X$22,20,FALSE)="","",VLOOKUP($P86,无限模式!$A$3:$X$22,22,FALSE))</f>
        <v/>
      </c>
      <c r="K86" s="102" t="str">
        <f t="shared" si="23"/>
        <v/>
      </c>
      <c r="L86" s="102" t="str">
        <f>IF(VLOOKUP($P86,无限模式!$A$3:$X$22,20,FALSE)="","","Monster_Infinite_"&amp;P86&amp;"_4")</f>
        <v/>
      </c>
      <c r="M86" s="57" t="str">
        <f t="shared" si="24"/>
        <v/>
      </c>
      <c r="O86" s="102" t="str">
        <f>IF(VLOOKUP($P86,无限模式!$A$3:$X$22,20,FALSE)="","",VLOOKUP($P86,无限模式!$A$3:$X$22,24,FALSE))</f>
        <v/>
      </c>
      <c r="P86" s="110">
        <f t="shared" si="25"/>
        <v>16</v>
      </c>
      <c r="Q86" s="110">
        <v>4</v>
      </c>
    </row>
    <row r="87" spans="2:17" x14ac:dyDescent="0.2">
      <c r="B87" s="57" t="s">
        <v>452</v>
      </c>
      <c r="C87" s="57">
        <v>17</v>
      </c>
      <c r="D87" s="57" t="str">
        <f t="shared" ref="D87:D102" si="27">IF(C87="","","无限模式第"&amp;C87&amp;"波")</f>
        <v>无限模式第17波</v>
      </c>
      <c r="F87" s="57">
        <f t="shared" si="20"/>
        <v>0</v>
      </c>
      <c r="G87" s="102">
        <f t="shared" si="21"/>
        <v>180</v>
      </c>
      <c r="H87" s="57">
        <f t="shared" si="22"/>
        <v>0</v>
      </c>
      <c r="I87" s="102">
        <f>IF(VLOOKUP($P87,无限模式!$A$3:$X$22,5,FALSE)="","",VLOOKUP($P87,无限模式!$A$3:$X$22,6,FALSE))</f>
        <v>35</v>
      </c>
      <c r="J87" s="102">
        <f>IF(VLOOKUP($P87,无限模式!$A$3:$X$22,5,FALSE)="","",VLOOKUP($P87,无限模式!$A$3:$X$22,7,FALSE))</f>
        <v>0.75</v>
      </c>
      <c r="K87" s="102">
        <f t="shared" si="23"/>
        <v>1</v>
      </c>
      <c r="L87" s="102" t="str">
        <f>IF(VLOOKUP($P87,无限模式!$A$3:$X$22,5,FALSE)="","","Monster_Infinite_"&amp;P87&amp;"_1")</f>
        <v>Monster_Infinite_17_1</v>
      </c>
      <c r="M87" s="57">
        <f t="shared" si="24"/>
        <v>1</v>
      </c>
      <c r="O87" s="102">
        <f>IF(VLOOKUP($P87,无限模式!$A$3:$X$22,5,FALSE)="","",VLOOKUP($P87,无限模式!$A$3:$X$22,9,FALSE))</f>
        <v>14</v>
      </c>
      <c r="P87" s="110">
        <f t="shared" si="25"/>
        <v>17</v>
      </c>
      <c r="Q87" s="110">
        <v>1</v>
      </c>
    </row>
    <row r="88" spans="2:17" x14ac:dyDescent="0.2">
      <c r="D88" s="57" t="str">
        <f t="shared" si="27"/>
        <v/>
      </c>
      <c r="F88" s="57" t="str">
        <f t="shared" ref="F88:F151" si="28">IF(C88="","",0)</f>
        <v/>
      </c>
      <c r="G88" s="102" t="str">
        <f t="shared" ref="G88:G102" si="29">IF(C88="","",180)</f>
        <v/>
      </c>
      <c r="H88" s="57">
        <f t="shared" ref="H88:H102" si="30">IF(I88="","",0)</f>
        <v>0</v>
      </c>
      <c r="I88" s="102">
        <f>IF(VLOOKUP($P88,无限模式!$A$3:$X$22,10,FALSE)="","",VLOOKUP($P88,无限模式!$A$3:$X$22,11,FALSE))</f>
        <v>9</v>
      </c>
      <c r="J88" s="102">
        <f>IF(VLOOKUP($P88,无限模式!$A$3:$X$22,10,FALSE)="","",VLOOKUP($P88,无限模式!$A$3:$X$22,12,FALSE))</f>
        <v>3</v>
      </c>
      <c r="K88" s="102">
        <f t="shared" ref="K88:K151" si="31">IF(I88="","",1)</f>
        <v>1</v>
      </c>
      <c r="L88" s="102" t="str">
        <f>IF(VLOOKUP($P88,无限模式!$A$3:$X$22,10,FALSE)="","","Monster_Infinite_"&amp;P88&amp;"_2")</f>
        <v>Monster_Infinite_17_2</v>
      </c>
      <c r="M88" s="57">
        <f t="shared" ref="M88:M151" si="32">IF(I88="","",1)</f>
        <v>1</v>
      </c>
      <c r="O88" s="102">
        <f>IF(VLOOKUP($P88,无限模式!$A$3:$X$22,10,FALSE)="","",VLOOKUP($P88,无限模式!$A$3:$X$22,14,FALSE))</f>
        <v>14</v>
      </c>
      <c r="P88" s="110">
        <f t="shared" ref="P88:P102" si="33">IF(C88="",P87,C88)</f>
        <v>17</v>
      </c>
      <c r="Q88" s="110">
        <v>2</v>
      </c>
    </row>
    <row r="89" spans="2:17" x14ac:dyDescent="0.2">
      <c r="D89" s="57" t="str">
        <f t="shared" si="27"/>
        <v/>
      </c>
      <c r="F89" s="57" t="str">
        <f t="shared" si="28"/>
        <v/>
      </c>
      <c r="G89" s="102" t="str">
        <f t="shared" si="29"/>
        <v/>
      </c>
      <c r="H89" s="57" t="str">
        <f t="shared" si="30"/>
        <v/>
      </c>
      <c r="I89" s="102" t="str">
        <f>IF(VLOOKUP($P89,无限模式!$A$3:$X$22,15,FALSE)="","",VLOOKUP(P89,无限模式!$A$3:$X$22,16,FALSE))</f>
        <v/>
      </c>
      <c r="J89" s="102" t="str">
        <f>IF(VLOOKUP($P89,无限模式!$A$3:$X$22,15,FALSE)="","",VLOOKUP($P89,无限模式!$A$3:$X$22,17,FALSE))</f>
        <v/>
      </c>
      <c r="K89" s="102" t="str">
        <f t="shared" si="31"/>
        <v/>
      </c>
      <c r="L89" s="102" t="str">
        <f>IF(VLOOKUP($P89,无限模式!$A$3:$X$22,15,FALSE)="","","Monster_Infinite_"&amp;P89&amp;"_3")</f>
        <v/>
      </c>
      <c r="M89" s="57" t="str">
        <f t="shared" si="32"/>
        <v/>
      </c>
      <c r="O89" s="102" t="str">
        <f>IF(VLOOKUP($P89,无限模式!$A$3:$X$22,15,FALSE)="","",VLOOKUP($P89,无限模式!$A$3:$X$22,19,FALSE))</f>
        <v/>
      </c>
      <c r="P89" s="110">
        <f t="shared" si="33"/>
        <v>17</v>
      </c>
      <c r="Q89" s="110">
        <v>3</v>
      </c>
    </row>
    <row r="90" spans="2:17" x14ac:dyDescent="0.2">
      <c r="D90" s="57" t="str">
        <f t="shared" si="27"/>
        <v/>
      </c>
      <c r="F90" s="57" t="str">
        <f t="shared" si="28"/>
        <v/>
      </c>
      <c r="G90" s="102" t="str">
        <f t="shared" si="29"/>
        <v/>
      </c>
      <c r="H90" s="57" t="str">
        <f t="shared" si="30"/>
        <v/>
      </c>
      <c r="I90" s="102" t="str">
        <f>IF(VLOOKUP($P90,无限模式!$A$3:$X$22,20,FALSE)="","",VLOOKUP($P90,无限模式!$A$3:$X$22,21,FALSE))</f>
        <v/>
      </c>
      <c r="J90" s="102" t="str">
        <f>IF(VLOOKUP($P90,无限模式!$A$3:$X$22,20,FALSE)="","",VLOOKUP($P90,无限模式!$A$3:$X$22,22,FALSE))</f>
        <v/>
      </c>
      <c r="K90" s="102" t="str">
        <f t="shared" si="31"/>
        <v/>
      </c>
      <c r="L90" s="102" t="str">
        <f>IF(VLOOKUP($P90,无限模式!$A$3:$X$22,20,FALSE)="","","Monster_Infinite_"&amp;P90&amp;"_4")</f>
        <v/>
      </c>
      <c r="M90" s="57" t="str">
        <f t="shared" si="32"/>
        <v/>
      </c>
      <c r="O90" s="102" t="str">
        <f>IF(VLOOKUP($P90,无限模式!$A$3:$X$22,20,FALSE)="","",VLOOKUP($P90,无限模式!$A$3:$X$22,24,FALSE))</f>
        <v/>
      </c>
      <c r="P90" s="110">
        <f t="shared" si="33"/>
        <v>17</v>
      </c>
      <c r="Q90" s="110">
        <v>4</v>
      </c>
    </row>
    <row r="91" spans="2:17" x14ac:dyDescent="0.2">
      <c r="B91" s="57" t="s">
        <v>452</v>
      </c>
      <c r="C91" s="57">
        <v>18</v>
      </c>
      <c r="D91" s="57" t="str">
        <f t="shared" si="27"/>
        <v>无限模式第18波</v>
      </c>
      <c r="F91" s="57">
        <f t="shared" si="28"/>
        <v>0</v>
      </c>
      <c r="G91" s="102">
        <f t="shared" si="29"/>
        <v>180</v>
      </c>
      <c r="H91" s="57">
        <f t="shared" si="30"/>
        <v>0</v>
      </c>
      <c r="I91" s="102">
        <f>IF(VLOOKUP($P91,无限模式!$A$3:$X$22,5,FALSE)="","",VLOOKUP($P91,无限模式!$A$3:$X$22,6,FALSE))</f>
        <v>18</v>
      </c>
      <c r="J91" s="102">
        <f>IF(VLOOKUP($P91,无限模式!$A$3:$X$22,5,FALSE)="","",VLOOKUP($P91,无限模式!$A$3:$X$22,7,FALSE))</f>
        <v>1.5</v>
      </c>
      <c r="K91" s="102">
        <f t="shared" si="31"/>
        <v>1</v>
      </c>
      <c r="L91" s="102" t="str">
        <f>IF(VLOOKUP($P91,无限模式!$A$3:$X$22,5,FALSE)="","","Monster_Infinite_"&amp;P91&amp;"_1")</f>
        <v>Monster_Infinite_18_1</v>
      </c>
      <c r="M91" s="57">
        <f t="shared" si="32"/>
        <v>1</v>
      </c>
      <c r="O91" s="102">
        <f>IF(VLOOKUP($P91,无限模式!$A$3:$X$22,5,FALSE)="","",VLOOKUP($P91,无限模式!$A$3:$X$22,9,FALSE))</f>
        <v>17</v>
      </c>
      <c r="P91" s="110">
        <f t="shared" si="33"/>
        <v>18</v>
      </c>
      <c r="Q91" s="110">
        <v>1</v>
      </c>
    </row>
    <row r="92" spans="2:17" x14ac:dyDescent="0.2">
      <c r="D92" s="57" t="str">
        <f t="shared" si="27"/>
        <v/>
      </c>
      <c r="F92" s="57" t="str">
        <f t="shared" si="28"/>
        <v/>
      </c>
      <c r="G92" s="102" t="str">
        <f t="shared" si="29"/>
        <v/>
      </c>
      <c r="H92" s="57">
        <f t="shared" si="30"/>
        <v>0</v>
      </c>
      <c r="I92" s="102">
        <f>IF(VLOOKUP($P92,无限模式!$A$3:$X$22,10,FALSE)="","",VLOOKUP($P92,无限模式!$A$3:$X$22,11,FALSE))</f>
        <v>36</v>
      </c>
      <c r="J92" s="102">
        <f>IF(VLOOKUP($P92,无限模式!$A$3:$X$22,10,FALSE)="","",VLOOKUP($P92,无限模式!$A$3:$X$22,12,FALSE))</f>
        <v>0.75</v>
      </c>
      <c r="K92" s="102">
        <f t="shared" si="31"/>
        <v>1</v>
      </c>
      <c r="L92" s="102" t="str">
        <f>IF(VLOOKUP($P92,无限模式!$A$3:$X$22,10,FALSE)="","","Monster_Infinite_"&amp;P92&amp;"_2")</f>
        <v>Monster_Infinite_18_2</v>
      </c>
      <c r="M92" s="57">
        <f t="shared" si="32"/>
        <v>1</v>
      </c>
      <c r="O92" s="102">
        <f>IF(VLOOKUP($P92,无限模式!$A$3:$X$22,10,FALSE)="","",VLOOKUP($P92,无限模式!$A$3:$X$22,14,FALSE))</f>
        <v>8</v>
      </c>
      <c r="P92" s="110">
        <f t="shared" si="33"/>
        <v>18</v>
      </c>
      <c r="Q92" s="110">
        <v>2</v>
      </c>
    </row>
    <row r="93" spans="2:17" x14ac:dyDescent="0.2">
      <c r="D93" s="57" t="str">
        <f t="shared" si="27"/>
        <v/>
      </c>
      <c r="F93" s="57" t="str">
        <f t="shared" si="28"/>
        <v/>
      </c>
      <c r="G93" s="102" t="str">
        <f t="shared" si="29"/>
        <v/>
      </c>
      <c r="H93" s="57" t="str">
        <f t="shared" si="30"/>
        <v/>
      </c>
      <c r="I93" s="102" t="str">
        <f>IF(VLOOKUP($P93,无限模式!$A$3:$X$22,15,FALSE)="","",VLOOKUP(P93,无限模式!$A$3:$X$22,16,FALSE))</f>
        <v/>
      </c>
      <c r="J93" s="102" t="str">
        <f>IF(VLOOKUP($P93,无限模式!$A$3:$X$22,15,FALSE)="","",VLOOKUP($P93,无限模式!$A$3:$X$22,17,FALSE))</f>
        <v/>
      </c>
      <c r="K93" s="102" t="str">
        <f t="shared" si="31"/>
        <v/>
      </c>
      <c r="L93" s="102" t="str">
        <f>IF(VLOOKUP($P93,无限模式!$A$3:$X$22,15,FALSE)="","","Monster_Infinite_"&amp;P93&amp;"_3")</f>
        <v/>
      </c>
      <c r="M93" s="57" t="str">
        <f t="shared" si="32"/>
        <v/>
      </c>
      <c r="O93" s="102" t="str">
        <f>IF(VLOOKUP($P93,无限模式!$A$3:$X$22,15,FALSE)="","",VLOOKUP($P93,无限模式!$A$3:$X$22,19,FALSE))</f>
        <v/>
      </c>
      <c r="P93" s="110">
        <f t="shared" si="33"/>
        <v>18</v>
      </c>
      <c r="Q93" s="110">
        <v>3</v>
      </c>
    </row>
    <row r="94" spans="2:17" x14ac:dyDescent="0.2">
      <c r="D94" s="57" t="str">
        <f t="shared" si="27"/>
        <v/>
      </c>
      <c r="F94" s="57" t="str">
        <f t="shared" si="28"/>
        <v/>
      </c>
      <c r="G94" s="102" t="str">
        <f t="shared" si="29"/>
        <v/>
      </c>
      <c r="H94" s="57" t="str">
        <f t="shared" si="30"/>
        <v/>
      </c>
      <c r="I94" s="102" t="str">
        <f>IF(VLOOKUP($P94,无限模式!$A$3:$X$22,20,FALSE)="","",VLOOKUP($P94,无限模式!$A$3:$X$22,21,FALSE))</f>
        <v/>
      </c>
      <c r="J94" s="102" t="str">
        <f>IF(VLOOKUP($P94,无限模式!$A$3:$X$22,20,FALSE)="","",VLOOKUP($P94,无限模式!$A$3:$X$22,22,FALSE))</f>
        <v/>
      </c>
      <c r="K94" s="102" t="str">
        <f t="shared" si="31"/>
        <v/>
      </c>
      <c r="L94" s="102" t="str">
        <f>IF(VLOOKUP($P94,无限模式!$A$3:$X$22,20,FALSE)="","","Monster_Infinite_"&amp;P94&amp;"_4")</f>
        <v/>
      </c>
      <c r="M94" s="57" t="str">
        <f t="shared" si="32"/>
        <v/>
      </c>
      <c r="O94" s="102" t="str">
        <f>IF(VLOOKUP($P94,无限模式!$A$3:$X$22,20,FALSE)="","",VLOOKUP($P94,无限模式!$A$3:$X$22,24,FALSE))</f>
        <v/>
      </c>
      <c r="P94" s="110">
        <f t="shared" si="33"/>
        <v>18</v>
      </c>
      <c r="Q94" s="110">
        <v>4</v>
      </c>
    </row>
    <row r="95" spans="2:17" x14ac:dyDescent="0.2">
      <c r="B95" s="57" t="s">
        <v>452</v>
      </c>
      <c r="C95" s="57">
        <v>19</v>
      </c>
      <c r="D95" s="57" t="str">
        <f t="shared" si="27"/>
        <v>无限模式第19波</v>
      </c>
      <c r="F95" s="57">
        <f t="shared" si="28"/>
        <v>0</v>
      </c>
      <c r="G95" s="102">
        <f t="shared" si="29"/>
        <v>180</v>
      </c>
      <c r="H95" s="57">
        <f t="shared" si="30"/>
        <v>0</v>
      </c>
      <c r="I95" s="102">
        <f>IF(VLOOKUP($P95,无限模式!$A$3:$X$22,5,FALSE)="","",VLOOKUP($P95,无限模式!$A$3:$X$22,6,FALSE))</f>
        <v>19</v>
      </c>
      <c r="J95" s="102">
        <f>IF(VLOOKUP($P95,无限模式!$A$3:$X$22,5,FALSE)="","",VLOOKUP($P95,无限模式!$A$3:$X$22,7,FALSE))</f>
        <v>1.5</v>
      </c>
      <c r="K95" s="102">
        <f t="shared" si="31"/>
        <v>1</v>
      </c>
      <c r="L95" s="102" t="str">
        <f>IF(VLOOKUP($P95,无限模式!$A$3:$X$22,5,FALSE)="","","Monster_Infinite_"&amp;P95&amp;"_1")</f>
        <v>Monster_Infinite_19_1</v>
      </c>
      <c r="M95" s="57">
        <f t="shared" si="32"/>
        <v>1</v>
      </c>
      <c r="O95" s="102">
        <f>IF(VLOOKUP($P95,无限模式!$A$3:$X$22,5,FALSE)="","",VLOOKUP($P95,无限模式!$A$3:$X$22,9,FALSE))</f>
        <v>12</v>
      </c>
      <c r="P95" s="110">
        <f t="shared" si="33"/>
        <v>19</v>
      </c>
      <c r="Q95" s="110">
        <v>1</v>
      </c>
    </row>
    <row r="96" spans="2:17" x14ac:dyDescent="0.2">
      <c r="D96" s="57" t="str">
        <f t="shared" si="27"/>
        <v/>
      </c>
      <c r="F96" s="57" t="str">
        <f t="shared" si="28"/>
        <v/>
      </c>
      <c r="G96" s="102" t="str">
        <f t="shared" si="29"/>
        <v/>
      </c>
      <c r="H96" s="57">
        <f t="shared" si="30"/>
        <v>0</v>
      </c>
      <c r="I96" s="102">
        <f>IF(VLOOKUP($P96,无限模式!$A$3:$X$22,10,FALSE)="","",VLOOKUP($P96,无限模式!$A$3:$X$22,11,FALSE))</f>
        <v>37</v>
      </c>
      <c r="J96" s="102">
        <f>IF(VLOOKUP($P96,无限模式!$A$3:$X$22,10,FALSE)="","",VLOOKUP($P96,无限模式!$A$3:$X$22,12,FALSE))</f>
        <v>0.75</v>
      </c>
      <c r="K96" s="102">
        <f t="shared" si="31"/>
        <v>1</v>
      </c>
      <c r="L96" s="102" t="str">
        <f>IF(VLOOKUP($P96,无限模式!$A$3:$X$22,10,FALSE)="","","Monster_Infinite_"&amp;P96&amp;"_2")</f>
        <v>Monster_Infinite_19_2</v>
      </c>
      <c r="M96" s="57">
        <f t="shared" si="32"/>
        <v>1</v>
      </c>
      <c r="O96" s="102">
        <f>IF(VLOOKUP($P96,无限模式!$A$3:$X$22,10,FALSE)="","",VLOOKUP($P96,无限模式!$A$3:$X$22,14,FALSE))</f>
        <v>6</v>
      </c>
      <c r="P96" s="110">
        <f t="shared" si="33"/>
        <v>19</v>
      </c>
      <c r="Q96" s="110">
        <v>2</v>
      </c>
    </row>
    <row r="97" spans="2:18" x14ac:dyDescent="0.2">
      <c r="D97" s="57" t="str">
        <f t="shared" si="27"/>
        <v/>
      </c>
      <c r="F97" s="57" t="str">
        <f t="shared" si="28"/>
        <v/>
      </c>
      <c r="G97" s="102" t="str">
        <f t="shared" si="29"/>
        <v/>
      </c>
      <c r="H97" s="57">
        <f t="shared" si="30"/>
        <v>0</v>
      </c>
      <c r="I97" s="102">
        <f>IF(VLOOKUP($P97,无限模式!$A$3:$X$22,15,FALSE)="","",VLOOKUP(P97,无限模式!$A$3:$X$22,16,FALSE))</f>
        <v>14</v>
      </c>
      <c r="J97" s="102">
        <f>IF(VLOOKUP($P97,无限模式!$A$3:$X$22,15,FALSE)="","",VLOOKUP($P97,无限模式!$A$3:$X$22,17,FALSE))</f>
        <v>2</v>
      </c>
      <c r="K97" s="102">
        <f t="shared" si="31"/>
        <v>1</v>
      </c>
      <c r="L97" s="102" t="str">
        <f>IF(VLOOKUP($P97,无限模式!$A$3:$X$22,15,FALSE)="","","Monster_Infinite_"&amp;P97&amp;"_3")</f>
        <v>Monster_Infinite_19_3</v>
      </c>
      <c r="M97" s="57">
        <f t="shared" si="32"/>
        <v>1</v>
      </c>
      <c r="O97" s="102">
        <f>IF(VLOOKUP($P97,无限模式!$A$3:$X$22,15,FALSE)="","",VLOOKUP($P97,无限模式!$A$3:$X$22,19,FALSE))</f>
        <v>12</v>
      </c>
      <c r="P97" s="110">
        <f t="shared" si="33"/>
        <v>19</v>
      </c>
      <c r="Q97" s="110">
        <v>3</v>
      </c>
    </row>
    <row r="98" spans="2:18" x14ac:dyDescent="0.2">
      <c r="D98" s="57" t="str">
        <f t="shared" si="27"/>
        <v/>
      </c>
      <c r="F98" s="57" t="str">
        <f t="shared" si="28"/>
        <v/>
      </c>
      <c r="G98" s="102" t="str">
        <f t="shared" si="29"/>
        <v/>
      </c>
      <c r="H98" s="57" t="str">
        <f t="shared" si="30"/>
        <v/>
      </c>
      <c r="I98" s="102" t="str">
        <f>IF(VLOOKUP($P98,无限模式!$A$3:$X$22,20,FALSE)="","",VLOOKUP($P98,无限模式!$A$3:$X$22,21,FALSE))</f>
        <v/>
      </c>
      <c r="J98" s="102" t="str">
        <f>IF(VLOOKUP($P98,无限模式!$A$3:$X$22,20,FALSE)="","",VLOOKUP($P98,无限模式!$A$3:$X$22,22,FALSE))</f>
        <v/>
      </c>
      <c r="K98" s="102" t="str">
        <f t="shared" si="31"/>
        <v/>
      </c>
      <c r="L98" s="102" t="str">
        <f>IF(VLOOKUP($P98,无限模式!$A$3:$X$22,20,FALSE)="","","Monster_Infinite_"&amp;P98&amp;"_4")</f>
        <v/>
      </c>
      <c r="M98" s="57" t="str">
        <f t="shared" si="32"/>
        <v/>
      </c>
      <c r="O98" s="102" t="str">
        <f>IF(VLOOKUP($P98,无限模式!$A$3:$X$22,20,FALSE)="","",VLOOKUP($P98,无限模式!$A$3:$X$22,24,FALSE))</f>
        <v/>
      </c>
      <c r="P98" s="110">
        <f t="shared" si="33"/>
        <v>19</v>
      </c>
      <c r="Q98" s="110">
        <v>4</v>
      </c>
    </row>
    <row r="99" spans="2:18" x14ac:dyDescent="0.2">
      <c r="B99" s="57" t="s">
        <v>452</v>
      </c>
      <c r="C99" s="57">
        <v>20</v>
      </c>
      <c r="D99" s="57" t="str">
        <f t="shared" si="27"/>
        <v>无限模式第20波</v>
      </c>
      <c r="F99" s="57">
        <f t="shared" si="28"/>
        <v>0</v>
      </c>
      <c r="G99" s="102">
        <f t="shared" si="29"/>
        <v>180</v>
      </c>
      <c r="H99" s="57">
        <f t="shared" si="30"/>
        <v>0</v>
      </c>
      <c r="I99" s="102">
        <f>IF(VLOOKUP($P99,无限模式!$A$3:$X$22,5,FALSE)="","",VLOOKUP($P99,无限模式!$A$3:$X$22,6,FALSE))</f>
        <v>19</v>
      </c>
      <c r="J99" s="102">
        <f>IF(VLOOKUP($P99,无限模式!$A$3:$X$22,5,FALSE)="","",VLOOKUP($P99,无限模式!$A$3:$X$22,7,FALSE))</f>
        <v>1.5</v>
      </c>
      <c r="K99" s="102">
        <f t="shared" si="31"/>
        <v>1</v>
      </c>
      <c r="L99" s="102" t="str">
        <f>IF(VLOOKUP($P99,无限模式!$A$3:$X$22,5,FALSE)="","","Monster_Infinite_"&amp;P99&amp;"_1")</f>
        <v>Monster_Infinite_20_1</v>
      </c>
      <c r="M99" s="57">
        <f t="shared" si="32"/>
        <v>1</v>
      </c>
      <c r="O99" s="102">
        <f>IF(VLOOKUP($P99,无限模式!$A$3:$X$22,5,FALSE)="","",VLOOKUP($P99,无限模式!$A$3:$X$22,9,FALSE))</f>
        <v>7</v>
      </c>
      <c r="P99" s="110">
        <f t="shared" si="33"/>
        <v>20</v>
      </c>
      <c r="Q99" s="110">
        <v>1</v>
      </c>
    </row>
    <row r="100" spans="2:18" x14ac:dyDescent="0.2">
      <c r="D100" s="57" t="str">
        <f t="shared" si="27"/>
        <v/>
      </c>
      <c r="F100" s="57" t="str">
        <f t="shared" si="28"/>
        <v/>
      </c>
      <c r="G100" s="102" t="str">
        <f t="shared" si="29"/>
        <v/>
      </c>
      <c r="H100" s="57">
        <f t="shared" si="30"/>
        <v>0</v>
      </c>
      <c r="I100" s="102">
        <f>IF(VLOOKUP($P100,无限模式!$A$3:$X$22,10,FALSE)="","",VLOOKUP($P100,无限模式!$A$3:$X$22,11,FALSE))</f>
        <v>39</v>
      </c>
      <c r="J100" s="102">
        <f>IF(VLOOKUP($P100,无限模式!$A$3:$X$22,10,FALSE)="","",VLOOKUP($P100,无限模式!$A$3:$X$22,12,FALSE))</f>
        <v>0.75</v>
      </c>
      <c r="K100" s="102">
        <f t="shared" si="31"/>
        <v>1</v>
      </c>
      <c r="L100" s="102" t="str">
        <f>IF(VLOOKUP($P100,无限模式!$A$3:$X$22,10,FALSE)="","","Monster_Infinite_"&amp;P100&amp;"_2")</f>
        <v>Monster_Infinite_20_2</v>
      </c>
      <c r="M100" s="57">
        <f t="shared" si="32"/>
        <v>1</v>
      </c>
      <c r="O100" s="102">
        <f>IF(VLOOKUP($P100,无限模式!$A$3:$X$22,10,FALSE)="","",VLOOKUP($P100,无限模式!$A$3:$X$22,14,FALSE))</f>
        <v>3</v>
      </c>
      <c r="P100" s="110">
        <f t="shared" si="33"/>
        <v>20</v>
      </c>
      <c r="Q100" s="110">
        <v>2</v>
      </c>
    </row>
    <row r="101" spans="2:18" x14ac:dyDescent="0.2">
      <c r="D101" s="57" t="str">
        <f t="shared" si="27"/>
        <v/>
      </c>
      <c r="F101" s="57" t="str">
        <f t="shared" si="28"/>
        <v/>
      </c>
      <c r="G101" s="102" t="str">
        <f t="shared" si="29"/>
        <v/>
      </c>
      <c r="H101" s="57">
        <f t="shared" si="30"/>
        <v>0</v>
      </c>
      <c r="I101" s="102">
        <f>IF(VLOOKUP($P101,无限模式!$A$3:$X$22,15,FALSE)="","",VLOOKUP(P101,无限模式!$A$3:$X$22,16,FALSE))</f>
        <v>29</v>
      </c>
      <c r="J101" s="102">
        <f>IF(VLOOKUP($P101,无限模式!$A$3:$X$22,15,FALSE)="","",VLOOKUP($P101,无限模式!$A$3:$X$22,17,FALSE))</f>
        <v>1</v>
      </c>
      <c r="K101" s="102">
        <f t="shared" si="31"/>
        <v>1</v>
      </c>
      <c r="L101" s="102" t="str">
        <f>IF(VLOOKUP($P101,无限模式!$A$3:$X$22,15,FALSE)="","","Monster_Infinite_"&amp;P101&amp;"_3")</f>
        <v>Monster_Infinite_20_3</v>
      </c>
      <c r="M101" s="57">
        <f t="shared" si="32"/>
        <v>1</v>
      </c>
      <c r="O101" s="102">
        <f>IF(VLOOKUP($P101,无限模式!$A$3:$X$22,15,FALSE)="","",VLOOKUP($P101,无限模式!$A$3:$X$22,19,FALSE))</f>
        <v>7</v>
      </c>
      <c r="P101" s="110">
        <f t="shared" si="33"/>
        <v>20</v>
      </c>
      <c r="Q101" s="110">
        <v>3</v>
      </c>
    </row>
    <row r="102" spans="2:18" x14ac:dyDescent="0.2">
      <c r="D102" s="57" t="str">
        <f t="shared" si="27"/>
        <v/>
      </c>
      <c r="F102" s="57" t="str">
        <f t="shared" si="28"/>
        <v/>
      </c>
      <c r="G102" s="102" t="str">
        <f t="shared" si="29"/>
        <v/>
      </c>
      <c r="H102" s="57">
        <f t="shared" si="30"/>
        <v>0</v>
      </c>
      <c r="I102" s="102">
        <f>IF(VLOOKUP($P102,无限模式!$A$3:$X$22,20,FALSE)="","",VLOOKUP($P102,无限模式!$A$3:$X$22,21,FALSE))</f>
        <v>1</v>
      </c>
      <c r="J102" s="102">
        <f>IF(VLOOKUP($P102,无限模式!$A$3:$X$22,20,FALSE)="","",VLOOKUP($P102,无限模式!$A$3:$X$22,22,FALSE))</f>
        <v>0</v>
      </c>
      <c r="K102" s="102">
        <f t="shared" si="31"/>
        <v>1</v>
      </c>
      <c r="L102" s="102" t="str">
        <f>IF(VLOOKUP($P102,无限模式!$A$3:$X$22,20,FALSE)="","","Monster_Infinite_"&amp;P102&amp;"_4")</f>
        <v>Monster_Infinite_20_4</v>
      </c>
      <c r="M102" s="57">
        <f t="shared" si="32"/>
        <v>1</v>
      </c>
      <c r="O102" s="102">
        <f>IF(VLOOKUP($P102,无限模式!$A$3:$X$22,20,FALSE)="","",VLOOKUP($P102,无限模式!$A$3:$X$22,24,FALSE))</f>
        <v>137</v>
      </c>
      <c r="P102" s="110">
        <f t="shared" si="33"/>
        <v>20</v>
      </c>
      <c r="Q102" s="110">
        <v>4</v>
      </c>
    </row>
    <row r="103" spans="2:18" x14ac:dyDescent="0.2">
      <c r="F103" s="57" t="str">
        <f t="shared" si="28"/>
        <v/>
      </c>
    </row>
    <row r="104" spans="2:18" x14ac:dyDescent="0.2">
      <c r="B104" s="57" t="str">
        <f>IF(C104="","","MonsterWaveCallRule_Challenge"&amp;P104)</f>
        <v>MonsterWaveCallRule_Challenge1</v>
      </c>
      <c r="C104" s="57">
        <v>1</v>
      </c>
      <c r="D104" s="57" t="str">
        <f>IF(C104="","","挑战关卡"&amp;P104&amp;"第"&amp;C104&amp;"波")</f>
        <v>挑战关卡1第1波</v>
      </c>
      <c r="F104" s="57">
        <f t="shared" si="28"/>
        <v>0</v>
      </c>
      <c r="G104" s="102">
        <f>IF(C104="","",180)</f>
        <v>180</v>
      </c>
      <c r="I104" s="102">
        <f>VLOOKUP(P104&amp;"_"&amp;Q104,活动关卡!$A$4:$Z$27,3+5*MonsterWaveCallRuleCfg!R104,FALSE)</f>
        <v>5</v>
      </c>
      <c r="J104" s="102">
        <f>VLOOKUP(P104&amp;"_"&amp;Q104,活动关卡!$A$4:$Z$27,4+5*MonsterWaveCallRuleCfg!R104,FALSE)</f>
        <v>2</v>
      </c>
      <c r="K104" s="102">
        <f t="shared" si="31"/>
        <v>1</v>
      </c>
      <c r="L104" s="102" t="str">
        <f>IF(VLOOKUP(P104&amp;"_"&amp;Q104,活动关卡!$A$4:$Z$27,2+5*R104,FALSE)="","","Monster_Challenge"&amp;P104&amp;"_"&amp;Q104&amp;"_"&amp;R104)</f>
        <v>Monster_Challenge1_1_1</v>
      </c>
      <c r="M104" s="57">
        <f t="shared" si="32"/>
        <v>1</v>
      </c>
      <c r="O104" s="102">
        <f>VLOOKUP(P104&amp;"_"&amp;Q104,活动关卡!$A$4:$Z$27,6+5*MonsterWaveCallRuleCfg!R104,FALSE)</f>
        <v>35</v>
      </c>
      <c r="P104" s="110">
        <v>1</v>
      </c>
      <c r="Q104" s="110">
        <f>C104</f>
        <v>1</v>
      </c>
      <c r="R104" s="110">
        <v>1</v>
      </c>
    </row>
    <row r="105" spans="2:18" x14ac:dyDescent="0.2">
      <c r="B105" s="57" t="str">
        <f t="shared" ref="B105:B168" si="34">IF(C105="","","MonsterWaveCallRule_Challenge"&amp;P105)</f>
        <v/>
      </c>
      <c r="D105" s="57" t="str">
        <f t="shared" ref="D105:D168" si="35">IF(C105="","","挑战关卡"&amp;P105&amp;"第"&amp;C105&amp;"波")</f>
        <v/>
      </c>
      <c r="F105" s="57" t="str">
        <f t="shared" si="28"/>
        <v/>
      </c>
      <c r="G105" s="102" t="str">
        <f t="shared" ref="G105:G168" si="36">IF(C105="","",180)</f>
        <v/>
      </c>
      <c r="I105" s="102">
        <f>VLOOKUP(P105&amp;"_"&amp;Q105,活动关卡!$A$4:$Z$27,3+5*MonsterWaveCallRuleCfg!R105,FALSE)</f>
        <v>3</v>
      </c>
      <c r="J105" s="102">
        <f>VLOOKUP(P105&amp;"_"&amp;Q105,活动关卡!$A$4:$Z$27,4+5*MonsterWaveCallRuleCfg!R105,FALSE)</f>
        <v>3</v>
      </c>
      <c r="K105" s="102">
        <f t="shared" si="31"/>
        <v>1</v>
      </c>
      <c r="L105" s="102" t="str">
        <f>IF(VLOOKUP(P105&amp;"_"&amp;Q105,活动关卡!$A$4:$Z$27,2+5*R105,FALSE)="","","Monster_Challenge"&amp;P105&amp;"_"&amp;Q105&amp;"_"&amp;R105)</f>
        <v>Monster_Challenge1_1_2</v>
      </c>
      <c r="M105" s="57">
        <f t="shared" si="32"/>
        <v>1</v>
      </c>
      <c r="O105" s="102">
        <f>VLOOKUP(P105&amp;"_"&amp;Q105,活动关卡!$A$4:$Z$27,6+5*MonsterWaveCallRuleCfg!R105,FALSE)</f>
        <v>141</v>
      </c>
      <c r="P105" s="110">
        <v>1</v>
      </c>
      <c r="Q105" s="110">
        <f>IF(C105="",Q104,C105)</f>
        <v>1</v>
      </c>
      <c r="R105" s="110">
        <v>2</v>
      </c>
    </row>
    <row r="106" spans="2:18" x14ac:dyDescent="0.2">
      <c r="B106" s="57" t="str">
        <f t="shared" si="34"/>
        <v/>
      </c>
      <c r="D106" s="57" t="str">
        <f t="shared" si="35"/>
        <v/>
      </c>
      <c r="F106" s="57" t="str">
        <f t="shared" si="28"/>
        <v/>
      </c>
      <c r="G106" s="102" t="str">
        <f t="shared" si="36"/>
        <v/>
      </c>
      <c r="I106" s="102" t="str">
        <f>VLOOKUP(P106&amp;"_"&amp;Q106,活动关卡!$A$4:$Z$27,3+5*MonsterWaveCallRuleCfg!R106,FALSE)</f>
        <v/>
      </c>
      <c r="J106" s="102" t="str">
        <f>VLOOKUP(P106&amp;"_"&amp;Q106,活动关卡!$A$4:$Z$27,4+5*MonsterWaveCallRuleCfg!R106,FALSE)</f>
        <v/>
      </c>
      <c r="K106" s="102" t="str">
        <f t="shared" si="31"/>
        <v/>
      </c>
      <c r="L106" s="102" t="str">
        <f>IF(VLOOKUP(P106&amp;"_"&amp;Q106,活动关卡!$A$4:$Z$27,2+5*R106,FALSE)="","","Monster_Challenge"&amp;P106&amp;"_"&amp;Q106&amp;"_"&amp;R106)</f>
        <v/>
      </c>
      <c r="M106" s="57" t="str">
        <f t="shared" si="32"/>
        <v/>
      </c>
      <c r="O106" s="102" t="str">
        <f>VLOOKUP(P106&amp;"_"&amp;Q106,活动关卡!$A$4:$Z$27,6+5*MonsterWaveCallRuleCfg!R106,FALSE)</f>
        <v/>
      </c>
      <c r="P106" s="110">
        <v>1</v>
      </c>
      <c r="Q106" s="110">
        <f t="shared" ref="Q106:Q169" si="37">IF(C106="",Q105,C106)</f>
        <v>1</v>
      </c>
      <c r="R106" s="110">
        <v>3</v>
      </c>
    </row>
    <row r="107" spans="2:18" x14ac:dyDescent="0.2">
      <c r="B107" s="57" t="str">
        <f t="shared" si="34"/>
        <v/>
      </c>
      <c r="D107" s="57" t="str">
        <f t="shared" si="35"/>
        <v/>
      </c>
      <c r="F107" s="57" t="str">
        <f t="shared" si="28"/>
        <v/>
      </c>
      <c r="G107" s="102" t="str">
        <f t="shared" si="36"/>
        <v/>
      </c>
      <c r="I107" s="102" t="str">
        <f>VLOOKUP(P107&amp;"_"&amp;Q107,活动关卡!$A$4:$Z$27,3+5*MonsterWaveCallRuleCfg!R107,FALSE)</f>
        <v/>
      </c>
      <c r="J107" s="102" t="str">
        <f>VLOOKUP(P107&amp;"_"&amp;Q107,活动关卡!$A$4:$Z$27,4+5*MonsterWaveCallRuleCfg!R107,FALSE)</f>
        <v/>
      </c>
      <c r="K107" s="102" t="str">
        <f t="shared" si="31"/>
        <v/>
      </c>
      <c r="L107" s="102" t="str">
        <f>IF(VLOOKUP(P107&amp;"_"&amp;Q107,活动关卡!$A$4:$Z$27,2+5*R107,FALSE)="","","Monster_Challenge"&amp;P107&amp;"_"&amp;Q107&amp;"_"&amp;R107)</f>
        <v/>
      </c>
      <c r="M107" s="57" t="str">
        <f t="shared" si="32"/>
        <v/>
      </c>
      <c r="O107" s="102" t="str">
        <f>VLOOKUP(P107&amp;"_"&amp;Q107,活动关卡!$A$4:$Z$27,6+5*MonsterWaveCallRuleCfg!R107,FALSE)</f>
        <v/>
      </c>
      <c r="P107" s="110">
        <v>1</v>
      </c>
      <c r="Q107" s="110">
        <f t="shared" si="37"/>
        <v>1</v>
      </c>
      <c r="R107" s="110">
        <v>4</v>
      </c>
    </row>
    <row r="108" spans="2:18" x14ac:dyDescent="0.2">
      <c r="B108" s="57" t="str">
        <f t="shared" si="34"/>
        <v>MonsterWaveCallRule_Challenge1</v>
      </c>
      <c r="C108" s="57">
        <v>2</v>
      </c>
      <c r="D108" s="57" t="str">
        <f t="shared" si="35"/>
        <v>挑战关卡1第2波</v>
      </c>
      <c r="F108" s="57">
        <f t="shared" si="28"/>
        <v>0</v>
      </c>
      <c r="G108" s="102">
        <f t="shared" si="36"/>
        <v>180</v>
      </c>
      <c r="I108" s="102">
        <f>VLOOKUP(P108&amp;"_"&amp;Q108,活动关卡!$A$4:$Z$27,3+5*MonsterWaveCallRuleCfg!R108,FALSE)</f>
        <v>25</v>
      </c>
      <c r="J108" s="102">
        <f>VLOOKUP(P108&amp;"_"&amp;Q108,活动关卡!$A$4:$Z$27,4+5*MonsterWaveCallRuleCfg!R108,FALSE)</f>
        <v>0.5</v>
      </c>
      <c r="K108" s="102">
        <f t="shared" si="31"/>
        <v>1</v>
      </c>
      <c r="L108" s="102" t="str">
        <f>IF(VLOOKUP(P108&amp;"_"&amp;Q108,活动关卡!$A$4:$Z$27,2+5*R108,FALSE)="","","Monster_Challenge"&amp;P108&amp;"_"&amp;Q108&amp;"_"&amp;R108)</f>
        <v>Monster_Challenge1_2_1</v>
      </c>
      <c r="M108" s="57">
        <f t="shared" si="32"/>
        <v>1</v>
      </c>
      <c r="O108" s="102">
        <f>VLOOKUP(P108&amp;"_"&amp;Q108,活动关卡!$A$4:$Z$27,6+5*MonsterWaveCallRuleCfg!R108,FALSE)</f>
        <v>15</v>
      </c>
      <c r="P108" s="110">
        <v>1</v>
      </c>
      <c r="Q108" s="110">
        <f t="shared" si="37"/>
        <v>2</v>
      </c>
      <c r="R108" s="110">
        <v>1</v>
      </c>
    </row>
    <row r="109" spans="2:18" x14ac:dyDescent="0.2">
      <c r="B109" s="57" t="str">
        <f t="shared" si="34"/>
        <v/>
      </c>
      <c r="D109" s="57" t="str">
        <f t="shared" si="35"/>
        <v/>
      </c>
      <c r="F109" s="57" t="str">
        <f t="shared" si="28"/>
        <v/>
      </c>
      <c r="G109" s="102" t="str">
        <f t="shared" si="36"/>
        <v/>
      </c>
      <c r="I109" s="102">
        <f>VLOOKUP(P109&amp;"_"&amp;Q109,活动关卡!$A$4:$Z$27,3+5*MonsterWaveCallRuleCfg!R109,FALSE)</f>
        <v>4</v>
      </c>
      <c r="J109" s="102">
        <f>VLOOKUP(P109&amp;"_"&amp;Q109,活动关卡!$A$4:$Z$27,4+5*MonsterWaveCallRuleCfg!R109,FALSE)</f>
        <v>3</v>
      </c>
      <c r="K109" s="102">
        <f t="shared" si="31"/>
        <v>1</v>
      </c>
      <c r="L109" s="102" t="str">
        <f>IF(VLOOKUP(P109&amp;"_"&amp;Q109,活动关卡!$A$4:$Z$27,2+5*R109,FALSE)="","","Monster_Challenge"&amp;P109&amp;"_"&amp;Q109&amp;"_"&amp;R109)</f>
        <v>Monster_Challenge1_2_2</v>
      </c>
      <c r="M109" s="57">
        <f t="shared" si="32"/>
        <v>1</v>
      </c>
      <c r="O109" s="102">
        <f>VLOOKUP(P109&amp;"_"&amp;Q109,活动关卡!$A$4:$Z$27,6+5*MonsterWaveCallRuleCfg!R109,FALSE)</f>
        <v>59</v>
      </c>
      <c r="P109" s="110">
        <v>1</v>
      </c>
      <c r="Q109" s="110">
        <f t="shared" si="37"/>
        <v>2</v>
      </c>
      <c r="R109" s="110">
        <v>2</v>
      </c>
    </row>
    <row r="110" spans="2:18" x14ac:dyDescent="0.2">
      <c r="B110" s="57" t="str">
        <f t="shared" si="34"/>
        <v/>
      </c>
      <c r="D110" s="57" t="str">
        <f t="shared" si="35"/>
        <v/>
      </c>
      <c r="F110" s="57" t="str">
        <f t="shared" si="28"/>
        <v/>
      </c>
      <c r="G110" s="102" t="str">
        <f t="shared" si="36"/>
        <v/>
      </c>
      <c r="I110" s="102" t="str">
        <f>VLOOKUP(P110&amp;"_"&amp;Q110,活动关卡!$A$4:$Z$27,3+5*MonsterWaveCallRuleCfg!R110,FALSE)</f>
        <v/>
      </c>
      <c r="J110" s="102" t="str">
        <f>VLOOKUP(P110&amp;"_"&amp;Q110,活动关卡!$A$4:$Z$27,4+5*MonsterWaveCallRuleCfg!R110,FALSE)</f>
        <v/>
      </c>
      <c r="K110" s="102" t="str">
        <f t="shared" si="31"/>
        <v/>
      </c>
      <c r="L110" s="102" t="str">
        <f>IF(VLOOKUP(P110&amp;"_"&amp;Q110,活动关卡!$A$4:$Z$27,2+5*R110,FALSE)="","","Monster_Challenge"&amp;P110&amp;"_"&amp;Q110&amp;"_"&amp;R110)</f>
        <v/>
      </c>
      <c r="M110" s="57" t="str">
        <f t="shared" si="32"/>
        <v/>
      </c>
      <c r="O110" s="102" t="str">
        <f>VLOOKUP(P110&amp;"_"&amp;Q110,活动关卡!$A$4:$Z$27,6+5*MonsterWaveCallRuleCfg!R110,FALSE)</f>
        <v/>
      </c>
      <c r="P110" s="110">
        <v>1</v>
      </c>
      <c r="Q110" s="110">
        <f t="shared" si="37"/>
        <v>2</v>
      </c>
      <c r="R110" s="110">
        <v>3</v>
      </c>
    </row>
    <row r="111" spans="2:18" x14ac:dyDescent="0.2">
      <c r="B111" s="57" t="str">
        <f t="shared" si="34"/>
        <v/>
      </c>
      <c r="D111" s="57" t="str">
        <f t="shared" si="35"/>
        <v/>
      </c>
      <c r="F111" s="57" t="str">
        <f t="shared" si="28"/>
        <v/>
      </c>
      <c r="G111" s="102" t="str">
        <f t="shared" si="36"/>
        <v/>
      </c>
      <c r="I111" s="102" t="str">
        <f>VLOOKUP(P111&amp;"_"&amp;Q111,活动关卡!$A$4:$Z$27,3+5*MonsterWaveCallRuleCfg!R111,FALSE)</f>
        <v/>
      </c>
      <c r="J111" s="102" t="str">
        <f>VLOOKUP(P111&amp;"_"&amp;Q111,活动关卡!$A$4:$Z$27,4+5*MonsterWaveCallRuleCfg!R111,FALSE)</f>
        <v/>
      </c>
      <c r="K111" s="102" t="str">
        <f t="shared" si="31"/>
        <v/>
      </c>
      <c r="L111" s="102" t="str">
        <f>IF(VLOOKUP(P111&amp;"_"&amp;Q111,活动关卡!$A$4:$Z$27,2+5*R111,FALSE)="","","Monster_Challenge"&amp;P111&amp;"_"&amp;Q111&amp;"_"&amp;R111)</f>
        <v/>
      </c>
      <c r="M111" s="57" t="str">
        <f t="shared" si="32"/>
        <v/>
      </c>
      <c r="O111" s="102" t="str">
        <f>VLOOKUP(P111&amp;"_"&amp;Q111,活动关卡!$A$4:$Z$27,6+5*MonsterWaveCallRuleCfg!R111,FALSE)</f>
        <v/>
      </c>
      <c r="P111" s="110">
        <v>1</v>
      </c>
      <c r="Q111" s="110">
        <f t="shared" si="37"/>
        <v>2</v>
      </c>
      <c r="R111" s="110">
        <v>4</v>
      </c>
    </row>
    <row r="112" spans="2:18" x14ac:dyDescent="0.2">
      <c r="B112" s="57" t="str">
        <f t="shared" si="34"/>
        <v>MonsterWaveCallRule_Challenge1</v>
      </c>
      <c r="C112" s="57">
        <v>3</v>
      </c>
      <c r="D112" s="57" t="str">
        <f t="shared" si="35"/>
        <v>挑战关卡1第3波</v>
      </c>
      <c r="F112" s="57">
        <f t="shared" si="28"/>
        <v>0</v>
      </c>
      <c r="G112" s="102">
        <f t="shared" si="36"/>
        <v>180</v>
      </c>
      <c r="I112" s="102">
        <f>VLOOKUP(P112&amp;"_"&amp;Q112,活动关卡!$A$4:$Z$27,3+5*MonsterWaveCallRuleCfg!R112,FALSE)</f>
        <v>30</v>
      </c>
      <c r="J112" s="102">
        <f>VLOOKUP(P112&amp;"_"&amp;Q112,活动关卡!$A$4:$Z$27,4+5*MonsterWaveCallRuleCfg!R112,FALSE)</f>
        <v>0.5</v>
      </c>
      <c r="K112" s="102">
        <f t="shared" si="31"/>
        <v>1</v>
      </c>
      <c r="L112" s="102" t="str">
        <f>IF(VLOOKUP(P112&amp;"_"&amp;Q112,活动关卡!$A$4:$Z$27,2+5*R112,FALSE)="","","Monster_Challenge"&amp;P112&amp;"_"&amp;Q112&amp;"_"&amp;R112)</f>
        <v>Monster_Challenge1_3_1</v>
      </c>
      <c r="M112" s="57">
        <f t="shared" si="32"/>
        <v>1</v>
      </c>
      <c r="O112" s="102">
        <f>VLOOKUP(P112&amp;"_"&amp;Q112,活动关卡!$A$4:$Z$27,6+5*MonsterWaveCallRuleCfg!R112,FALSE)</f>
        <v>7</v>
      </c>
      <c r="P112" s="110">
        <v>1</v>
      </c>
      <c r="Q112" s="110">
        <f t="shared" si="37"/>
        <v>3</v>
      </c>
      <c r="R112" s="110">
        <v>1</v>
      </c>
    </row>
    <row r="113" spans="2:18" x14ac:dyDescent="0.2">
      <c r="B113" s="57" t="str">
        <f t="shared" si="34"/>
        <v/>
      </c>
      <c r="D113" s="57" t="str">
        <f t="shared" si="35"/>
        <v/>
      </c>
      <c r="F113" s="57" t="str">
        <f t="shared" si="28"/>
        <v/>
      </c>
      <c r="G113" s="102" t="str">
        <f t="shared" si="36"/>
        <v/>
      </c>
      <c r="I113" s="102">
        <f>VLOOKUP(P113&amp;"_"&amp;Q113,活动关卡!$A$4:$Z$27,3+5*MonsterWaveCallRuleCfg!R113,FALSE)</f>
        <v>5</v>
      </c>
      <c r="J113" s="102">
        <f>VLOOKUP(P113&amp;"_"&amp;Q113,活动关卡!$A$4:$Z$27,4+5*MonsterWaveCallRuleCfg!R113,FALSE)</f>
        <v>3</v>
      </c>
      <c r="K113" s="102">
        <f t="shared" si="31"/>
        <v>1</v>
      </c>
      <c r="L113" s="102" t="str">
        <f>IF(VLOOKUP(P113&amp;"_"&amp;Q113,活动关卡!$A$4:$Z$27,2+5*R113,FALSE)="","","Monster_Challenge"&amp;P113&amp;"_"&amp;Q113&amp;"_"&amp;R113)</f>
        <v>Monster_Challenge1_3_2</v>
      </c>
      <c r="M113" s="57">
        <f t="shared" si="32"/>
        <v>1</v>
      </c>
      <c r="O113" s="102">
        <f>VLOOKUP(P113&amp;"_"&amp;Q113,活动关卡!$A$4:$Z$27,6+5*MonsterWaveCallRuleCfg!R113,FALSE)</f>
        <v>27</v>
      </c>
      <c r="P113" s="110">
        <v>1</v>
      </c>
      <c r="Q113" s="110">
        <f t="shared" si="37"/>
        <v>3</v>
      </c>
      <c r="R113" s="110">
        <v>2</v>
      </c>
    </row>
    <row r="114" spans="2:18" x14ac:dyDescent="0.2">
      <c r="B114" s="57" t="str">
        <f t="shared" si="34"/>
        <v/>
      </c>
      <c r="D114" s="57" t="str">
        <f t="shared" si="35"/>
        <v/>
      </c>
      <c r="F114" s="57" t="str">
        <f t="shared" si="28"/>
        <v/>
      </c>
      <c r="G114" s="102" t="str">
        <f t="shared" si="36"/>
        <v/>
      </c>
      <c r="I114" s="102">
        <f>VLOOKUP(P114&amp;"_"&amp;Q114,活动关卡!$A$4:$Z$27,3+5*MonsterWaveCallRuleCfg!R114,FALSE)</f>
        <v>10</v>
      </c>
      <c r="J114" s="102">
        <f>VLOOKUP(P114&amp;"_"&amp;Q114,活动关卡!$A$4:$Z$27,4+5*MonsterWaveCallRuleCfg!R114,FALSE)</f>
        <v>1.5</v>
      </c>
      <c r="K114" s="102">
        <f t="shared" si="31"/>
        <v>1</v>
      </c>
      <c r="L114" s="102" t="str">
        <f>IF(VLOOKUP(P114&amp;"_"&amp;Q114,活动关卡!$A$4:$Z$27,2+5*R114,FALSE)="","","Monster_Challenge"&amp;P114&amp;"_"&amp;Q114&amp;"_"&amp;R114)</f>
        <v>Monster_Challenge1_3_3</v>
      </c>
      <c r="M114" s="57">
        <f t="shared" si="32"/>
        <v>1</v>
      </c>
      <c r="O114" s="102">
        <f>VLOOKUP(P114&amp;"_"&amp;Q114,活动关卡!$A$4:$Z$27,6+5*MonsterWaveCallRuleCfg!R114,FALSE)</f>
        <v>27</v>
      </c>
      <c r="P114" s="110">
        <v>1</v>
      </c>
      <c r="Q114" s="110">
        <f t="shared" si="37"/>
        <v>3</v>
      </c>
      <c r="R114" s="110">
        <v>3</v>
      </c>
    </row>
    <row r="115" spans="2:18" x14ac:dyDescent="0.2">
      <c r="B115" s="57" t="str">
        <f t="shared" si="34"/>
        <v/>
      </c>
      <c r="D115" s="57" t="str">
        <f t="shared" si="35"/>
        <v/>
      </c>
      <c r="F115" s="57" t="str">
        <f t="shared" si="28"/>
        <v/>
      </c>
      <c r="G115" s="102" t="str">
        <f t="shared" si="36"/>
        <v/>
      </c>
      <c r="I115" s="102" t="str">
        <f>VLOOKUP(P115&amp;"_"&amp;Q115,活动关卡!$A$4:$Z$27,3+5*MonsterWaveCallRuleCfg!R115,FALSE)</f>
        <v/>
      </c>
      <c r="J115" s="102" t="str">
        <f>VLOOKUP(P115&amp;"_"&amp;Q115,活动关卡!$A$4:$Z$27,4+5*MonsterWaveCallRuleCfg!R115,FALSE)</f>
        <v/>
      </c>
      <c r="K115" s="102" t="str">
        <f t="shared" si="31"/>
        <v/>
      </c>
      <c r="L115" s="102" t="str">
        <f>IF(VLOOKUP(P115&amp;"_"&amp;Q115,活动关卡!$A$4:$Z$27,2+5*R115,FALSE)="","","Monster_Challenge"&amp;P115&amp;"_"&amp;Q115&amp;"_"&amp;R115)</f>
        <v/>
      </c>
      <c r="M115" s="57" t="str">
        <f t="shared" si="32"/>
        <v/>
      </c>
      <c r="O115" s="102" t="str">
        <f>VLOOKUP(P115&amp;"_"&amp;Q115,活动关卡!$A$4:$Z$27,6+5*MonsterWaveCallRuleCfg!R115,FALSE)</f>
        <v/>
      </c>
      <c r="P115" s="110">
        <v>1</v>
      </c>
      <c r="Q115" s="110">
        <f t="shared" si="37"/>
        <v>3</v>
      </c>
      <c r="R115" s="110">
        <v>4</v>
      </c>
    </row>
    <row r="116" spans="2:18" x14ac:dyDescent="0.2">
      <c r="B116" s="57" t="str">
        <f t="shared" si="34"/>
        <v>MonsterWaveCallRule_Challenge1</v>
      </c>
      <c r="C116" s="57">
        <v>4</v>
      </c>
      <c r="D116" s="57" t="str">
        <f t="shared" si="35"/>
        <v>挑战关卡1第4波</v>
      </c>
      <c r="F116" s="57">
        <f t="shared" si="28"/>
        <v>0</v>
      </c>
      <c r="G116" s="102">
        <f t="shared" si="36"/>
        <v>180</v>
      </c>
      <c r="I116" s="102" t="e">
        <f>VLOOKUP(P116&amp;"_"&amp;Q116,活动关卡!$A$4:$Z$27,3+5*MonsterWaveCallRuleCfg!R116,FALSE)</f>
        <v>#N/A</v>
      </c>
      <c r="J116" s="102" t="e">
        <f>VLOOKUP(P116&amp;"_"&amp;Q116,活动关卡!$A$4:$Z$27,4+5*MonsterWaveCallRuleCfg!R116,FALSE)</f>
        <v>#N/A</v>
      </c>
      <c r="K116" s="102" t="e">
        <f t="shared" si="31"/>
        <v>#N/A</v>
      </c>
      <c r="L116" s="102" t="e">
        <f>IF(VLOOKUP(P116&amp;"_"&amp;Q116,活动关卡!$A$4:$Z$27,2+5*R116,FALSE)="","","Monster_Challenge"&amp;P116&amp;"_"&amp;Q116&amp;"_"&amp;R116)</f>
        <v>#N/A</v>
      </c>
      <c r="M116" s="57" t="e">
        <f t="shared" si="32"/>
        <v>#N/A</v>
      </c>
      <c r="O116" s="102" t="e">
        <f>VLOOKUP(P116&amp;"_"&amp;Q116,活动关卡!$A$4:$Z$27,6+5*MonsterWaveCallRuleCfg!R116,FALSE)</f>
        <v>#N/A</v>
      </c>
      <c r="P116" s="110">
        <v>1</v>
      </c>
      <c r="Q116" s="110">
        <f t="shared" si="37"/>
        <v>4</v>
      </c>
      <c r="R116" s="110">
        <v>1</v>
      </c>
    </row>
    <row r="117" spans="2:18" x14ac:dyDescent="0.2">
      <c r="B117" s="57" t="str">
        <f t="shared" si="34"/>
        <v/>
      </c>
      <c r="D117" s="57" t="str">
        <f t="shared" si="35"/>
        <v/>
      </c>
      <c r="F117" s="57" t="str">
        <f t="shared" si="28"/>
        <v/>
      </c>
      <c r="G117" s="102" t="str">
        <f t="shared" si="36"/>
        <v/>
      </c>
      <c r="I117" s="102" t="e">
        <f>VLOOKUP(P117&amp;"_"&amp;Q117,活动关卡!$A$4:$Z$27,3+5*MonsterWaveCallRuleCfg!R117,FALSE)</f>
        <v>#N/A</v>
      </c>
      <c r="J117" s="102" t="e">
        <f>VLOOKUP(P117&amp;"_"&amp;Q117,活动关卡!$A$4:$Z$27,4+5*MonsterWaveCallRuleCfg!R117,FALSE)</f>
        <v>#N/A</v>
      </c>
      <c r="K117" s="102" t="e">
        <f t="shared" si="31"/>
        <v>#N/A</v>
      </c>
      <c r="L117" s="102" t="e">
        <f>IF(VLOOKUP(P117&amp;"_"&amp;Q117,活动关卡!$A$4:$Z$27,2+5*R117,FALSE)="","","Monster_Challenge"&amp;P117&amp;"_"&amp;Q117&amp;"_"&amp;R117)</f>
        <v>#N/A</v>
      </c>
      <c r="M117" s="57" t="e">
        <f t="shared" si="32"/>
        <v>#N/A</v>
      </c>
      <c r="O117" s="102" t="e">
        <f>VLOOKUP(P117&amp;"_"&amp;Q117,活动关卡!$A$4:$Z$27,6+5*MonsterWaveCallRuleCfg!R117,FALSE)</f>
        <v>#N/A</v>
      </c>
      <c r="P117" s="110">
        <v>1</v>
      </c>
      <c r="Q117" s="110">
        <f t="shared" si="37"/>
        <v>4</v>
      </c>
      <c r="R117" s="110">
        <v>2</v>
      </c>
    </row>
    <row r="118" spans="2:18" x14ac:dyDescent="0.2">
      <c r="B118" s="57" t="str">
        <f t="shared" si="34"/>
        <v/>
      </c>
      <c r="D118" s="57" t="str">
        <f t="shared" si="35"/>
        <v/>
      </c>
      <c r="F118" s="57" t="str">
        <f t="shared" si="28"/>
        <v/>
      </c>
      <c r="G118" s="102" t="str">
        <f t="shared" si="36"/>
        <v/>
      </c>
      <c r="I118" s="102" t="e">
        <f>VLOOKUP(P118&amp;"_"&amp;Q118,活动关卡!$A$4:$Z$27,3+5*MonsterWaveCallRuleCfg!R118,FALSE)</f>
        <v>#N/A</v>
      </c>
      <c r="J118" s="102" t="e">
        <f>VLOOKUP(P118&amp;"_"&amp;Q118,活动关卡!$A$4:$Z$27,4+5*MonsterWaveCallRuleCfg!R118,FALSE)</f>
        <v>#N/A</v>
      </c>
      <c r="K118" s="102" t="e">
        <f t="shared" si="31"/>
        <v>#N/A</v>
      </c>
      <c r="L118" s="102" t="e">
        <f>IF(VLOOKUP(P118&amp;"_"&amp;Q118,活动关卡!$A$4:$Z$27,2+5*R118,FALSE)="","","Monster_Challenge"&amp;P118&amp;"_"&amp;Q118&amp;"_"&amp;R118)</f>
        <v>#N/A</v>
      </c>
      <c r="M118" s="57" t="e">
        <f t="shared" si="32"/>
        <v>#N/A</v>
      </c>
      <c r="O118" s="102" t="e">
        <f>VLOOKUP(P118&amp;"_"&amp;Q118,活动关卡!$A$4:$Z$27,6+5*MonsterWaveCallRuleCfg!R118,FALSE)</f>
        <v>#N/A</v>
      </c>
      <c r="P118" s="110">
        <v>1</v>
      </c>
      <c r="Q118" s="110">
        <f t="shared" si="37"/>
        <v>4</v>
      </c>
      <c r="R118" s="110">
        <v>3</v>
      </c>
    </row>
    <row r="119" spans="2:18" x14ac:dyDescent="0.2">
      <c r="B119" s="57" t="str">
        <f t="shared" si="34"/>
        <v/>
      </c>
      <c r="D119" s="57" t="str">
        <f t="shared" si="35"/>
        <v/>
      </c>
      <c r="F119" s="57" t="str">
        <f t="shared" si="28"/>
        <v/>
      </c>
      <c r="G119" s="102" t="str">
        <f t="shared" si="36"/>
        <v/>
      </c>
      <c r="I119" s="102" t="e">
        <f>VLOOKUP(P119&amp;"_"&amp;Q119,活动关卡!$A$4:$Z$27,3+5*MonsterWaveCallRuleCfg!R119,FALSE)</f>
        <v>#N/A</v>
      </c>
      <c r="J119" s="102" t="e">
        <f>VLOOKUP(P119&amp;"_"&amp;Q119,活动关卡!$A$4:$Z$27,4+5*MonsterWaveCallRuleCfg!R119,FALSE)</f>
        <v>#N/A</v>
      </c>
      <c r="K119" s="102" t="e">
        <f t="shared" si="31"/>
        <v>#N/A</v>
      </c>
      <c r="L119" s="102" t="e">
        <f>IF(VLOOKUP(P119&amp;"_"&amp;Q119,活动关卡!$A$4:$Z$27,2+5*R119,FALSE)="","","Monster_Challenge"&amp;P119&amp;"_"&amp;Q119&amp;"_"&amp;R119)</f>
        <v>#N/A</v>
      </c>
      <c r="M119" s="57" t="e">
        <f t="shared" si="32"/>
        <v>#N/A</v>
      </c>
      <c r="O119" s="102" t="e">
        <f>VLOOKUP(P119&amp;"_"&amp;Q119,活动关卡!$A$4:$Z$27,6+5*MonsterWaveCallRuleCfg!R119,FALSE)</f>
        <v>#N/A</v>
      </c>
      <c r="P119" s="110">
        <v>1</v>
      </c>
      <c r="Q119" s="110">
        <f t="shared" si="37"/>
        <v>4</v>
      </c>
      <c r="R119" s="110">
        <v>4</v>
      </c>
    </row>
    <row r="120" spans="2:18" x14ac:dyDescent="0.2">
      <c r="B120" s="57" t="str">
        <f t="shared" si="34"/>
        <v>MonsterWaveCallRule_Challenge1</v>
      </c>
      <c r="C120" s="57">
        <v>5</v>
      </c>
      <c r="D120" s="57" t="str">
        <f t="shared" si="35"/>
        <v>挑战关卡1第5波</v>
      </c>
      <c r="F120" s="57">
        <f t="shared" si="28"/>
        <v>0</v>
      </c>
      <c r="G120" s="102">
        <f t="shared" si="36"/>
        <v>180</v>
      </c>
      <c r="I120" s="102" t="e">
        <f>VLOOKUP(P120&amp;"_"&amp;Q120,活动关卡!$A$4:$Z$27,3+5*MonsterWaveCallRuleCfg!R120,FALSE)</f>
        <v>#N/A</v>
      </c>
      <c r="J120" s="102" t="e">
        <f>VLOOKUP(P120&amp;"_"&amp;Q120,活动关卡!$A$4:$Z$27,4+5*MonsterWaveCallRuleCfg!R120,FALSE)</f>
        <v>#N/A</v>
      </c>
      <c r="K120" s="102" t="e">
        <f t="shared" si="31"/>
        <v>#N/A</v>
      </c>
      <c r="L120" s="102" t="e">
        <f>IF(VLOOKUP(P120&amp;"_"&amp;Q120,活动关卡!$A$4:$Z$27,2+5*R120,FALSE)="","","Monster_Challenge"&amp;P120&amp;"_"&amp;Q120&amp;"_"&amp;R120)</f>
        <v>#N/A</v>
      </c>
      <c r="M120" s="57" t="e">
        <f t="shared" si="32"/>
        <v>#N/A</v>
      </c>
      <c r="O120" s="102" t="e">
        <f>VLOOKUP(P120&amp;"_"&amp;Q120,活动关卡!$A$4:$Z$27,6+5*MonsterWaveCallRuleCfg!R120,FALSE)</f>
        <v>#N/A</v>
      </c>
      <c r="P120" s="110">
        <v>1</v>
      </c>
      <c r="Q120" s="110">
        <f t="shared" si="37"/>
        <v>5</v>
      </c>
      <c r="R120" s="110">
        <v>1</v>
      </c>
    </row>
    <row r="121" spans="2:18" x14ac:dyDescent="0.2">
      <c r="B121" s="57" t="str">
        <f t="shared" si="34"/>
        <v/>
      </c>
      <c r="D121" s="57" t="str">
        <f t="shared" si="35"/>
        <v/>
      </c>
      <c r="F121" s="57" t="str">
        <f t="shared" si="28"/>
        <v/>
      </c>
      <c r="G121" s="102" t="str">
        <f t="shared" si="36"/>
        <v/>
      </c>
      <c r="I121" s="102" t="e">
        <f>VLOOKUP(P121&amp;"_"&amp;Q121,活动关卡!$A$4:$Z$27,3+5*MonsterWaveCallRuleCfg!R121,FALSE)</f>
        <v>#N/A</v>
      </c>
      <c r="J121" s="102" t="e">
        <f>VLOOKUP(P121&amp;"_"&amp;Q121,活动关卡!$A$4:$Z$27,4+5*MonsterWaveCallRuleCfg!R121,FALSE)</f>
        <v>#N/A</v>
      </c>
      <c r="K121" s="102" t="e">
        <f t="shared" si="31"/>
        <v>#N/A</v>
      </c>
      <c r="L121" s="102" t="e">
        <f>IF(VLOOKUP(P121&amp;"_"&amp;Q121,活动关卡!$A$4:$Z$27,2+5*R121,FALSE)="","","Monster_Challenge"&amp;P121&amp;"_"&amp;Q121&amp;"_"&amp;R121)</f>
        <v>#N/A</v>
      </c>
      <c r="M121" s="57" t="e">
        <f t="shared" si="32"/>
        <v>#N/A</v>
      </c>
      <c r="O121" s="102" t="e">
        <f>VLOOKUP(P121&amp;"_"&amp;Q121,活动关卡!$A$4:$Z$27,6+5*MonsterWaveCallRuleCfg!R121,FALSE)</f>
        <v>#N/A</v>
      </c>
      <c r="P121" s="110">
        <v>1</v>
      </c>
      <c r="Q121" s="110">
        <f t="shared" si="37"/>
        <v>5</v>
      </c>
      <c r="R121" s="110">
        <v>2</v>
      </c>
    </row>
    <row r="122" spans="2:18" x14ac:dyDescent="0.2">
      <c r="B122" s="57" t="str">
        <f t="shared" si="34"/>
        <v/>
      </c>
      <c r="D122" s="57" t="str">
        <f t="shared" si="35"/>
        <v/>
      </c>
      <c r="F122" s="57" t="str">
        <f t="shared" si="28"/>
        <v/>
      </c>
      <c r="G122" s="102" t="str">
        <f t="shared" si="36"/>
        <v/>
      </c>
      <c r="I122" s="102" t="e">
        <f>VLOOKUP(P122&amp;"_"&amp;Q122,活动关卡!$A$4:$Z$27,3+5*MonsterWaveCallRuleCfg!R122,FALSE)</f>
        <v>#N/A</v>
      </c>
      <c r="J122" s="102" t="e">
        <f>VLOOKUP(P122&amp;"_"&amp;Q122,活动关卡!$A$4:$Z$27,4+5*MonsterWaveCallRuleCfg!R122,FALSE)</f>
        <v>#N/A</v>
      </c>
      <c r="K122" s="102" t="e">
        <f t="shared" si="31"/>
        <v>#N/A</v>
      </c>
      <c r="L122" s="102" t="e">
        <f>IF(VLOOKUP(P122&amp;"_"&amp;Q122,活动关卡!$A$4:$Z$27,2+5*R122,FALSE)="","","Monster_Challenge"&amp;P122&amp;"_"&amp;Q122&amp;"_"&amp;R122)</f>
        <v>#N/A</v>
      </c>
      <c r="M122" s="57" t="e">
        <f t="shared" si="32"/>
        <v>#N/A</v>
      </c>
      <c r="O122" s="102" t="e">
        <f>VLOOKUP(P122&amp;"_"&amp;Q122,活动关卡!$A$4:$Z$27,6+5*MonsterWaveCallRuleCfg!R122,FALSE)</f>
        <v>#N/A</v>
      </c>
      <c r="P122" s="110">
        <v>1</v>
      </c>
      <c r="Q122" s="110">
        <f t="shared" si="37"/>
        <v>5</v>
      </c>
      <c r="R122" s="110">
        <v>3</v>
      </c>
    </row>
    <row r="123" spans="2:18" x14ac:dyDescent="0.2">
      <c r="B123" s="57" t="str">
        <f t="shared" si="34"/>
        <v/>
      </c>
      <c r="D123" s="57" t="str">
        <f t="shared" si="35"/>
        <v/>
      </c>
      <c r="F123" s="57" t="str">
        <f t="shared" si="28"/>
        <v/>
      </c>
      <c r="G123" s="102" t="str">
        <f t="shared" si="36"/>
        <v/>
      </c>
      <c r="I123" s="102" t="e">
        <f>VLOOKUP(P123&amp;"_"&amp;Q123,活动关卡!$A$4:$Z$27,3+5*MonsterWaveCallRuleCfg!R123,FALSE)</f>
        <v>#N/A</v>
      </c>
      <c r="J123" s="102" t="e">
        <f>VLOOKUP(P123&amp;"_"&amp;Q123,活动关卡!$A$4:$Z$27,4+5*MonsterWaveCallRuleCfg!R123,FALSE)</f>
        <v>#N/A</v>
      </c>
      <c r="K123" s="102" t="e">
        <f t="shared" si="31"/>
        <v>#N/A</v>
      </c>
      <c r="L123" s="102" t="e">
        <f>IF(VLOOKUP(P123&amp;"_"&amp;Q123,活动关卡!$A$4:$Z$27,2+5*R123,FALSE)="","","Monster_Challenge"&amp;P123&amp;"_"&amp;Q123&amp;"_"&amp;R123)</f>
        <v>#N/A</v>
      </c>
      <c r="M123" s="57" t="e">
        <f t="shared" si="32"/>
        <v>#N/A</v>
      </c>
      <c r="N123" s="118"/>
      <c r="O123" s="102" t="e">
        <f>VLOOKUP(P123&amp;"_"&amp;Q123,活动关卡!$A$4:$Z$27,6+5*MonsterWaveCallRuleCfg!R123,FALSE)</f>
        <v>#N/A</v>
      </c>
      <c r="P123" s="110">
        <v>1</v>
      </c>
      <c r="Q123" s="110">
        <f t="shared" si="37"/>
        <v>5</v>
      </c>
      <c r="R123" s="110">
        <v>4</v>
      </c>
    </row>
    <row r="124" spans="2:18" x14ac:dyDescent="0.2">
      <c r="B124" s="57" t="str">
        <f t="shared" si="34"/>
        <v>MonsterWaveCallRule_Challenge2</v>
      </c>
      <c r="C124" s="57">
        <v>1</v>
      </c>
      <c r="D124" s="57" t="str">
        <f t="shared" si="35"/>
        <v>挑战关卡2第1波</v>
      </c>
      <c r="F124" s="57">
        <f t="shared" si="28"/>
        <v>0</v>
      </c>
      <c r="G124" s="102">
        <f t="shared" si="36"/>
        <v>180</v>
      </c>
      <c r="I124" s="102">
        <f>VLOOKUP(P124&amp;"_"&amp;Q124,活动关卡!$A$4:$Z$27,3+5*MonsterWaveCallRuleCfg!R124,FALSE)</f>
        <v>5</v>
      </c>
      <c r="J124" s="102">
        <f>VLOOKUP(P124&amp;"_"&amp;Q124,活动关卡!$A$4:$Z$27,4+5*MonsterWaveCallRuleCfg!R124,FALSE)</f>
        <v>2</v>
      </c>
      <c r="K124" s="102">
        <f t="shared" si="31"/>
        <v>1</v>
      </c>
      <c r="L124" s="102" t="str">
        <f>IF(VLOOKUP(P124&amp;"_"&amp;Q124,活动关卡!$A$4:$Z$27,2+5*R124,FALSE)="","","Monster_Challenge"&amp;P124&amp;"_"&amp;Q124&amp;"_"&amp;R124)</f>
        <v>Monster_Challenge2_1_1</v>
      </c>
      <c r="M124" s="57">
        <f t="shared" si="32"/>
        <v>1</v>
      </c>
      <c r="N124" s="118"/>
      <c r="O124" s="102">
        <f>VLOOKUP(P124&amp;"_"&amp;Q124,活动关卡!$A$4:$Z$27,6+5*MonsterWaveCallRuleCfg!R124,FALSE)</f>
        <v>40</v>
      </c>
      <c r="P124" s="110">
        <v>2</v>
      </c>
      <c r="Q124" s="110">
        <f t="shared" si="37"/>
        <v>1</v>
      </c>
      <c r="R124" s="110">
        <v>1</v>
      </c>
    </row>
    <row r="125" spans="2:18" x14ac:dyDescent="0.2">
      <c r="B125" s="57" t="str">
        <f t="shared" si="34"/>
        <v/>
      </c>
      <c r="D125" s="57" t="str">
        <f t="shared" si="35"/>
        <v/>
      </c>
      <c r="F125" s="57" t="str">
        <f t="shared" si="28"/>
        <v/>
      </c>
      <c r="G125" s="102" t="str">
        <f t="shared" si="36"/>
        <v/>
      </c>
      <c r="I125" s="102">
        <f>VLOOKUP(P125&amp;"_"&amp;Q125,活动关卡!$A$4:$Z$27,3+5*MonsterWaveCallRuleCfg!R125,FALSE)</f>
        <v>5</v>
      </c>
      <c r="J125" s="102">
        <f>VLOOKUP(P125&amp;"_"&amp;Q125,活动关卡!$A$4:$Z$27,4+5*MonsterWaveCallRuleCfg!R125,FALSE)</f>
        <v>2</v>
      </c>
      <c r="K125" s="102">
        <f t="shared" si="31"/>
        <v>1</v>
      </c>
      <c r="L125" s="102" t="str">
        <f>IF(VLOOKUP(P125&amp;"_"&amp;Q125,活动关卡!$A$4:$Z$27,2+5*R125,FALSE)="","","Monster_Challenge"&amp;P125&amp;"_"&amp;Q125&amp;"_"&amp;R125)</f>
        <v>Monster_Challenge2_1_2</v>
      </c>
      <c r="M125" s="57">
        <f t="shared" si="32"/>
        <v>1</v>
      </c>
      <c r="N125" s="118"/>
      <c r="O125" s="102">
        <f>VLOOKUP(P125&amp;"_"&amp;Q125,活动关卡!$A$4:$Z$27,6+5*MonsterWaveCallRuleCfg!R125,FALSE)</f>
        <v>80</v>
      </c>
      <c r="P125" s="110">
        <v>2</v>
      </c>
      <c r="Q125" s="110">
        <f t="shared" si="37"/>
        <v>1</v>
      </c>
      <c r="R125" s="110">
        <v>2</v>
      </c>
    </row>
    <row r="126" spans="2:18" x14ac:dyDescent="0.2">
      <c r="B126" s="57" t="str">
        <f t="shared" si="34"/>
        <v/>
      </c>
      <c r="D126" s="57" t="str">
        <f t="shared" si="35"/>
        <v/>
      </c>
      <c r="F126" s="57" t="str">
        <f t="shared" si="28"/>
        <v/>
      </c>
      <c r="G126" s="102" t="str">
        <f t="shared" si="36"/>
        <v/>
      </c>
      <c r="I126" s="102" t="str">
        <f>VLOOKUP(P126&amp;"_"&amp;Q126,活动关卡!$A$4:$Z$27,3+5*MonsterWaveCallRuleCfg!R126,FALSE)</f>
        <v/>
      </c>
      <c r="J126" s="102" t="str">
        <f>VLOOKUP(P126&amp;"_"&amp;Q126,活动关卡!$A$4:$Z$27,4+5*MonsterWaveCallRuleCfg!R126,FALSE)</f>
        <v/>
      </c>
      <c r="K126" s="102" t="str">
        <f t="shared" si="31"/>
        <v/>
      </c>
      <c r="L126" s="102" t="str">
        <f>IF(VLOOKUP(P126&amp;"_"&amp;Q126,活动关卡!$A$4:$Z$27,2+5*R126,FALSE)="","","Monster_Challenge"&amp;P126&amp;"_"&amp;Q126&amp;"_"&amp;R126)</f>
        <v/>
      </c>
      <c r="M126" s="57" t="str">
        <f t="shared" si="32"/>
        <v/>
      </c>
      <c r="N126" s="118"/>
      <c r="O126" s="102" t="str">
        <f>VLOOKUP(P126&amp;"_"&amp;Q126,活动关卡!$A$4:$Z$27,6+5*MonsterWaveCallRuleCfg!R126,FALSE)</f>
        <v/>
      </c>
      <c r="P126" s="110">
        <v>2</v>
      </c>
      <c r="Q126" s="110">
        <f t="shared" si="37"/>
        <v>1</v>
      </c>
      <c r="R126" s="110">
        <v>3</v>
      </c>
    </row>
    <row r="127" spans="2:18" x14ac:dyDescent="0.2">
      <c r="B127" s="57" t="str">
        <f t="shared" si="34"/>
        <v/>
      </c>
      <c r="D127" s="57" t="str">
        <f t="shared" si="35"/>
        <v/>
      </c>
      <c r="F127" s="57" t="str">
        <f t="shared" si="28"/>
        <v/>
      </c>
      <c r="G127" s="102" t="str">
        <f t="shared" si="36"/>
        <v/>
      </c>
      <c r="I127" s="102" t="str">
        <f>VLOOKUP(P127&amp;"_"&amp;Q127,活动关卡!$A$4:$Z$27,3+5*MonsterWaveCallRuleCfg!R127,FALSE)</f>
        <v/>
      </c>
      <c r="J127" s="102" t="str">
        <f>VLOOKUP(P127&amp;"_"&amp;Q127,活动关卡!$A$4:$Z$27,4+5*MonsterWaveCallRuleCfg!R127,FALSE)</f>
        <v/>
      </c>
      <c r="K127" s="102" t="str">
        <f t="shared" si="31"/>
        <v/>
      </c>
      <c r="L127" s="102" t="str">
        <f>IF(VLOOKUP(P127&amp;"_"&amp;Q127,活动关卡!$A$4:$Z$27,2+5*R127,FALSE)="","","Monster_Challenge"&amp;P127&amp;"_"&amp;Q127&amp;"_"&amp;R127)</f>
        <v/>
      </c>
      <c r="M127" s="57" t="str">
        <f t="shared" si="32"/>
        <v/>
      </c>
      <c r="N127" s="118"/>
      <c r="O127" s="102" t="str">
        <f>VLOOKUP(P127&amp;"_"&amp;Q127,活动关卡!$A$4:$Z$27,6+5*MonsterWaveCallRuleCfg!R127,FALSE)</f>
        <v/>
      </c>
      <c r="P127" s="110">
        <v>2</v>
      </c>
      <c r="Q127" s="110">
        <f t="shared" si="37"/>
        <v>1</v>
      </c>
      <c r="R127" s="110">
        <v>4</v>
      </c>
    </row>
    <row r="128" spans="2:18" x14ac:dyDescent="0.2">
      <c r="B128" s="57" t="str">
        <f t="shared" si="34"/>
        <v>MonsterWaveCallRule_Challenge2</v>
      </c>
      <c r="C128" s="57">
        <v>2</v>
      </c>
      <c r="D128" s="57" t="str">
        <f t="shared" si="35"/>
        <v>挑战关卡2第2波</v>
      </c>
      <c r="F128" s="57">
        <f t="shared" si="28"/>
        <v>0</v>
      </c>
      <c r="G128" s="102">
        <f t="shared" si="36"/>
        <v>180</v>
      </c>
      <c r="I128" s="102">
        <f>VLOOKUP(P128&amp;"_"&amp;Q128,活动关卡!$A$4:$Z$27,3+5*MonsterWaveCallRuleCfg!R128,FALSE)</f>
        <v>6</v>
      </c>
      <c r="J128" s="102">
        <f>VLOOKUP(P128&amp;"_"&amp;Q128,活动关卡!$A$4:$Z$27,4+5*MonsterWaveCallRuleCfg!R128,FALSE)</f>
        <v>2</v>
      </c>
      <c r="K128" s="102">
        <f t="shared" si="31"/>
        <v>1</v>
      </c>
      <c r="L128" s="102" t="str">
        <f>IF(VLOOKUP(P128&amp;"_"&amp;Q128,活动关卡!$A$4:$Z$27,2+5*R128,FALSE)="","","Monster_Challenge"&amp;P128&amp;"_"&amp;Q128&amp;"_"&amp;R128)</f>
        <v>Monster_Challenge2_2_1</v>
      </c>
      <c r="M128" s="57">
        <f t="shared" si="32"/>
        <v>1</v>
      </c>
      <c r="N128" s="118"/>
      <c r="O128" s="102">
        <f>VLOOKUP(P128&amp;"_"&amp;Q128,活动关卡!$A$4:$Z$27,6+5*MonsterWaveCallRuleCfg!R128,FALSE)</f>
        <v>20</v>
      </c>
      <c r="P128" s="110">
        <v>2</v>
      </c>
      <c r="Q128" s="110">
        <f t="shared" si="37"/>
        <v>2</v>
      </c>
      <c r="R128" s="110">
        <v>1</v>
      </c>
    </row>
    <row r="129" spans="2:18" x14ac:dyDescent="0.2">
      <c r="B129" s="57" t="str">
        <f t="shared" si="34"/>
        <v/>
      </c>
      <c r="D129" s="57" t="str">
        <f t="shared" si="35"/>
        <v/>
      </c>
      <c r="F129" s="57" t="str">
        <f t="shared" si="28"/>
        <v/>
      </c>
      <c r="G129" s="102" t="str">
        <f t="shared" si="36"/>
        <v/>
      </c>
      <c r="I129" s="102">
        <f>VLOOKUP(P129&amp;"_"&amp;Q129,活动关卡!$A$4:$Z$27,3+5*MonsterWaveCallRuleCfg!R129,FALSE)</f>
        <v>6</v>
      </c>
      <c r="J129" s="102">
        <f>VLOOKUP(P129&amp;"_"&amp;Q129,活动关卡!$A$4:$Z$27,4+5*MonsterWaveCallRuleCfg!R129,FALSE)</f>
        <v>2</v>
      </c>
      <c r="K129" s="102">
        <f t="shared" si="31"/>
        <v>1</v>
      </c>
      <c r="L129" s="102" t="str">
        <f>IF(VLOOKUP(P129&amp;"_"&amp;Q129,活动关卡!$A$4:$Z$27,2+5*R129,FALSE)="","","Monster_Challenge"&amp;P129&amp;"_"&amp;Q129&amp;"_"&amp;R129)</f>
        <v>Monster_Challenge2_2_2</v>
      </c>
      <c r="M129" s="57">
        <f t="shared" si="32"/>
        <v>1</v>
      </c>
      <c r="N129" s="118"/>
      <c r="O129" s="102">
        <f>VLOOKUP(P129&amp;"_"&amp;Q129,活动关卡!$A$4:$Z$27,6+5*MonsterWaveCallRuleCfg!R129,FALSE)</f>
        <v>40</v>
      </c>
      <c r="P129" s="110">
        <v>2</v>
      </c>
      <c r="Q129" s="110">
        <f t="shared" si="37"/>
        <v>2</v>
      </c>
      <c r="R129" s="110">
        <v>2</v>
      </c>
    </row>
    <row r="130" spans="2:18" x14ac:dyDescent="0.2">
      <c r="B130" s="57" t="str">
        <f t="shared" si="34"/>
        <v/>
      </c>
      <c r="D130" s="57" t="str">
        <f t="shared" si="35"/>
        <v/>
      </c>
      <c r="F130" s="57" t="str">
        <f t="shared" si="28"/>
        <v/>
      </c>
      <c r="G130" s="102" t="str">
        <f t="shared" si="36"/>
        <v/>
      </c>
      <c r="I130" s="102">
        <f>VLOOKUP(P130&amp;"_"&amp;Q130,活动关卡!$A$4:$Z$27,3+5*MonsterWaveCallRuleCfg!R130,FALSE)</f>
        <v>6</v>
      </c>
      <c r="J130" s="102">
        <f>VLOOKUP(P130&amp;"_"&amp;Q130,活动关卡!$A$4:$Z$27,4+5*MonsterWaveCallRuleCfg!R130,FALSE)</f>
        <v>2</v>
      </c>
      <c r="K130" s="102">
        <f t="shared" si="31"/>
        <v>1</v>
      </c>
      <c r="L130" s="102" t="str">
        <f>IF(VLOOKUP(P130&amp;"_"&amp;Q130,活动关卡!$A$4:$Z$27,2+5*R130,FALSE)="","","Monster_Challenge"&amp;P130&amp;"_"&amp;Q130&amp;"_"&amp;R130)</f>
        <v>Monster_Challenge2_2_3</v>
      </c>
      <c r="M130" s="57">
        <f t="shared" si="32"/>
        <v>1</v>
      </c>
      <c r="N130" s="118"/>
      <c r="O130" s="102">
        <f>VLOOKUP(P130&amp;"_"&amp;Q130,活动关卡!$A$4:$Z$27,6+5*MonsterWaveCallRuleCfg!R130,FALSE)</f>
        <v>40</v>
      </c>
      <c r="P130" s="110">
        <v>2</v>
      </c>
      <c r="Q130" s="110">
        <f t="shared" si="37"/>
        <v>2</v>
      </c>
      <c r="R130" s="110">
        <v>3</v>
      </c>
    </row>
    <row r="131" spans="2:18" x14ac:dyDescent="0.2">
      <c r="B131" s="57" t="str">
        <f t="shared" si="34"/>
        <v/>
      </c>
      <c r="D131" s="57" t="str">
        <f t="shared" si="35"/>
        <v/>
      </c>
      <c r="F131" s="57" t="str">
        <f t="shared" si="28"/>
        <v/>
      </c>
      <c r="G131" s="102" t="str">
        <f t="shared" si="36"/>
        <v/>
      </c>
      <c r="I131" s="102" t="str">
        <f>VLOOKUP(P131&amp;"_"&amp;Q131,活动关卡!$A$4:$Z$27,3+5*MonsterWaveCallRuleCfg!R131,FALSE)</f>
        <v/>
      </c>
      <c r="J131" s="102" t="str">
        <f>VLOOKUP(P131&amp;"_"&amp;Q131,活动关卡!$A$4:$Z$27,4+5*MonsterWaveCallRuleCfg!R131,FALSE)</f>
        <v/>
      </c>
      <c r="K131" s="102" t="str">
        <f t="shared" si="31"/>
        <v/>
      </c>
      <c r="L131" s="102" t="str">
        <f>IF(VLOOKUP(P131&amp;"_"&amp;Q131,活动关卡!$A$4:$Z$27,2+5*R131,FALSE)="","","Monster_Challenge"&amp;P131&amp;"_"&amp;Q131&amp;"_"&amp;R131)</f>
        <v/>
      </c>
      <c r="M131" s="57" t="str">
        <f t="shared" si="32"/>
        <v/>
      </c>
      <c r="N131" s="118"/>
      <c r="O131" s="102" t="str">
        <f>VLOOKUP(P131&amp;"_"&amp;Q131,活动关卡!$A$4:$Z$27,6+5*MonsterWaveCallRuleCfg!R131,FALSE)</f>
        <v/>
      </c>
      <c r="P131" s="110">
        <v>2</v>
      </c>
      <c r="Q131" s="110">
        <f t="shared" si="37"/>
        <v>2</v>
      </c>
      <c r="R131" s="110">
        <v>4</v>
      </c>
    </row>
    <row r="132" spans="2:18" x14ac:dyDescent="0.2">
      <c r="B132" s="57" t="str">
        <f t="shared" si="34"/>
        <v>MonsterWaveCallRule_Challenge2</v>
      </c>
      <c r="C132" s="57">
        <v>3</v>
      </c>
      <c r="D132" s="57" t="str">
        <f t="shared" si="35"/>
        <v>挑战关卡2第3波</v>
      </c>
      <c r="F132" s="57">
        <f t="shared" si="28"/>
        <v>0</v>
      </c>
      <c r="G132" s="102">
        <f t="shared" si="36"/>
        <v>180</v>
      </c>
      <c r="I132" s="102">
        <f>VLOOKUP(P132&amp;"_"&amp;Q132,活动关卡!$A$4:$Z$27,3+5*MonsterWaveCallRuleCfg!R132,FALSE)</f>
        <v>15</v>
      </c>
      <c r="J132" s="102">
        <f>VLOOKUP(P132&amp;"_"&amp;Q132,活动关卡!$A$4:$Z$27,4+5*MonsterWaveCallRuleCfg!R132,FALSE)</f>
        <v>1</v>
      </c>
      <c r="K132" s="102">
        <f t="shared" si="31"/>
        <v>1</v>
      </c>
      <c r="L132" s="102" t="str">
        <f>IF(VLOOKUP(P132&amp;"_"&amp;Q132,活动关卡!$A$4:$Z$27,2+5*R132,FALSE)="","","Monster_Challenge"&amp;P132&amp;"_"&amp;Q132&amp;"_"&amp;R132)</f>
        <v>Monster_Challenge2_3_1</v>
      </c>
      <c r="M132" s="57">
        <f t="shared" si="32"/>
        <v>1</v>
      </c>
      <c r="N132" s="118"/>
      <c r="O132" s="102">
        <f>VLOOKUP(P132&amp;"_"&amp;Q132,活动关卡!$A$4:$Z$27,6+5*MonsterWaveCallRuleCfg!R132,FALSE)</f>
        <v>11</v>
      </c>
      <c r="P132" s="110">
        <v>2</v>
      </c>
      <c r="Q132" s="110">
        <f t="shared" si="37"/>
        <v>3</v>
      </c>
      <c r="R132" s="110">
        <v>1</v>
      </c>
    </row>
    <row r="133" spans="2:18" x14ac:dyDescent="0.2">
      <c r="B133" s="57" t="str">
        <f t="shared" si="34"/>
        <v/>
      </c>
      <c r="D133" s="57" t="str">
        <f t="shared" si="35"/>
        <v/>
      </c>
      <c r="F133" s="57" t="str">
        <f t="shared" si="28"/>
        <v/>
      </c>
      <c r="G133" s="102" t="str">
        <f t="shared" si="36"/>
        <v/>
      </c>
      <c r="I133" s="102">
        <f>VLOOKUP(P133&amp;"_"&amp;Q133,活动关卡!$A$4:$Z$27,3+5*MonsterWaveCallRuleCfg!R133,FALSE)</f>
        <v>15</v>
      </c>
      <c r="J133" s="102">
        <f>VLOOKUP(P133&amp;"_"&amp;Q133,活动关卡!$A$4:$Z$27,4+5*MonsterWaveCallRuleCfg!R133,FALSE)</f>
        <v>1</v>
      </c>
      <c r="K133" s="102">
        <f t="shared" si="31"/>
        <v>1</v>
      </c>
      <c r="L133" s="102" t="str">
        <f>IF(VLOOKUP(P133&amp;"_"&amp;Q133,活动关卡!$A$4:$Z$27,2+5*R133,FALSE)="","","Monster_Challenge"&amp;P133&amp;"_"&amp;Q133&amp;"_"&amp;R133)</f>
        <v>Monster_Challenge2_3_2</v>
      </c>
      <c r="M133" s="57">
        <f t="shared" si="32"/>
        <v>1</v>
      </c>
      <c r="N133" s="118"/>
      <c r="O133" s="102">
        <f>VLOOKUP(P133&amp;"_"&amp;Q133,活动关卡!$A$4:$Z$27,6+5*MonsterWaveCallRuleCfg!R133,FALSE)</f>
        <v>6</v>
      </c>
      <c r="P133" s="110">
        <v>2</v>
      </c>
      <c r="Q133" s="110">
        <f t="shared" si="37"/>
        <v>3</v>
      </c>
      <c r="R133" s="110">
        <v>2</v>
      </c>
    </row>
    <row r="134" spans="2:18" x14ac:dyDescent="0.2">
      <c r="B134" s="57" t="str">
        <f t="shared" si="34"/>
        <v/>
      </c>
      <c r="D134" s="57" t="str">
        <f t="shared" si="35"/>
        <v/>
      </c>
      <c r="F134" s="57" t="str">
        <f t="shared" si="28"/>
        <v/>
      </c>
      <c r="G134" s="102" t="str">
        <f t="shared" si="36"/>
        <v/>
      </c>
      <c r="I134" s="102">
        <f>VLOOKUP(P134&amp;"_"&amp;Q134,活动关卡!$A$4:$Z$27,3+5*MonsterWaveCallRuleCfg!R134,FALSE)</f>
        <v>15</v>
      </c>
      <c r="J134" s="102">
        <f>VLOOKUP(P134&amp;"_"&amp;Q134,活动关卡!$A$4:$Z$27,4+5*MonsterWaveCallRuleCfg!R134,FALSE)</f>
        <v>1</v>
      </c>
      <c r="K134" s="102">
        <f t="shared" si="31"/>
        <v>1</v>
      </c>
      <c r="L134" s="102" t="str">
        <f>IF(VLOOKUP(P134&amp;"_"&amp;Q134,活动关卡!$A$4:$Z$27,2+5*R134,FALSE)="","","Monster_Challenge"&amp;P134&amp;"_"&amp;Q134&amp;"_"&amp;R134)</f>
        <v>Monster_Challenge2_3_3</v>
      </c>
      <c r="M134" s="57">
        <f t="shared" si="32"/>
        <v>1</v>
      </c>
      <c r="N134" s="118"/>
      <c r="O134" s="102">
        <f>VLOOKUP(P134&amp;"_"&amp;Q134,活动关卡!$A$4:$Z$27,6+5*MonsterWaveCallRuleCfg!R134,FALSE)</f>
        <v>23</v>
      </c>
      <c r="P134" s="110">
        <v>2</v>
      </c>
      <c r="Q134" s="110">
        <f t="shared" si="37"/>
        <v>3</v>
      </c>
      <c r="R134" s="110">
        <v>3</v>
      </c>
    </row>
    <row r="135" spans="2:18" x14ac:dyDescent="0.2">
      <c r="B135" s="57" t="str">
        <f t="shared" si="34"/>
        <v/>
      </c>
      <c r="D135" s="57" t="str">
        <f t="shared" si="35"/>
        <v/>
      </c>
      <c r="F135" s="57" t="str">
        <f t="shared" si="28"/>
        <v/>
      </c>
      <c r="G135" s="102" t="str">
        <f t="shared" si="36"/>
        <v/>
      </c>
      <c r="I135" s="102" t="str">
        <f>VLOOKUP(P135&amp;"_"&amp;Q135,活动关卡!$A$4:$Z$27,3+5*MonsterWaveCallRuleCfg!R135,FALSE)</f>
        <v/>
      </c>
      <c r="J135" s="102" t="str">
        <f>VLOOKUP(P135&amp;"_"&amp;Q135,活动关卡!$A$4:$Z$27,4+5*MonsterWaveCallRuleCfg!R135,FALSE)</f>
        <v/>
      </c>
      <c r="K135" s="102" t="str">
        <f t="shared" si="31"/>
        <v/>
      </c>
      <c r="L135" s="102" t="str">
        <f>IF(VLOOKUP(P135&amp;"_"&amp;Q135,活动关卡!$A$4:$Z$27,2+5*R135,FALSE)="","","Monster_Challenge"&amp;P135&amp;"_"&amp;Q135&amp;"_"&amp;R135)</f>
        <v/>
      </c>
      <c r="M135" s="57" t="str">
        <f t="shared" si="32"/>
        <v/>
      </c>
      <c r="N135" s="118"/>
      <c r="O135" s="102" t="str">
        <f>VLOOKUP(P135&amp;"_"&amp;Q135,活动关卡!$A$4:$Z$27,6+5*MonsterWaveCallRuleCfg!R135,FALSE)</f>
        <v/>
      </c>
      <c r="P135" s="110">
        <v>2</v>
      </c>
      <c r="Q135" s="110">
        <f t="shared" si="37"/>
        <v>3</v>
      </c>
      <c r="R135" s="110">
        <v>4</v>
      </c>
    </row>
    <row r="136" spans="2:18" x14ac:dyDescent="0.2">
      <c r="B136" s="57" t="str">
        <f t="shared" si="34"/>
        <v>MonsterWaveCallRule_Challenge2</v>
      </c>
      <c r="C136" s="57">
        <v>4</v>
      </c>
      <c r="D136" s="57" t="str">
        <f t="shared" si="35"/>
        <v>挑战关卡2第4波</v>
      </c>
      <c r="F136" s="57">
        <f t="shared" si="28"/>
        <v>0</v>
      </c>
      <c r="G136" s="102">
        <f t="shared" si="36"/>
        <v>180</v>
      </c>
      <c r="I136" s="102">
        <f>VLOOKUP(P136&amp;"_"&amp;Q136,活动关卡!$A$4:$Z$27,3+5*MonsterWaveCallRuleCfg!R136,FALSE)</f>
        <v>18</v>
      </c>
      <c r="J136" s="102">
        <f>VLOOKUP(P136&amp;"_"&amp;Q136,活动关卡!$A$4:$Z$27,4+5*MonsterWaveCallRuleCfg!R136,FALSE)</f>
        <v>1</v>
      </c>
      <c r="K136" s="102">
        <f t="shared" si="31"/>
        <v>1</v>
      </c>
      <c r="L136" s="102" t="str">
        <f>IF(VLOOKUP(P136&amp;"_"&amp;Q136,活动关卡!$A$4:$Z$27,2+5*R136,FALSE)="","","Monster_Challenge"&amp;P136&amp;"_"&amp;Q136&amp;"_"&amp;R136)</f>
        <v>Monster_Challenge2_4_1</v>
      </c>
      <c r="M136" s="57">
        <f t="shared" si="32"/>
        <v>1</v>
      </c>
      <c r="N136" s="118"/>
      <c r="O136" s="102">
        <f>VLOOKUP(P136&amp;"_"&amp;Q136,活动关卡!$A$4:$Z$27,6+5*MonsterWaveCallRuleCfg!R136,FALSE)</f>
        <v>4</v>
      </c>
      <c r="P136" s="110">
        <v>2</v>
      </c>
      <c r="Q136" s="110">
        <f t="shared" si="37"/>
        <v>4</v>
      </c>
      <c r="R136" s="110">
        <v>1</v>
      </c>
    </row>
    <row r="137" spans="2:18" x14ac:dyDescent="0.2">
      <c r="B137" s="57" t="str">
        <f t="shared" si="34"/>
        <v/>
      </c>
      <c r="D137" s="57" t="str">
        <f t="shared" si="35"/>
        <v/>
      </c>
      <c r="F137" s="57" t="str">
        <f t="shared" si="28"/>
        <v/>
      </c>
      <c r="G137" s="102" t="str">
        <f t="shared" si="36"/>
        <v/>
      </c>
      <c r="I137" s="102">
        <f>VLOOKUP(P137&amp;"_"&amp;Q137,活动关卡!$A$4:$Z$27,3+5*MonsterWaveCallRuleCfg!R137,FALSE)</f>
        <v>44</v>
      </c>
      <c r="J137" s="102">
        <f>VLOOKUP(P137&amp;"_"&amp;Q137,活动关卡!$A$4:$Z$27,4+5*MonsterWaveCallRuleCfg!R137,FALSE)</f>
        <v>0.4</v>
      </c>
      <c r="K137" s="102">
        <f t="shared" si="31"/>
        <v>1</v>
      </c>
      <c r="L137" s="102" t="str">
        <f>IF(VLOOKUP(P137&amp;"_"&amp;Q137,活动关卡!$A$4:$Z$27,2+5*R137,FALSE)="","","Monster_Challenge"&amp;P137&amp;"_"&amp;Q137&amp;"_"&amp;R137)</f>
        <v>Monster_Challenge2_4_2</v>
      </c>
      <c r="M137" s="57">
        <f t="shared" si="32"/>
        <v>1</v>
      </c>
      <c r="N137" s="118"/>
      <c r="O137" s="102">
        <f>VLOOKUP(P137&amp;"_"&amp;Q137,活动关卡!$A$4:$Z$27,6+5*MonsterWaveCallRuleCfg!R137,FALSE)</f>
        <v>2</v>
      </c>
      <c r="P137" s="110">
        <v>2</v>
      </c>
      <c r="Q137" s="110">
        <f t="shared" si="37"/>
        <v>4</v>
      </c>
      <c r="R137" s="110">
        <v>2</v>
      </c>
    </row>
    <row r="138" spans="2:18" x14ac:dyDescent="0.2">
      <c r="B138" s="57" t="str">
        <f t="shared" si="34"/>
        <v/>
      </c>
      <c r="D138" s="57" t="str">
        <f t="shared" si="35"/>
        <v/>
      </c>
      <c r="F138" s="57" t="str">
        <f t="shared" si="28"/>
        <v/>
      </c>
      <c r="G138" s="102" t="str">
        <f t="shared" si="36"/>
        <v/>
      </c>
      <c r="I138" s="102">
        <f>VLOOKUP(P138&amp;"_"&amp;Q138,活动关卡!$A$4:$Z$27,3+5*MonsterWaveCallRuleCfg!R138,FALSE)</f>
        <v>35</v>
      </c>
      <c r="J138" s="102">
        <f>VLOOKUP(P138&amp;"_"&amp;Q138,活动关卡!$A$4:$Z$27,4+5*MonsterWaveCallRuleCfg!R138,FALSE)</f>
        <v>0.5</v>
      </c>
      <c r="K138" s="102">
        <f t="shared" si="31"/>
        <v>1</v>
      </c>
      <c r="L138" s="102" t="str">
        <f>IF(VLOOKUP(P138&amp;"_"&amp;Q138,活动关卡!$A$4:$Z$27,2+5*R138,FALSE)="","","Monster_Challenge"&amp;P138&amp;"_"&amp;Q138&amp;"_"&amp;R138)</f>
        <v>Monster_Challenge2_4_3</v>
      </c>
      <c r="M138" s="57">
        <f t="shared" si="32"/>
        <v>1</v>
      </c>
      <c r="N138" s="118"/>
      <c r="O138" s="102">
        <f>VLOOKUP(P138&amp;"_"&amp;Q138,活动关卡!$A$4:$Z$27,6+5*MonsterWaveCallRuleCfg!R138,FALSE)</f>
        <v>8</v>
      </c>
      <c r="P138" s="110">
        <v>2</v>
      </c>
      <c r="Q138" s="110">
        <f t="shared" si="37"/>
        <v>4</v>
      </c>
      <c r="R138" s="110">
        <v>3</v>
      </c>
    </row>
    <row r="139" spans="2:18" x14ac:dyDescent="0.2">
      <c r="B139" s="57" t="str">
        <f t="shared" si="34"/>
        <v/>
      </c>
      <c r="D139" s="57" t="str">
        <f t="shared" si="35"/>
        <v/>
      </c>
      <c r="F139" s="57" t="str">
        <f t="shared" si="28"/>
        <v/>
      </c>
      <c r="G139" s="102" t="str">
        <f t="shared" si="36"/>
        <v/>
      </c>
      <c r="I139" s="102">
        <f>VLOOKUP(P139&amp;"_"&amp;Q139,活动关卡!$A$4:$Z$27,3+5*MonsterWaveCallRuleCfg!R139,FALSE)</f>
        <v>18</v>
      </c>
      <c r="J139" s="102">
        <f>VLOOKUP(P139&amp;"_"&amp;Q139,活动关卡!$A$4:$Z$27,4+5*MonsterWaveCallRuleCfg!R139,FALSE)</f>
        <v>1</v>
      </c>
      <c r="K139" s="102">
        <f t="shared" si="31"/>
        <v>1</v>
      </c>
      <c r="L139" s="102" t="str">
        <f>IF(VLOOKUP(P139&amp;"_"&amp;Q139,活动关卡!$A$4:$Z$27,2+5*R139,FALSE)="","","Monster_Challenge"&amp;P139&amp;"_"&amp;Q139&amp;"_"&amp;R139)</f>
        <v>Monster_Challenge2_4_4</v>
      </c>
      <c r="M139" s="57">
        <f t="shared" si="32"/>
        <v>1</v>
      </c>
      <c r="N139" s="118"/>
      <c r="O139" s="102">
        <f>VLOOKUP(P139&amp;"_"&amp;Q139,活动关卡!$A$4:$Z$27,6+5*MonsterWaveCallRuleCfg!R139,FALSE)</f>
        <v>8</v>
      </c>
      <c r="P139" s="110">
        <v>2</v>
      </c>
      <c r="Q139" s="110">
        <f t="shared" si="37"/>
        <v>4</v>
      </c>
      <c r="R139" s="110">
        <v>4</v>
      </c>
    </row>
    <row r="140" spans="2:18" x14ac:dyDescent="0.2">
      <c r="B140" s="57" t="str">
        <f t="shared" si="34"/>
        <v>MonsterWaveCallRule_Challenge2</v>
      </c>
      <c r="C140" s="57">
        <v>5</v>
      </c>
      <c r="D140" s="57" t="str">
        <f t="shared" si="35"/>
        <v>挑战关卡2第5波</v>
      </c>
      <c r="F140" s="57">
        <f t="shared" si="28"/>
        <v>0</v>
      </c>
      <c r="G140" s="102">
        <f t="shared" si="36"/>
        <v>180</v>
      </c>
      <c r="I140" s="102">
        <f>VLOOKUP(P140&amp;"_"&amp;Q140,活动关卡!$A$4:$Z$27,3+5*MonsterWaveCallRuleCfg!R140,FALSE)</f>
        <v>67</v>
      </c>
      <c r="J140" s="102">
        <f>VLOOKUP(P140&amp;"_"&amp;Q140,活动关卡!$A$4:$Z$27,4+5*MonsterWaveCallRuleCfg!R140,FALSE)</f>
        <v>0.3</v>
      </c>
      <c r="K140" s="102">
        <f t="shared" si="31"/>
        <v>1</v>
      </c>
      <c r="L140" s="102" t="str">
        <f>IF(VLOOKUP(P140&amp;"_"&amp;Q140,活动关卡!$A$4:$Z$27,2+5*R140,FALSE)="","","Monster_Challenge"&amp;P140&amp;"_"&amp;Q140&amp;"_"&amp;R140)</f>
        <v>Monster_Challenge2_5_1</v>
      </c>
      <c r="M140" s="57">
        <f t="shared" si="32"/>
        <v>1</v>
      </c>
      <c r="N140" s="118"/>
      <c r="O140" s="102">
        <f>VLOOKUP(P140&amp;"_"&amp;Q140,活动关卡!$A$4:$Z$27,6+5*MonsterWaveCallRuleCfg!R140,FALSE)</f>
        <v>3</v>
      </c>
      <c r="P140" s="110">
        <v>2</v>
      </c>
      <c r="Q140" s="110">
        <f t="shared" si="37"/>
        <v>5</v>
      </c>
      <c r="R140" s="110">
        <v>1</v>
      </c>
    </row>
    <row r="141" spans="2:18" x14ac:dyDescent="0.2">
      <c r="B141" s="57" t="str">
        <f t="shared" si="34"/>
        <v/>
      </c>
      <c r="D141" s="57" t="str">
        <f t="shared" si="35"/>
        <v/>
      </c>
      <c r="F141" s="57" t="str">
        <f t="shared" si="28"/>
        <v/>
      </c>
      <c r="G141" s="102" t="str">
        <f t="shared" si="36"/>
        <v/>
      </c>
      <c r="I141" s="102">
        <f>VLOOKUP(P141&amp;"_"&amp;Q141,活动关卡!$A$4:$Z$27,3+5*MonsterWaveCallRuleCfg!R141,FALSE)</f>
        <v>100</v>
      </c>
      <c r="J141" s="102">
        <f>VLOOKUP(P141&amp;"_"&amp;Q141,活动关卡!$A$4:$Z$27,4+5*MonsterWaveCallRuleCfg!R141,FALSE)</f>
        <v>0.2</v>
      </c>
      <c r="K141" s="102">
        <f t="shared" si="31"/>
        <v>1</v>
      </c>
      <c r="L141" s="102" t="str">
        <f>IF(VLOOKUP(P141&amp;"_"&amp;Q141,活动关卡!$A$4:$Z$27,2+5*R141,FALSE)="","","Monster_Challenge"&amp;P141&amp;"_"&amp;Q141&amp;"_"&amp;R141)</f>
        <v>Monster_Challenge2_5_2</v>
      </c>
      <c r="M141" s="57">
        <f t="shared" si="32"/>
        <v>1</v>
      </c>
      <c r="N141" s="118"/>
      <c r="O141" s="102">
        <f>VLOOKUP(P141&amp;"_"&amp;Q141,活动关卡!$A$4:$Z$27,6+5*MonsterWaveCallRuleCfg!R141,FALSE)</f>
        <v>1</v>
      </c>
      <c r="P141" s="110">
        <v>2</v>
      </c>
      <c r="Q141" s="110">
        <f t="shared" si="37"/>
        <v>5</v>
      </c>
      <c r="R141" s="110">
        <v>2</v>
      </c>
    </row>
    <row r="142" spans="2:18" x14ac:dyDescent="0.2">
      <c r="B142" s="57" t="str">
        <f t="shared" si="34"/>
        <v/>
      </c>
      <c r="D142" s="57" t="str">
        <f t="shared" si="35"/>
        <v/>
      </c>
      <c r="F142" s="57" t="str">
        <f t="shared" si="28"/>
        <v/>
      </c>
      <c r="G142" s="102" t="str">
        <f t="shared" si="36"/>
        <v/>
      </c>
      <c r="I142" s="102">
        <f>VLOOKUP(P142&amp;"_"&amp;Q142,活动关卡!$A$4:$Z$27,3+5*MonsterWaveCallRuleCfg!R142,FALSE)</f>
        <v>40</v>
      </c>
      <c r="J142" s="102">
        <f>VLOOKUP(P142&amp;"_"&amp;Q142,活动关卡!$A$4:$Z$27,4+5*MonsterWaveCallRuleCfg!R142,FALSE)</f>
        <v>0.5</v>
      </c>
      <c r="K142" s="102">
        <f t="shared" si="31"/>
        <v>1</v>
      </c>
      <c r="L142" s="102" t="str">
        <f>IF(VLOOKUP(P142&amp;"_"&amp;Q142,活动关卡!$A$4:$Z$27,2+5*R142,FALSE)="","","Monster_Challenge"&amp;P142&amp;"_"&amp;Q142&amp;"_"&amp;R142)</f>
        <v>Monster_Challenge2_5_3</v>
      </c>
      <c r="M142" s="57">
        <f t="shared" si="32"/>
        <v>1</v>
      </c>
      <c r="N142" s="118"/>
      <c r="O142" s="102">
        <f>VLOOKUP(P142&amp;"_"&amp;Q142,活动关卡!$A$4:$Z$27,6+5*MonsterWaveCallRuleCfg!R142,FALSE)</f>
        <v>5</v>
      </c>
      <c r="P142" s="110">
        <v>2</v>
      </c>
      <c r="Q142" s="110">
        <f t="shared" si="37"/>
        <v>5</v>
      </c>
      <c r="R142" s="110">
        <v>3</v>
      </c>
    </row>
    <row r="143" spans="2:18" x14ac:dyDescent="0.2">
      <c r="B143" s="57" t="str">
        <f t="shared" si="34"/>
        <v/>
      </c>
      <c r="D143" s="57" t="str">
        <f t="shared" si="35"/>
        <v/>
      </c>
      <c r="F143" s="57" t="str">
        <f t="shared" si="28"/>
        <v/>
      </c>
      <c r="G143" s="102" t="str">
        <f t="shared" si="36"/>
        <v/>
      </c>
      <c r="I143" s="102">
        <f>VLOOKUP(P143&amp;"_"&amp;Q143,活动关卡!$A$4:$Z$27,3+5*MonsterWaveCallRuleCfg!R143,FALSE)</f>
        <v>20</v>
      </c>
      <c r="J143" s="102">
        <f>VLOOKUP(P143&amp;"_"&amp;Q143,活动关卡!$A$4:$Z$27,4+5*MonsterWaveCallRuleCfg!R143,FALSE)</f>
        <v>1</v>
      </c>
      <c r="K143" s="102">
        <f t="shared" si="31"/>
        <v>1</v>
      </c>
      <c r="L143" s="102" t="str">
        <f>IF(VLOOKUP(P143&amp;"_"&amp;Q143,活动关卡!$A$4:$Z$27,2+5*R143,FALSE)="","","Monster_Challenge"&amp;P143&amp;"_"&amp;Q143&amp;"_"&amp;R143)</f>
        <v>Monster_Challenge2_5_4</v>
      </c>
      <c r="M143" s="57">
        <f t="shared" si="32"/>
        <v>1</v>
      </c>
      <c r="N143" s="118"/>
      <c r="O143" s="102">
        <f>VLOOKUP(P143&amp;"_"&amp;Q143,活动关卡!$A$4:$Z$27,6+5*MonsterWaveCallRuleCfg!R143,FALSE)</f>
        <v>5</v>
      </c>
      <c r="P143" s="110">
        <v>2</v>
      </c>
      <c r="Q143" s="110">
        <f t="shared" si="37"/>
        <v>5</v>
      </c>
      <c r="R143" s="110">
        <v>4</v>
      </c>
    </row>
    <row r="144" spans="2:18" x14ac:dyDescent="0.2">
      <c r="B144" s="57" t="str">
        <f t="shared" si="34"/>
        <v>MonsterWaveCallRule_Challenge3</v>
      </c>
      <c r="C144" s="57">
        <v>1</v>
      </c>
      <c r="D144" s="57" t="str">
        <f t="shared" si="35"/>
        <v>挑战关卡3第1波</v>
      </c>
      <c r="F144" s="57">
        <f t="shared" si="28"/>
        <v>0</v>
      </c>
      <c r="G144" s="102">
        <f t="shared" si="36"/>
        <v>180</v>
      </c>
      <c r="I144" s="102">
        <f>VLOOKUP(P144&amp;"_"&amp;Q144,活动关卡!$A$4:$Z$27,3+5*MonsterWaveCallRuleCfg!R144,FALSE)</f>
        <v>5</v>
      </c>
      <c r="J144" s="102">
        <f>VLOOKUP(P144&amp;"_"&amp;Q144,活动关卡!$A$4:$Z$27,4+5*MonsterWaveCallRuleCfg!R144,FALSE)</f>
        <v>2</v>
      </c>
      <c r="K144" s="102">
        <f t="shared" si="31"/>
        <v>1</v>
      </c>
      <c r="L144" s="102" t="str">
        <f>IF(VLOOKUP(P144&amp;"_"&amp;Q144,活动关卡!$A$4:$Z$27,2+5*R144,FALSE)="","","Monster_Challenge"&amp;P144&amp;"_"&amp;Q144&amp;"_"&amp;R144)</f>
        <v>Monster_Challenge3_1_1</v>
      </c>
      <c r="M144" s="57">
        <f t="shared" si="32"/>
        <v>1</v>
      </c>
      <c r="N144" s="118"/>
      <c r="O144" s="102">
        <f>VLOOKUP(P144&amp;"_"&amp;Q144,活动关卡!$A$4:$Z$27,6+5*MonsterWaveCallRuleCfg!R144,FALSE)</f>
        <v>60</v>
      </c>
      <c r="P144" s="110">
        <v>3</v>
      </c>
      <c r="Q144" s="110">
        <f t="shared" si="37"/>
        <v>1</v>
      </c>
      <c r="R144" s="110">
        <v>1</v>
      </c>
    </row>
    <row r="145" spans="2:18" x14ac:dyDescent="0.2">
      <c r="B145" s="57" t="str">
        <f t="shared" si="34"/>
        <v/>
      </c>
      <c r="D145" s="57" t="str">
        <f t="shared" si="35"/>
        <v/>
      </c>
      <c r="F145" s="57" t="str">
        <f t="shared" si="28"/>
        <v/>
      </c>
      <c r="G145" s="102" t="str">
        <f t="shared" si="36"/>
        <v/>
      </c>
      <c r="I145" s="102">
        <f>VLOOKUP(P145&amp;"_"&amp;Q145,活动关卡!$A$4:$Z$27,3+5*MonsterWaveCallRuleCfg!R145,FALSE)</f>
        <v>5</v>
      </c>
      <c r="J145" s="102">
        <f>VLOOKUP(P145&amp;"_"&amp;Q145,活动关卡!$A$4:$Z$27,4+5*MonsterWaveCallRuleCfg!R145,FALSE)</f>
        <v>2</v>
      </c>
      <c r="K145" s="102">
        <f t="shared" si="31"/>
        <v>1</v>
      </c>
      <c r="L145" s="102" t="str">
        <f>IF(VLOOKUP(P145&amp;"_"&amp;Q145,活动关卡!$A$4:$Z$27,2+5*R145,FALSE)="","","Monster_Challenge"&amp;P145&amp;"_"&amp;Q145&amp;"_"&amp;R145)</f>
        <v>Monster_Challenge3_1_2</v>
      </c>
      <c r="M145" s="57">
        <f t="shared" si="32"/>
        <v>1</v>
      </c>
      <c r="N145" s="118"/>
      <c r="O145" s="102">
        <f>VLOOKUP(P145&amp;"_"&amp;Q145,活动关卡!$A$4:$Z$27,6+5*MonsterWaveCallRuleCfg!R145,FALSE)</f>
        <v>60</v>
      </c>
      <c r="P145" s="110">
        <v>3</v>
      </c>
      <c r="Q145" s="110">
        <f t="shared" si="37"/>
        <v>1</v>
      </c>
      <c r="R145" s="110">
        <v>2</v>
      </c>
    </row>
    <row r="146" spans="2:18" x14ac:dyDescent="0.2">
      <c r="B146" s="57" t="str">
        <f t="shared" si="34"/>
        <v/>
      </c>
      <c r="D146" s="57" t="str">
        <f t="shared" si="35"/>
        <v/>
      </c>
      <c r="F146" s="57" t="str">
        <f t="shared" si="28"/>
        <v/>
      </c>
      <c r="G146" s="102" t="str">
        <f t="shared" si="36"/>
        <v/>
      </c>
      <c r="I146" s="102" t="str">
        <f>VLOOKUP(P146&amp;"_"&amp;Q146,活动关卡!$A$4:$Z$27,3+5*MonsterWaveCallRuleCfg!R146,FALSE)</f>
        <v/>
      </c>
      <c r="J146" s="102" t="str">
        <f>VLOOKUP(P146&amp;"_"&amp;Q146,活动关卡!$A$4:$Z$27,4+5*MonsterWaveCallRuleCfg!R146,FALSE)</f>
        <v/>
      </c>
      <c r="K146" s="102" t="str">
        <f t="shared" si="31"/>
        <v/>
      </c>
      <c r="L146" s="102" t="str">
        <f>IF(VLOOKUP(P146&amp;"_"&amp;Q146,活动关卡!$A$4:$Z$27,2+5*R146,FALSE)="","","Monster_Challenge"&amp;P146&amp;"_"&amp;Q146&amp;"_"&amp;R146)</f>
        <v/>
      </c>
      <c r="M146" s="57" t="str">
        <f t="shared" si="32"/>
        <v/>
      </c>
      <c r="N146" s="118"/>
      <c r="O146" s="102" t="str">
        <f>VLOOKUP(P146&amp;"_"&amp;Q146,活动关卡!$A$4:$Z$27,6+5*MonsterWaveCallRuleCfg!R146,FALSE)</f>
        <v/>
      </c>
      <c r="P146" s="110">
        <v>3</v>
      </c>
      <c r="Q146" s="110">
        <f t="shared" si="37"/>
        <v>1</v>
      </c>
      <c r="R146" s="110">
        <v>3</v>
      </c>
    </row>
    <row r="147" spans="2:18" x14ac:dyDescent="0.2">
      <c r="B147" s="57" t="str">
        <f t="shared" si="34"/>
        <v/>
      </c>
      <c r="D147" s="57" t="str">
        <f t="shared" si="35"/>
        <v/>
      </c>
      <c r="F147" s="57" t="str">
        <f t="shared" si="28"/>
        <v/>
      </c>
      <c r="G147" s="102" t="str">
        <f t="shared" si="36"/>
        <v/>
      </c>
      <c r="I147" s="102" t="str">
        <f>VLOOKUP(P147&amp;"_"&amp;Q147,活动关卡!$A$4:$Z$27,3+5*MonsterWaveCallRuleCfg!R147,FALSE)</f>
        <v/>
      </c>
      <c r="J147" s="102" t="str">
        <f>VLOOKUP(P147&amp;"_"&amp;Q147,活动关卡!$A$4:$Z$27,4+5*MonsterWaveCallRuleCfg!R147,FALSE)</f>
        <v/>
      </c>
      <c r="K147" s="102" t="str">
        <f t="shared" si="31"/>
        <v/>
      </c>
      <c r="L147" s="102" t="str">
        <f>IF(VLOOKUP(P147&amp;"_"&amp;Q147,活动关卡!$A$4:$Z$27,2+5*R147,FALSE)="","","Monster_Challenge"&amp;P147&amp;"_"&amp;Q147&amp;"_"&amp;R147)</f>
        <v/>
      </c>
      <c r="M147" s="57" t="str">
        <f t="shared" si="32"/>
        <v/>
      </c>
      <c r="N147" s="118"/>
      <c r="O147" s="102" t="str">
        <f>VLOOKUP(P147&amp;"_"&amp;Q147,活动关卡!$A$4:$Z$27,6+5*MonsterWaveCallRuleCfg!R147,FALSE)</f>
        <v/>
      </c>
      <c r="P147" s="110">
        <v>3</v>
      </c>
      <c r="Q147" s="110">
        <f t="shared" si="37"/>
        <v>1</v>
      </c>
      <c r="R147" s="110">
        <v>4</v>
      </c>
    </row>
    <row r="148" spans="2:18" x14ac:dyDescent="0.2">
      <c r="B148" s="57" t="str">
        <f t="shared" si="34"/>
        <v>MonsterWaveCallRule_Challenge3</v>
      </c>
      <c r="C148" s="57">
        <v>2</v>
      </c>
      <c r="D148" s="57" t="str">
        <f t="shared" si="35"/>
        <v>挑战关卡3第2波</v>
      </c>
      <c r="F148" s="57">
        <f t="shared" si="28"/>
        <v>0</v>
      </c>
      <c r="G148" s="102">
        <f t="shared" si="36"/>
        <v>180</v>
      </c>
      <c r="I148" s="102">
        <f>VLOOKUP(P148&amp;"_"&amp;Q148,活动关卡!$A$4:$Z$27,3+5*MonsterWaveCallRuleCfg!R148,FALSE)</f>
        <v>6</v>
      </c>
      <c r="J148" s="102">
        <f>VLOOKUP(P148&amp;"_"&amp;Q148,活动关卡!$A$4:$Z$27,4+5*MonsterWaveCallRuleCfg!R148,FALSE)</f>
        <v>2</v>
      </c>
      <c r="K148" s="102">
        <f t="shared" si="31"/>
        <v>1</v>
      </c>
      <c r="L148" s="102" t="str">
        <f>IF(VLOOKUP(P148&amp;"_"&amp;Q148,活动关卡!$A$4:$Z$27,2+5*R148,FALSE)="","","Monster_Challenge"&amp;P148&amp;"_"&amp;Q148&amp;"_"&amp;R148)</f>
        <v>Monster_Challenge3_2_1</v>
      </c>
      <c r="M148" s="57">
        <f t="shared" si="32"/>
        <v>1</v>
      </c>
      <c r="N148" s="118"/>
      <c r="O148" s="102">
        <f>VLOOKUP(P148&amp;"_"&amp;Q148,活动关卡!$A$4:$Z$27,6+5*MonsterWaveCallRuleCfg!R148,FALSE)</f>
        <v>33</v>
      </c>
      <c r="P148" s="110">
        <v>3</v>
      </c>
      <c r="Q148" s="110">
        <f t="shared" si="37"/>
        <v>2</v>
      </c>
      <c r="R148" s="110">
        <v>1</v>
      </c>
    </row>
    <row r="149" spans="2:18" x14ac:dyDescent="0.2">
      <c r="B149" s="57" t="str">
        <f t="shared" si="34"/>
        <v/>
      </c>
      <c r="D149" s="57" t="str">
        <f t="shared" si="35"/>
        <v/>
      </c>
      <c r="F149" s="57" t="str">
        <f t="shared" si="28"/>
        <v/>
      </c>
      <c r="G149" s="102" t="str">
        <f t="shared" si="36"/>
        <v/>
      </c>
      <c r="I149" s="102">
        <f>VLOOKUP(P149&amp;"_"&amp;Q149,活动关卡!$A$4:$Z$27,3+5*MonsterWaveCallRuleCfg!R149,FALSE)</f>
        <v>6</v>
      </c>
      <c r="J149" s="102">
        <f>VLOOKUP(P149&amp;"_"&amp;Q149,活动关卡!$A$4:$Z$27,4+5*MonsterWaveCallRuleCfg!R149,FALSE)</f>
        <v>2</v>
      </c>
      <c r="K149" s="102">
        <f t="shared" si="31"/>
        <v>1</v>
      </c>
      <c r="L149" s="102" t="str">
        <f>IF(VLOOKUP(P149&amp;"_"&amp;Q149,活动关卡!$A$4:$Z$27,2+5*R149,FALSE)="","","Monster_Challenge"&amp;P149&amp;"_"&amp;Q149&amp;"_"&amp;R149)</f>
        <v>Monster_Challenge3_2_2</v>
      </c>
      <c r="M149" s="57">
        <f t="shared" si="32"/>
        <v>1</v>
      </c>
      <c r="N149" s="118"/>
      <c r="O149" s="102">
        <f>VLOOKUP(P149&amp;"_"&amp;Q149,活动关卡!$A$4:$Z$27,6+5*MonsterWaveCallRuleCfg!R149,FALSE)</f>
        <v>33</v>
      </c>
      <c r="P149" s="110">
        <v>3</v>
      </c>
      <c r="Q149" s="110">
        <f t="shared" si="37"/>
        <v>2</v>
      </c>
      <c r="R149" s="110">
        <v>2</v>
      </c>
    </row>
    <row r="150" spans="2:18" x14ac:dyDescent="0.2">
      <c r="B150" s="57" t="str">
        <f t="shared" si="34"/>
        <v/>
      </c>
      <c r="D150" s="57" t="str">
        <f t="shared" si="35"/>
        <v/>
      </c>
      <c r="F150" s="57" t="str">
        <f t="shared" si="28"/>
        <v/>
      </c>
      <c r="G150" s="102" t="str">
        <f t="shared" si="36"/>
        <v/>
      </c>
      <c r="I150" s="102">
        <f>VLOOKUP(P150&amp;"_"&amp;Q150,活动关卡!$A$4:$Z$27,3+5*MonsterWaveCallRuleCfg!R150,FALSE)</f>
        <v>6</v>
      </c>
      <c r="J150" s="102">
        <f>VLOOKUP(P150&amp;"_"&amp;Q150,活动关卡!$A$4:$Z$27,4+5*MonsterWaveCallRuleCfg!R150,FALSE)</f>
        <v>2</v>
      </c>
      <c r="K150" s="102">
        <f t="shared" si="31"/>
        <v>1</v>
      </c>
      <c r="L150" s="102" t="str">
        <f>IF(VLOOKUP(P150&amp;"_"&amp;Q150,活动关卡!$A$4:$Z$27,2+5*R150,FALSE)="","","Monster_Challenge"&amp;P150&amp;"_"&amp;Q150&amp;"_"&amp;R150)</f>
        <v>Monster_Challenge3_2_3</v>
      </c>
      <c r="M150" s="57">
        <f t="shared" si="32"/>
        <v>1</v>
      </c>
      <c r="N150" s="118"/>
      <c r="O150" s="102">
        <f>VLOOKUP(P150&amp;"_"&amp;Q150,活动关卡!$A$4:$Z$27,6+5*MonsterWaveCallRuleCfg!R150,FALSE)</f>
        <v>33</v>
      </c>
      <c r="P150" s="110">
        <v>3</v>
      </c>
      <c r="Q150" s="110">
        <f t="shared" si="37"/>
        <v>2</v>
      </c>
      <c r="R150" s="110">
        <v>3</v>
      </c>
    </row>
    <row r="151" spans="2:18" x14ac:dyDescent="0.2">
      <c r="B151" s="57" t="str">
        <f t="shared" si="34"/>
        <v/>
      </c>
      <c r="D151" s="57" t="str">
        <f t="shared" si="35"/>
        <v/>
      </c>
      <c r="F151" s="57" t="str">
        <f t="shared" si="28"/>
        <v/>
      </c>
      <c r="G151" s="102" t="str">
        <f t="shared" si="36"/>
        <v/>
      </c>
      <c r="I151" s="102" t="str">
        <f>VLOOKUP(P151&amp;"_"&amp;Q151,活动关卡!$A$4:$Z$27,3+5*MonsterWaveCallRuleCfg!R151,FALSE)</f>
        <v/>
      </c>
      <c r="J151" s="102" t="str">
        <f>VLOOKUP(P151&amp;"_"&amp;Q151,活动关卡!$A$4:$Z$27,4+5*MonsterWaveCallRuleCfg!R151,FALSE)</f>
        <v/>
      </c>
      <c r="K151" s="102" t="str">
        <f t="shared" si="31"/>
        <v/>
      </c>
      <c r="L151" s="102" t="str">
        <f>IF(VLOOKUP(P151&amp;"_"&amp;Q151,活动关卡!$A$4:$Z$27,2+5*R151,FALSE)="","","Monster_Challenge"&amp;P151&amp;"_"&amp;Q151&amp;"_"&amp;R151)</f>
        <v/>
      </c>
      <c r="M151" s="57" t="str">
        <f t="shared" si="32"/>
        <v/>
      </c>
      <c r="N151" s="118"/>
      <c r="O151" s="102" t="str">
        <f>VLOOKUP(P151&amp;"_"&amp;Q151,活动关卡!$A$4:$Z$27,6+5*MonsterWaveCallRuleCfg!R151,FALSE)</f>
        <v/>
      </c>
      <c r="P151" s="110">
        <v>3</v>
      </c>
      <c r="Q151" s="110">
        <f t="shared" si="37"/>
        <v>2</v>
      </c>
      <c r="R151" s="110">
        <v>4</v>
      </c>
    </row>
    <row r="152" spans="2:18" x14ac:dyDescent="0.2">
      <c r="B152" s="57" t="str">
        <f t="shared" si="34"/>
        <v>MonsterWaveCallRule_Challenge3</v>
      </c>
      <c r="C152" s="57">
        <v>3</v>
      </c>
      <c r="D152" s="57" t="str">
        <f t="shared" si="35"/>
        <v>挑战关卡3第3波</v>
      </c>
      <c r="F152" s="57">
        <f t="shared" ref="F152:F215" si="38">IF(C152="","",0)</f>
        <v>0</v>
      </c>
      <c r="G152" s="102">
        <f t="shared" si="36"/>
        <v>180</v>
      </c>
      <c r="I152" s="102">
        <f>VLOOKUP(P152&amp;"_"&amp;Q152,活动关卡!$A$4:$Z$27,3+5*MonsterWaveCallRuleCfg!R152,FALSE)</f>
        <v>8</v>
      </c>
      <c r="J152" s="102">
        <f>VLOOKUP(P152&amp;"_"&amp;Q152,活动关卡!$A$4:$Z$27,4+5*MonsterWaveCallRuleCfg!R152,FALSE)</f>
        <v>2</v>
      </c>
      <c r="K152" s="102">
        <f t="shared" ref="K152:K215" si="39">IF(I152="","",1)</f>
        <v>1</v>
      </c>
      <c r="L152" s="102" t="str">
        <f>IF(VLOOKUP(P152&amp;"_"&amp;Q152,活动关卡!$A$4:$Z$27,2+5*R152,FALSE)="","","Monster_Challenge"&amp;P152&amp;"_"&amp;Q152&amp;"_"&amp;R152)</f>
        <v>Monster_Challenge3_3_1</v>
      </c>
      <c r="M152" s="57">
        <f t="shared" ref="M152:M215" si="40">IF(I152="","",1)</f>
        <v>1</v>
      </c>
      <c r="N152" s="118"/>
      <c r="O152" s="102">
        <f>VLOOKUP(P152&amp;"_"&amp;Q152,活动关卡!$A$4:$Z$27,6+5*MonsterWaveCallRuleCfg!R152,FALSE)</f>
        <v>30</v>
      </c>
      <c r="P152" s="110">
        <v>3</v>
      </c>
      <c r="Q152" s="110">
        <f t="shared" si="37"/>
        <v>3</v>
      </c>
      <c r="R152" s="110">
        <v>1</v>
      </c>
    </row>
    <row r="153" spans="2:18" x14ac:dyDescent="0.2">
      <c r="B153" s="57" t="str">
        <f t="shared" si="34"/>
        <v/>
      </c>
      <c r="D153" s="57" t="str">
        <f t="shared" si="35"/>
        <v/>
      </c>
      <c r="F153" s="57" t="str">
        <f t="shared" si="38"/>
        <v/>
      </c>
      <c r="G153" s="102" t="str">
        <f t="shared" si="36"/>
        <v/>
      </c>
      <c r="I153" s="102">
        <f>VLOOKUP(P153&amp;"_"&amp;Q153,活动关卡!$A$4:$Z$27,3+5*MonsterWaveCallRuleCfg!R153,FALSE)</f>
        <v>15</v>
      </c>
      <c r="J153" s="102">
        <f>VLOOKUP(P153&amp;"_"&amp;Q153,活动关卡!$A$4:$Z$27,4+5*MonsterWaveCallRuleCfg!R153,FALSE)</f>
        <v>1</v>
      </c>
      <c r="K153" s="102">
        <f t="shared" si="39"/>
        <v>1</v>
      </c>
      <c r="L153" s="102" t="str">
        <f>IF(VLOOKUP(P153&amp;"_"&amp;Q153,活动关卡!$A$4:$Z$27,2+5*R153,FALSE)="","","Monster_Challenge"&amp;P153&amp;"_"&amp;Q153&amp;"_"&amp;R153)</f>
        <v>Monster_Challenge3_3_2</v>
      </c>
      <c r="M153" s="57">
        <f t="shared" si="40"/>
        <v>1</v>
      </c>
      <c r="N153" s="118"/>
      <c r="O153" s="102">
        <f>VLOOKUP(P153&amp;"_"&amp;Q153,活动关卡!$A$4:$Z$27,6+5*MonsterWaveCallRuleCfg!R153,FALSE)</f>
        <v>8</v>
      </c>
      <c r="P153" s="110">
        <v>3</v>
      </c>
      <c r="Q153" s="110">
        <f t="shared" si="37"/>
        <v>3</v>
      </c>
      <c r="R153" s="110">
        <v>2</v>
      </c>
    </row>
    <row r="154" spans="2:18" x14ac:dyDescent="0.2">
      <c r="B154" s="57" t="str">
        <f t="shared" si="34"/>
        <v/>
      </c>
      <c r="D154" s="57" t="str">
        <f t="shared" si="35"/>
        <v/>
      </c>
      <c r="F154" s="57" t="str">
        <f t="shared" si="38"/>
        <v/>
      </c>
      <c r="G154" s="102" t="str">
        <f t="shared" si="36"/>
        <v/>
      </c>
      <c r="I154" s="102">
        <f>VLOOKUP(P154&amp;"_"&amp;Q154,活动关卡!$A$4:$Z$27,3+5*MonsterWaveCallRuleCfg!R154,FALSE)</f>
        <v>8</v>
      </c>
      <c r="J154" s="102">
        <f>VLOOKUP(P154&amp;"_"&amp;Q154,活动关卡!$A$4:$Z$27,4+5*MonsterWaveCallRuleCfg!R154,FALSE)</f>
        <v>2</v>
      </c>
      <c r="K154" s="102">
        <f t="shared" si="39"/>
        <v>1</v>
      </c>
      <c r="L154" s="102" t="str">
        <f>IF(VLOOKUP(P154&amp;"_"&amp;Q154,活动关卡!$A$4:$Z$27,2+5*R154,FALSE)="","","Monster_Challenge"&amp;P154&amp;"_"&amp;Q154&amp;"_"&amp;R154)</f>
        <v>Monster_Challenge3_3_3</v>
      </c>
      <c r="M154" s="57">
        <f t="shared" si="40"/>
        <v>1</v>
      </c>
      <c r="N154" s="118"/>
      <c r="O154" s="102">
        <f>VLOOKUP(P154&amp;"_"&amp;Q154,活动关卡!$A$4:$Z$27,6+5*MonsterWaveCallRuleCfg!R154,FALSE)</f>
        <v>30</v>
      </c>
      <c r="P154" s="110">
        <v>3</v>
      </c>
      <c r="Q154" s="110">
        <f t="shared" si="37"/>
        <v>3</v>
      </c>
      <c r="R154" s="110">
        <v>3</v>
      </c>
    </row>
    <row r="155" spans="2:18" x14ac:dyDescent="0.2">
      <c r="B155" s="57" t="str">
        <f t="shared" si="34"/>
        <v/>
      </c>
      <c r="D155" s="57" t="str">
        <f t="shared" si="35"/>
        <v/>
      </c>
      <c r="F155" s="57" t="str">
        <f t="shared" si="38"/>
        <v/>
      </c>
      <c r="G155" s="102" t="str">
        <f t="shared" si="36"/>
        <v/>
      </c>
      <c r="I155" s="102" t="str">
        <f>VLOOKUP(P155&amp;"_"&amp;Q155,活动关卡!$A$4:$Z$27,3+5*MonsterWaveCallRuleCfg!R155,FALSE)</f>
        <v/>
      </c>
      <c r="J155" s="102" t="str">
        <f>VLOOKUP(P155&amp;"_"&amp;Q155,活动关卡!$A$4:$Z$27,4+5*MonsterWaveCallRuleCfg!R155,FALSE)</f>
        <v/>
      </c>
      <c r="K155" s="102" t="str">
        <f t="shared" si="39"/>
        <v/>
      </c>
      <c r="L155" s="102" t="str">
        <f>IF(VLOOKUP(P155&amp;"_"&amp;Q155,活动关卡!$A$4:$Z$27,2+5*R155,FALSE)="","","Monster_Challenge"&amp;P155&amp;"_"&amp;Q155&amp;"_"&amp;R155)</f>
        <v/>
      </c>
      <c r="M155" s="57" t="str">
        <f t="shared" si="40"/>
        <v/>
      </c>
      <c r="N155" s="118"/>
      <c r="O155" s="102" t="str">
        <f>VLOOKUP(P155&amp;"_"&amp;Q155,活动关卡!$A$4:$Z$27,6+5*MonsterWaveCallRuleCfg!R155,FALSE)</f>
        <v/>
      </c>
      <c r="P155" s="110">
        <v>3</v>
      </c>
      <c r="Q155" s="110">
        <f t="shared" si="37"/>
        <v>3</v>
      </c>
      <c r="R155" s="110">
        <v>4</v>
      </c>
    </row>
    <row r="156" spans="2:18" x14ac:dyDescent="0.2">
      <c r="B156" s="57" t="str">
        <f t="shared" si="34"/>
        <v>MonsterWaveCallRule_Challenge3</v>
      </c>
      <c r="C156" s="57">
        <v>4</v>
      </c>
      <c r="D156" s="57" t="str">
        <f t="shared" si="35"/>
        <v>挑战关卡3第4波</v>
      </c>
      <c r="F156" s="57">
        <f t="shared" si="38"/>
        <v>0</v>
      </c>
      <c r="G156" s="102">
        <f t="shared" si="36"/>
        <v>180</v>
      </c>
      <c r="I156" s="102" t="e">
        <f>VLOOKUP(P156&amp;"_"&amp;Q156,活动关卡!$A$4:$Z$27,3+5*MonsterWaveCallRuleCfg!R156,FALSE)</f>
        <v>#N/A</v>
      </c>
      <c r="J156" s="102" t="e">
        <f>VLOOKUP(P156&amp;"_"&amp;Q156,活动关卡!$A$4:$Z$27,4+5*MonsterWaveCallRuleCfg!R156,FALSE)</f>
        <v>#N/A</v>
      </c>
      <c r="K156" s="102" t="e">
        <f t="shared" si="39"/>
        <v>#N/A</v>
      </c>
      <c r="L156" s="102" t="e">
        <f>IF(VLOOKUP(P156&amp;"_"&amp;Q156,活动关卡!$A$4:$Z$27,2+5*R156,FALSE)="","","Monster_Challenge"&amp;P156&amp;"_"&amp;Q156&amp;"_"&amp;R156)</f>
        <v>#N/A</v>
      </c>
      <c r="M156" s="57" t="e">
        <f t="shared" si="40"/>
        <v>#N/A</v>
      </c>
      <c r="N156" s="118"/>
      <c r="O156" s="102" t="e">
        <f>VLOOKUP(P156&amp;"_"&amp;Q156,活动关卡!$A$4:$Z$27,6+5*MonsterWaveCallRuleCfg!R156,FALSE)</f>
        <v>#N/A</v>
      </c>
      <c r="P156" s="110">
        <v>3</v>
      </c>
      <c r="Q156" s="110">
        <f t="shared" si="37"/>
        <v>4</v>
      </c>
      <c r="R156" s="110">
        <v>1</v>
      </c>
    </row>
    <row r="157" spans="2:18" x14ac:dyDescent="0.2">
      <c r="B157" s="57" t="str">
        <f t="shared" si="34"/>
        <v/>
      </c>
      <c r="D157" s="57" t="str">
        <f t="shared" si="35"/>
        <v/>
      </c>
      <c r="F157" s="57" t="str">
        <f t="shared" si="38"/>
        <v/>
      </c>
      <c r="G157" s="102" t="str">
        <f t="shared" si="36"/>
        <v/>
      </c>
      <c r="I157" s="102" t="e">
        <f>VLOOKUP(P157&amp;"_"&amp;Q157,活动关卡!$A$4:$Z$27,3+5*MonsterWaveCallRuleCfg!R157,FALSE)</f>
        <v>#N/A</v>
      </c>
      <c r="J157" s="102" t="e">
        <f>VLOOKUP(P157&amp;"_"&amp;Q157,活动关卡!$A$4:$Z$27,4+5*MonsterWaveCallRuleCfg!R157,FALSE)</f>
        <v>#N/A</v>
      </c>
      <c r="K157" s="102" t="e">
        <f t="shared" si="39"/>
        <v>#N/A</v>
      </c>
      <c r="L157" s="102" t="e">
        <f>IF(VLOOKUP(P157&amp;"_"&amp;Q157,活动关卡!$A$4:$Z$27,2+5*R157,FALSE)="","","Monster_Challenge"&amp;P157&amp;"_"&amp;Q157&amp;"_"&amp;R157)</f>
        <v>#N/A</v>
      </c>
      <c r="M157" s="57" t="e">
        <f t="shared" si="40"/>
        <v>#N/A</v>
      </c>
      <c r="N157" s="118"/>
      <c r="O157" s="102" t="e">
        <f>VLOOKUP(P157&amp;"_"&amp;Q157,活动关卡!$A$4:$Z$27,6+5*MonsterWaveCallRuleCfg!R157,FALSE)</f>
        <v>#N/A</v>
      </c>
      <c r="P157" s="110">
        <v>3</v>
      </c>
      <c r="Q157" s="110">
        <f t="shared" si="37"/>
        <v>4</v>
      </c>
      <c r="R157" s="110">
        <v>2</v>
      </c>
    </row>
    <row r="158" spans="2:18" x14ac:dyDescent="0.2">
      <c r="B158" s="57" t="str">
        <f t="shared" si="34"/>
        <v/>
      </c>
      <c r="D158" s="57" t="str">
        <f t="shared" si="35"/>
        <v/>
      </c>
      <c r="F158" s="57" t="str">
        <f t="shared" si="38"/>
        <v/>
      </c>
      <c r="G158" s="102" t="str">
        <f t="shared" si="36"/>
        <v/>
      </c>
      <c r="I158" s="102" t="e">
        <f>VLOOKUP(P158&amp;"_"&amp;Q158,活动关卡!$A$4:$Z$27,3+5*MonsterWaveCallRuleCfg!R158,FALSE)</f>
        <v>#N/A</v>
      </c>
      <c r="J158" s="102" t="e">
        <f>VLOOKUP(P158&amp;"_"&amp;Q158,活动关卡!$A$4:$Z$27,4+5*MonsterWaveCallRuleCfg!R158,FALSE)</f>
        <v>#N/A</v>
      </c>
      <c r="K158" s="102" t="e">
        <f t="shared" si="39"/>
        <v>#N/A</v>
      </c>
      <c r="L158" s="102" t="e">
        <f>IF(VLOOKUP(P158&amp;"_"&amp;Q158,活动关卡!$A$4:$Z$27,2+5*R158,FALSE)="","","Monster_Challenge"&amp;P158&amp;"_"&amp;Q158&amp;"_"&amp;R158)</f>
        <v>#N/A</v>
      </c>
      <c r="M158" s="57" t="e">
        <f t="shared" si="40"/>
        <v>#N/A</v>
      </c>
      <c r="N158" s="118"/>
      <c r="O158" s="102" t="e">
        <f>VLOOKUP(P158&amp;"_"&amp;Q158,活动关卡!$A$4:$Z$27,6+5*MonsterWaveCallRuleCfg!R158,FALSE)</f>
        <v>#N/A</v>
      </c>
      <c r="P158" s="110">
        <v>3</v>
      </c>
      <c r="Q158" s="110">
        <f t="shared" si="37"/>
        <v>4</v>
      </c>
      <c r="R158" s="110">
        <v>3</v>
      </c>
    </row>
    <row r="159" spans="2:18" x14ac:dyDescent="0.2">
      <c r="B159" s="57" t="str">
        <f t="shared" si="34"/>
        <v/>
      </c>
      <c r="D159" s="57" t="str">
        <f t="shared" si="35"/>
        <v/>
      </c>
      <c r="F159" s="57" t="str">
        <f t="shared" si="38"/>
        <v/>
      </c>
      <c r="G159" s="102" t="str">
        <f t="shared" si="36"/>
        <v/>
      </c>
      <c r="I159" s="102" t="e">
        <f>VLOOKUP(P159&amp;"_"&amp;Q159,活动关卡!$A$4:$Z$27,3+5*MonsterWaveCallRuleCfg!R159,FALSE)</f>
        <v>#N/A</v>
      </c>
      <c r="J159" s="102" t="e">
        <f>VLOOKUP(P159&amp;"_"&amp;Q159,活动关卡!$A$4:$Z$27,4+5*MonsterWaveCallRuleCfg!R159,FALSE)</f>
        <v>#N/A</v>
      </c>
      <c r="K159" s="102" t="e">
        <f t="shared" si="39"/>
        <v>#N/A</v>
      </c>
      <c r="L159" s="102" t="e">
        <f>IF(VLOOKUP(P159&amp;"_"&amp;Q159,活动关卡!$A$4:$Z$27,2+5*R159,FALSE)="","","Monster_Challenge"&amp;P159&amp;"_"&amp;Q159&amp;"_"&amp;R159)</f>
        <v>#N/A</v>
      </c>
      <c r="M159" s="57" t="e">
        <f t="shared" si="40"/>
        <v>#N/A</v>
      </c>
      <c r="N159" s="118"/>
      <c r="O159" s="102" t="e">
        <f>VLOOKUP(P159&amp;"_"&amp;Q159,活动关卡!$A$4:$Z$27,6+5*MonsterWaveCallRuleCfg!R159,FALSE)</f>
        <v>#N/A</v>
      </c>
      <c r="P159" s="110">
        <v>3</v>
      </c>
      <c r="Q159" s="110">
        <f t="shared" si="37"/>
        <v>4</v>
      </c>
      <c r="R159" s="110">
        <v>4</v>
      </c>
    </row>
    <row r="160" spans="2:18" x14ac:dyDescent="0.2">
      <c r="B160" s="57" t="str">
        <f t="shared" si="34"/>
        <v>MonsterWaveCallRule_Challenge3</v>
      </c>
      <c r="C160" s="57">
        <v>5</v>
      </c>
      <c r="D160" s="57" t="str">
        <f t="shared" si="35"/>
        <v>挑战关卡3第5波</v>
      </c>
      <c r="F160" s="57">
        <f t="shared" si="38"/>
        <v>0</v>
      </c>
      <c r="G160" s="102">
        <f t="shared" si="36"/>
        <v>180</v>
      </c>
      <c r="I160" s="102" t="e">
        <f>VLOOKUP(P160&amp;"_"&amp;Q160,活动关卡!$A$4:$Z$27,3+5*MonsterWaveCallRuleCfg!R160,FALSE)</f>
        <v>#N/A</v>
      </c>
      <c r="J160" s="102" t="e">
        <f>VLOOKUP(P160&amp;"_"&amp;Q160,活动关卡!$A$4:$Z$27,4+5*MonsterWaveCallRuleCfg!R160,FALSE)</f>
        <v>#N/A</v>
      </c>
      <c r="K160" s="102" t="e">
        <f t="shared" si="39"/>
        <v>#N/A</v>
      </c>
      <c r="L160" s="102" t="e">
        <f>IF(VLOOKUP(P160&amp;"_"&amp;Q160,活动关卡!$A$4:$Z$27,2+5*R160,FALSE)="","","Monster_Challenge"&amp;P160&amp;"_"&amp;Q160&amp;"_"&amp;R160)</f>
        <v>#N/A</v>
      </c>
      <c r="M160" s="57" t="e">
        <f t="shared" si="40"/>
        <v>#N/A</v>
      </c>
      <c r="N160" s="118"/>
      <c r="O160" s="102" t="e">
        <f>VLOOKUP(P160&amp;"_"&amp;Q160,活动关卡!$A$4:$Z$27,6+5*MonsterWaveCallRuleCfg!R160,FALSE)</f>
        <v>#N/A</v>
      </c>
      <c r="P160" s="110">
        <v>3</v>
      </c>
      <c r="Q160" s="110">
        <f t="shared" si="37"/>
        <v>5</v>
      </c>
      <c r="R160" s="110">
        <v>1</v>
      </c>
    </row>
    <row r="161" spans="2:18" x14ac:dyDescent="0.2">
      <c r="B161" s="57" t="str">
        <f t="shared" si="34"/>
        <v/>
      </c>
      <c r="D161" s="57" t="str">
        <f t="shared" si="35"/>
        <v/>
      </c>
      <c r="F161" s="57" t="str">
        <f t="shared" si="38"/>
        <v/>
      </c>
      <c r="G161" s="102" t="str">
        <f t="shared" si="36"/>
        <v/>
      </c>
      <c r="I161" s="102" t="e">
        <f>VLOOKUP(P161&amp;"_"&amp;Q161,活动关卡!$A$4:$Z$27,3+5*MonsterWaveCallRuleCfg!R161,FALSE)</f>
        <v>#N/A</v>
      </c>
      <c r="J161" s="102" t="e">
        <f>VLOOKUP(P161&amp;"_"&amp;Q161,活动关卡!$A$4:$Z$27,4+5*MonsterWaveCallRuleCfg!R161,FALSE)</f>
        <v>#N/A</v>
      </c>
      <c r="K161" s="102" t="e">
        <f t="shared" si="39"/>
        <v>#N/A</v>
      </c>
      <c r="L161" s="102" t="e">
        <f>IF(VLOOKUP(P161&amp;"_"&amp;Q161,活动关卡!$A$4:$Z$27,2+5*R161,FALSE)="","","Monster_Challenge"&amp;P161&amp;"_"&amp;Q161&amp;"_"&amp;R161)</f>
        <v>#N/A</v>
      </c>
      <c r="M161" s="57" t="e">
        <f t="shared" si="40"/>
        <v>#N/A</v>
      </c>
      <c r="N161" s="118"/>
      <c r="O161" s="102" t="e">
        <f>VLOOKUP(P161&amp;"_"&amp;Q161,活动关卡!$A$4:$Z$27,6+5*MonsterWaveCallRuleCfg!R161,FALSE)</f>
        <v>#N/A</v>
      </c>
      <c r="P161" s="110">
        <v>3</v>
      </c>
      <c r="Q161" s="110">
        <f t="shared" si="37"/>
        <v>5</v>
      </c>
      <c r="R161" s="110">
        <v>2</v>
      </c>
    </row>
    <row r="162" spans="2:18" x14ac:dyDescent="0.2">
      <c r="B162" s="57" t="str">
        <f t="shared" si="34"/>
        <v/>
      </c>
      <c r="D162" s="57" t="str">
        <f t="shared" si="35"/>
        <v/>
      </c>
      <c r="F162" s="57" t="str">
        <f t="shared" si="38"/>
        <v/>
      </c>
      <c r="G162" s="102" t="str">
        <f t="shared" si="36"/>
        <v/>
      </c>
      <c r="I162" s="102" t="e">
        <f>VLOOKUP(P162&amp;"_"&amp;Q162,活动关卡!$A$4:$Z$27,3+5*MonsterWaveCallRuleCfg!R162,FALSE)</f>
        <v>#N/A</v>
      </c>
      <c r="J162" s="102" t="e">
        <f>VLOOKUP(P162&amp;"_"&amp;Q162,活动关卡!$A$4:$Z$27,4+5*MonsterWaveCallRuleCfg!R162,FALSE)</f>
        <v>#N/A</v>
      </c>
      <c r="K162" s="102" t="e">
        <f t="shared" si="39"/>
        <v>#N/A</v>
      </c>
      <c r="L162" s="102" t="e">
        <f>IF(VLOOKUP(P162&amp;"_"&amp;Q162,活动关卡!$A$4:$Z$27,2+5*R162,FALSE)="","","Monster_Challenge"&amp;P162&amp;"_"&amp;Q162&amp;"_"&amp;R162)</f>
        <v>#N/A</v>
      </c>
      <c r="M162" s="57" t="e">
        <f t="shared" si="40"/>
        <v>#N/A</v>
      </c>
      <c r="N162" s="118"/>
      <c r="O162" s="102" t="e">
        <f>VLOOKUP(P162&amp;"_"&amp;Q162,活动关卡!$A$4:$Z$27,6+5*MonsterWaveCallRuleCfg!R162,FALSE)</f>
        <v>#N/A</v>
      </c>
      <c r="P162" s="110">
        <v>3</v>
      </c>
      <c r="Q162" s="110">
        <f t="shared" si="37"/>
        <v>5</v>
      </c>
      <c r="R162" s="110">
        <v>3</v>
      </c>
    </row>
    <row r="163" spans="2:18" x14ac:dyDescent="0.2">
      <c r="B163" s="57" t="str">
        <f t="shared" si="34"/>
        <v/>
      </c>
      <c r="D163" s="57" t="str">
        <f t="shared" si="35"/>
        <v/>
      </c>
      <c r="F163" s="57" t="str">
        <f t="shared" si="38"/>
        <v/>
      </c>
      <c r="G163" s="102" t="str">
        <f t="shared" si="36"/>
        <v/>
      </c>
      <c r="I163" s="102" t="e">
        <f>VLOOKUP(P163&amp;"_"&amp;Q163,活动关卡!$A$4:$Z$27,3+5*MonsterWaveCallRuleCfg!R163,FALSE)</f>
        <v>#N/A</v>
      </c>
      <c r="J163" s="102" t="e">
        <f>VLOOKUP(P163&amp;"_"&amp;Q163,活动关卡!$A$4:$Z$27,4+5*MonsterWaveCallRuleCfg!R163,FALSE)</f>
        <v>#N/A</v>
      </c>
      <c r="K163" s="102" t="e">
        <f t="shared" si="39"/>
        <v>#N/A</v>
      </c>
      <c r="L163" s="102" t="e">
        <f>IF(VLOOKUP(P163&amp;"_"&amp;Q163,活动关卡!$A$4:$Z$27,2+5*R163,FALSE)="","","Monster_Challenge"&amp;P163&amp;"_"&amp;Q163&amp;"_"&amp;R163)</f>
        <v>#N/A</v>
      </c>
      <c r="M163" s="57" t="e">
        <f t="shared" si="40"/>
        <v>#N/A</v>
      </c>
      <c r="N163" s="118"/>
      <c r="O163" s="102" t="e">
        <f>VLOOKUP(P163&amp;"_"&amp;Q163,活动关卡!$A$4:$Z$27,6+5*MonsterWaveCallRuleCfg!R163,FALSE)</f>
        <v>#N/A</v>
      </c>
      <c r="P163" s="110">
        <v>3</v>
      </c>
      <c r="Q163" s="110">
        <f t="shared" si="37"/>
        <v>5</v>
      </c>
      <c r="R163" s="110">
        <v>4</v>
      </c>
    </row>
    <row r="164" spans="2:18" x14ac:dyDescent="0.2">
      <c r="B164" s="57" t="str">
        <f t="shared" si="34"/>
        <v>MonsterWaveCallRule_Challenge4</v>
      </c>
      <c r="C164" s="57">
        <v>1</v>
      </c>
      <c r="D164" s="57" t="str">
        <f t="shared" si="35"/>
        <v>挑战关卡4第1波</v>
      </c>
      <c r="F164" s="57">
        <f t="shared" si="38"/>
        <v>0</v>
      </c>
      <c r="G164" s="102">
        <f t="shared" si="36"/>
        <v>180</v>
      </c>
      <c r="I164" s="102">
        <f>VLOOKUP(P164&amp;"_"&amp;Q164,活动关卡!$A$4:$Z$27,3+5*MonsterWaveCallRuleCfg!R164,FALSE)</f>
        <v>7</v>
      </c>
      <c r="J164" s="102">
        <f>VLOOKUP(P164&amp;"_"&amp;Q164,活动关卡!$A$4:$Z$27,4+5*MonsterWaveCallRuleCfg!R164,FALSE)</f>
        <v>1.5</v>
      </c>
      <c r="K164" s="102">
        <f t="shared" si="39"/>
        <v>1</v>
      </c>
      <c r="L164" s="102" t="str">
        <f>IF(VLOOKUP(P164&amp;"_"&amp;Q164,活动关卡!$A$4:$Z$27,2+5*R164,FALSE)="","","Monster_Challenge"&amp;P164&amp;"_"&amp;Q164&amp;"_"&amp;R164)</f>
        <v>Monster_Challenge4_1_1</v>
      </c>
      <c r="M164" s="57">
        <f t="shared" si="40"/>
        <v>1</v>
      </c>
      <c r="N164" s="118"/>
      <c r="O164" s="102">
        <f>VLOOKUP(P164&amp;"_"&amp;Q164,活动关卡!$A$4:$Z$27,6+5*MonsterWaveCallRuleCfg!R164,FALSE)</f>
        <v>35</v>
      </c>
      <c r="P164" s="110">
        <v>4</v>
      </c>
      <c r="Q164" s="110">
        <f t="shared" si="37"/>
        <v>1</v>
      </c>
      <c r="R164" s="110">
        <v>1</v>
      </c>
    </row>
    <row r="165" spans="2:18" x14ac:dyDescent="0.2">
      <c r="B165" s="57" t="str">
        <f t="shared" si="34"/>
        <v/>
      </c>
      <c r="D165" s="57" t="str">
        <f t="shared" si="35"/>
        <v/>
      </c>
      <c r="F165" s="57" t="str">
        <f t="shared" si="38"/>
        <v/>
      </c>
      <c r="G165" s="102" t="str">
        <f t="shared" si="36"/>
        <v/>
      </c>
      <c r="I165" s="102">
        <f>VLOOKUP(P165&amp;"_"&amp;Q165,活动关卡!$A$4:$Z$27,3+5*MonsterWaveCallRuleCfg!R165,FALSE)</f>
        <v>5</v>
      </c>
      <c r="J165" s="102">
        <f>VLOOKUP(P165&amp;"_"&amp;Q165,活动关卡!$A$4:$Z$27,4+5*MonsterWaveCallRuleCfg!R165,FALSE)</f>
        <v>2</v>
      </c>
      <c r="K165" s="102">
        <f t="shared" si="39"/>
        <v>1</v>
      </c>
      <c r="L165" s="102" t="str">
        <f>IF(VLOOKUP(P165&amp;"_"&amp;Q165,活动关卡!$A$4:$Z$27,2+5*R165,FALSE)="","","Monster_Challenge"&amp;P165&amp;"_"&amp;Q165&amp;"_"&amp;R165)</f>
        <v>Monster_Challenge4_1_2</v>
      </c>
      <c r="M165" s="57">
        <f t="shared" si="40"/>
        <v>1</v>
      </c>
      <c r="N165" s="118"/>
      <c r="O165" s="102">
        <f>VLOOKUP(P165&amp;"_"&amp;Q165,活动关卡!$A$4:$Z$27,6+5*MonsterWaveCallRuleCfg!R165,FALSE)</f>
        <v>71</v>
      </c>
      <c r="P165" s="110">
        <v>4</v>
      </c>
      <c r="Q165" s="110">
        <f t="shared" si="37"/>
        <v>1</v>
      </c>
      <c r="R165" s="110">
        <v>2</v>
      </c>
    </row>
    <row r="166" spans="2:18" x14ac:dyDescent="0.2">
      <c r="B166" s="57" t="str">
        <f t="shared" si="34"/>
        <v/>
      </c>
      <c r="D166" s="57" t="str">
        <f t="shared" si="35"/>
        <v/>
      </c>
      <c r="F166" s="57" t="str">
        <f t="shared" si="38"/>
        <v/>
      </c>
      <c r="G166" s="102" t="str">
        <f t="shared" si="36"/>
        <v/>
      </c>
      <c r="I166" s="102" t="str">
        <f>VLOOKUP(P166&amp;"_"&amp;Q166,活动关卡!$A$4:$Z$27,3+5*MonsterWaveCallRuleCfg!R166,FALSE)</f>
        <v/>
      </c>
      <c r="J166" s="102" t="str">
        <f>VLOOKUP(P166&amp;"_"&amp;Q166,活动关卡!$A$4:$Z$27,4+5*MonsterWaveCallRuleCfg!R166,FALSE)</f>
        <v/>
      </c>
      <c r="K166" s="102" t="str">
        <f t="shared" si="39"/>
        <v/>
      </c>
      <c r="L166" s="102" t="str">
        <f>IF(VLOOKUP(P166&amp;"_"&amp;Q166,活动关卡!$A$4:$Z$27,2+5*R166,FALSE)="","","Monster_Challenge"&amp;P166&amp;"_"&amp;Q166&amp;"_"&amp;R166)</f>
        <v/>
      </c>
      <c r="M166" s="57" t="str">
        <f t="shared" si="40"/>
        <v/>
      </c>
      <c r="N166" s="118"/>
      <c r="O166" s="102" t="str">
        <f>VLOOKUP(P166&amp;"_"&amp;Q166,活动关卡!$A$4:$Z$27,6+5*MonsterWaveCallRuleCfg!R166,FALSE)</f>
        <v/>
      </c>
      <c r="P166" s="110">
        <v>4</v>
      </c>
      <c r="Q166" s="110">
        <f t="shared" si="37"/>
        <v>1</v>
      </c>
      <c r="R166" s="110">
        <v>3</v>
      </c>
    </row>
    <row r="167" spans="2:18" x14ac:dyDescent="0.2">
      <c r="B167" s="57" t="str">
        <f t="shared" si="34"/>
        <v/>
      </c>
      <c r="D167" s="57" t="str">
        <f t="shared" si="35"/>
        <v/>
      </c>
      <c r="F167" s="57" t="str">
        <f t="shared" si="38"/>
        <v/>
      </c>
      <c r="G167" s="102" t="str">
        <f t="shared" si="36"/>
        <v/>
      </c>
      <c r="I167" s="102" t="str">
        <f>VLOOKUP(P167&amp;"_"&amp;Q167,活动关卡!$A$4:$Z$27,3+5*MonsterWaveCallRuleCfg!R167,FALSE)</f>
        <v/>
      </c>
      <c r="J167" s="102" t="str">
        <f>VLOOKUP(P167&amp;"_"&amp;Q167,活动关卡!$A$4:$Z$27,4+5*MonsterWaveCallRuleCfg!R167,FALSE)</f>
        <v/>
      </c>
      <c r="K167" s="102" t="str">
        <f t="shared" si="39"/>
        <v/>
      </c>
      <c r="L167" s="102" t="str">
        <f>IF(VLOOKUP(P167&amp;"_"&amp;Q167,活动关卡!$A$4:$Z$27,2+5*R167,FALSE)="","","Monster_Challenge"&amp;P167&amp;"_"&amp;Q167&amp;"_"&amp;R167)</f>
        <v/>
      </c>
      <c r="M167" s="57" t="str">
        <f t="shared" si="40"/>
        <v/>
      </c>
      <c r="N167" s="118"/>
      <c r="O167" s="102" t="str">
        <f>VLOOKUP(P167&amp;"_"&amp;Q167,活动关卡!$A$4:$Z$27,6+5*MonsterWaveCallRuleCfg!R167,FALSE)</f>
        <v/>
      </c>
      <c r="P167" s="110">
        <v>4</v>
      </c>
      <c r="Q167" s="110">
        <f t="shared" si="37"/>
        <v>1</v>
      </c>
      <c r="R167" s="110">
        <v>4</v>
      </c>
    </row>
    <row r="168" spans="2:18" x14ac:dyDescent="0.2">
      <c r="B168" s="57" t="str">
        <f t="shared" si="34"/>
        <v>MonsterWaveCallRule_Challenge4</v>
      </c>
      <c r="C168" s="57">
        <v>2</v>
      </c>
      <c r="D168" s="57" t="str">
        <f t="shared" si="35"/>
        <v>挑战关卡4第2波</v>
      </c>
      <c r="F168" s="57">
        <f t="shared" si="38"/>
        <v>0</v>
      </c>
      <c r="G168" s="102">
        <f t="shared" si="36"/>
        <v>180</v>
      </c>
      <c r="I168" s="102">
        <f>VLOOKUP(P168&amp;"_"&amp;Q168,活动关卡!$A$4:$Z$27,3+5*MonsterWaveCallRuleCfg!R168,FALSE)</f>
        <v>8</v>
      </c>
      <c r="J168" s="102">
        <f>VLOOKUP(P168&amp;"_"&amp;Q168,活动关卡!$A$4:$Z$27,4+5*MonsterWaveCallRuleCfg!R168,FALSE)</f>
        <v>1.5</v>
      </c>
      <c r="K168" s="102">
        <f t="shared" si="39"/>
        <v>1</v>
      </c>
      <c r="L168" s="102" t="str">
        <f>IF(VLOOKUP(P168&amp;"_"&amp;Q168,活动关卡!$A$4:$Z$27,2+5*R168,FALSE)="","","Monster_Challenge"&amp;P168&amp;"_"&amp;Q168&amp;"_"&amp;R168)</f>
        <v>Monster_Challenge4_2_1</v>
      </c>
      <c r="M168" s="57">
        <f t="shared" si="40"/>
        <v>1</v>
      </c>
      <c r="N168" s="118"/>
      <c r="O168" s="102">
        <f>VLOOKUP(P168&amp;"_"&amp;Q168,活动关卡!$A$4:$Z$27,6+5*MonsterWaveCallRuleCfg!R168,FALSE)</f>
        <v>9</v>
      </c>
      <c r="P168" s="110">
        <v>4</v>
      </c>
      <c r="Q168" s="110">
        <f t="shared" si="37"/>
        <v>2</v>
      </c>
      <c r="R168" s="110">
        <v>1</v>
      </c>
    </row>
    <row r="169" spans="2:18" x14ac:dyDescent="0.2">
      <c r="B169" s="57" t="str">
        <f t="shared" ref="B169:B232" si="41">IF(C169="","","MonsterWaveCallRule_Challenge"&amp;P169)</f>
        <v/>
      </c>
      <c r="D169" s="57" t="str">
        <f t="shared" ref="D169:D232" si="42">IF(C169="","","挑战关卡"&amp;P169&amp;"第"&amp;C169&amp;"波")</f>
        <v/>
      </c>
      <c r="F169" s="57" t="str">
        <f t="shared" si="38"/>
        <v/>
      </c>
      <c r="G169" s="102" t="str">
        <f t="shared" ref="G169:G183" si="43">IF(C169="","",180)</f>
        <v/>
      </c>
      <c r="I169" s="102">
        <f>VLOOKUP(P169&amp;"_"&amp;Q169,活动关卡!$A$4:$Z$27,3+5*MonsterWaveCallRuleCfg!R169,FALSE)</f>
        <v>25</v>
      </c>
      <c r="J169" s="102">
        <f>VLOOKUP(P169&amp;"_"&amp;Q169,活动关卡!$A$4:$Z$27,4+5*MonsterWaveCallRuleCfg!R169,FALSE)</f>
        <v>0.5</v>
      </c>
      <c r="K169" s="102">
        <f t="shared" si="39"/>
        <v>1</v>
      </c>
      <c r="L169" s="102" t="str">
        <f>IF(VLOOKUP(P169&amp;"_"&amp;Q169,活动关卡!$A$4:$Z$27,2+5*R169,FALSE)="","","Monster_Challenge"&amp;P169&amp;"_"&amp;Q169&amp;"_"&amp;R169)</f>
        <v>Monster_Challenge4_2_2</v>
      </c>
      <c r="M169" s="57">
        <f t="shared" si="40"/>
        <v>1</v>
      </c>
      <c r="N169" s="118"/>
      <c r="O169" s="102">
        <f>VLOOKUP(P169&amp;"_"&amp;Q169,活动关卡!$A$4:$Z$27,6+5*MonsterWaveCallRuleCfg!R169,FALSE)</f>
        <v>17</v>
      </c>
      <c r="P169" s="110">
        <v>4</v>
      </c>
      <c r="Q169" s="110">
        <f t="shared" si="37"/>
        <v>2</v>
      </c>
      <c r="R169" s="110">
        <v>2</v>
      </c>
    </row>
    <row r="170" spans="2:18" x14ac:dyDescent="0.2">
      <c r="B170" s="57" t="str">
        <f t="shared" si="41"/>
        <v/>
      </c>
      <c r="D170" s="57" t="str">
        <f t="shared" si="42"/>
        <v/>
      </c>
      <c r="F170" s="57" t="str">
        <f t="shared" si="38"/>
        <v/>
      </c>
      <c r="G170" s="102" t="str">
        <f t="shared" si="43"/>
        <v/>
      </c>
      <c r="I170" s="102">
        <f>VLOOKUP(P170&amp;"_"&amp;Q170,活动关卡!$A$4:$Z$27,3+5*MonsterWaveCallRuleCfg!R170,FALSE)</f>
        <v>6</v>
      </c>
      <c r="J170" s="102">
        <f>VLOOKUP(P170&amp;"_"&amp;Q170,活动关卡!$A$4:$Z$27,4+5*MonsterWaveCallRuleCfg!R170,FALSE)</f>
        <v>2</v>
      </c>
      <c r="K170" s="102">
        <f t="shared" si="39"/>
        <v>1</v>
      </c>
      <c r="L170" s="102" t="str">
        <f>IF(VLOOKUP(P170&amp;"_"&amp;Q170,活动关卡!$A$4:$Z$27,2+5*R170,FALSE)="","","Monster_Challenge"&amp;P170&amp;"_"&amp;Q170&amp;"_"&amp;R170)</f>
        <v>Monster_Challenge4_2_3</v>
      </c>
      <c r="M170" s="57">
        <f t="shared" si="40"/>
        <v>1</v>
      </c>
      <c r="N170" s="118"/>
      <c r="O170" s="102">
        <f>VLOOKUP(P170&amp;"_"&amp;Q170,活动关卡!$A$4:$Z$27,6+5*MonsterWaveCallRuleCfg!R170,FALSE)</f>
        <v>17</v>
      </c>
      <c r="P170" s="110">
        <v>4</v>
      </c>
      <c r="Q170" s="110">
        <f t="shared" ref="Q170:Q201" si="44">IF(C170="",Q169,C170)</f>
        <v>2</v>
      </c>
      <c r="R170" s="110">
        <v>3</v>
      </c>
    </row>
    <row r="171" spans="2:18" x14ac:dyDescent="0.2">
      <c r="B171" s="57" t="str">
        <f t="shared" si="41"/>
        <v/>
      </c>
      <c r="D171" s="57" t="str">
        <f t="shared" si="42"/>
        <v/>
      </c>
      <c r="F171" s="57" t="str">
        <f t="shared" si="38"/>
        <v/>
      </c>
      <c r="G171" s="102" t="str">
        <f t="shared" si="43"/>
        <v/>
      </c>
      <c r="I171" s="102" t="str">
        <f>VLOOKUP(P171&amp;"_"&amp;Q171,活动关卡!$A$4:$Z$27,3+5*MonsterWaveCallRuleCfg!R171,FALSE)</f>
        <v/>
      </c>
      <c r="J171" s="102" t="str">
        <f>VLOOKUP(P171&amp;"_"&amp;Q171,活动关卡!$A$4:$Z$27,4+5*MonsterWaveCallRuleCfg!R171,FALSE)</f>
        <v/>
      </c>
      <c r="K171" s="102" t="str">
        <f t="shared" si="39"/>
        <v/>
      </c>
      <c r="L171" s="102" t="str">
        <f>IF(VLOOKUP(P171&amp;"_"&amp;Q171,活动关卡!$A$4:$Z$27,2+5*R171,FALSE)="","","Monster_Challenge"&amp;P171&amp;"_"&amp;Q171&amp;"_"&amp;R171)</f>
        <v/>
      </c>
      <c r="M171" s="57" t="str">
        <f t="shared" si="40"/>
        <v/>
      </c>
      <c r="N171" s="118"/>
      <c r="O171" s="102" t="str">
        <f>VLOOKUP(P171&amp;"_"&amp;Q171,活动关卡!$A$4:$Z$27,6+5*MonsterWaveCallRuleCfg!R171,FALSE)</f>
        <v/>
      </c>
      <c r="P171" s="110">
        <v>4</v>
      </c>
      <c r="Q171" s="110">
        <f t="shared" si="44"/>
        <v>2</v>
      </c>
      <c r="R171" s="110">
        <v>4</v>
      </c>
    </row>
    <row r="172" spans="2:18" x14ac:dyDescent="0.2">
      <c r="B172" s="57" t="str">
        <f t="shared" si="41"/>
        <v>MonsterWaveCallRule_Challenge4</v>
      </c>
      <c r="C172" s="57">
        <v>3</v>
      </c>
      <c r="D172" s="57" t="str">
        <f t="shared" si="42"/>
        <v>挑战关卡4第3波</v>
      </c>
      <c r="F172" s="57">
        <f t="shared" si="38"/>
        <v>0</v>
      </c>
      <c r="G172" s="102">
        <f t="shared" si="43"/>
        <v>180</v>
      </c>
      <c r="I172" s="102">
        <f>VLOOKUP(P172&amp;"_"&amp;Q172,活动关卡!$A$4:$Z$27,3+5*MonsterWaveCallRuleCfg!R172,FALSE)</f>
        <v>10</v>
      </c>
      <c r="J172" s="102">
        <f>VLOOKUP(P172&amp;"_"&amp;Q172,活动关卡!$A$4:$Z$27,4+5*MonsterWaveCallRuleCfg!R172,FALSE)</f>
        <v>1.5</v>
      </c>
      <c r="K172" s="102">
        <f t="shared" si="39"/>
        <v>1</v>
      </c>
      <c r="L172" s="102" t="str">
        <f>IF(VLOOKUP(P172&amp;"_"&amp;Q172,活动关卡!$A$4:$Z$27,2+5*R172,FALSE)="","","Monster_Challenge"&amp;P172&amp;"_"&amp;Q172&amp;"_"&amp;R172)</f>
        <v>Monster_Challenge4_3_1</v>
      </c>
      <c r="M172" s="57">
        <f t="shared" si="40"/>
        <v>1</v>
      </c>
      <c r="N172" s="118"/>
      <c r="O172" s="102">
        <f>VLOOKUP(P172&amp;"_"&amp;Q172,活动关卡!$A$4:$Z$27,6+5*MonsterWaveCallRuleCfg!R172,FALSE)</f>
        <v>9</v>
      </c>
      <c r="P172" s="110">
        <v>4</v>
      </c>
      <c r="Q172" s="110">
        <f t="shared" si="44"/>
        <v>3</v>
      </c>
      <c r="R172" s="110">
        <v>1</v>
      </c>
    </row>
    <row r="173" spans="2:18" x14ac:dyDescent="0.2">
      <c r="B173" s="57" t="str">
        <f t="shared" si="41"/>
        <v/>
      </c>
      <c r="D173" s="57" t="str">
        <f t="shared" si="42"/>
        <v/>
      </c>
      <c r="F173" s="57" t="str">
        <f t="shared" si="38"/>
        <v/>
      </c>
      <c r="G173" s="102" t="str">
        <f t="shared" si="43"/>
        <v/>
      </c>
      <c r="I173" s="102">
        <f>VLOOKUP(P173&amp;"_"&amp;Q173,活动关卡!$A$4:$Z$27,3+5*MonsterWaveCallRuleCfg!R173,FALSE)</f>
        <v>75</v>
      </c>
      <c r="J173" s="102">
        <f>VLOOKUP(P173&amp;"_"&amp;Q173,活动关卡!$A$4:$Z$27,4+5*MonsterWaveCallRuleCfg!R173,FALSE)</f>
        <v>0.2</v>
      </c>
      <c r="K173" s="102">
        <f t="shared" si="39"/>
        <v>1</v>
      </c>
      <c r="L173" s="102" t="str">
        <f>IF(VLOOKUP(P173&amp;"_"&amp;Q173,活动关卡!$A$4:$Z$27,2+5*R173,FALSE)="","","Monster_Challenge"&amp;P173&amp;"_"&amp;Q173&amp;"_"&amp;R173)</f>
        <v>Monster_Challenge4_3_2</v>
      </c>
      <c r="M173" s="57">
        <f t="shared" si="40"/>
        <v>1</v>
      </c>
      <c r="N173" s="118"/>
      <c r="O173" s="102">
        <f>VLOOKUP(P173&amp;"_"&amp;Q173,活动关卡!$A$4:$Z$27,6+5*MonsterWaveCallRuleCfg!R173,FALSE)</f>
        <v>5</v>
      </c>
      <c r="P173" s="110">
        <v>4</v>
      </c>
      <c r="Q173" s="110">
        <f t="shared" si="44"/>
        <v>3</v>
      </c>
      <c r="R173" s="110">
        <v>2</v>
      </c>
    </row>
    <row r="174" spans="2:18" x14ac:dyDescent="0.2">
      <c r="B174" s="57" t="str">
        <f t="shared" si="41"/>
        <v/>
      </c>
      <c r="D174" s="57" t="str">
        <f t="shared" si="42"/>
        <v/>
      </c>
      <c r="F174" s="57" t="str">
        <f t="shared" si="38"/>
        <v/>
      </c>
      <c r="G174" s="102" t="str">
        <f t="shared" si="43"/>
        <v/>
      </c>
      <c r="I174" s="102">
        <f>VLOOKUP(P174&amp;"_"&amp;Q174,活动关卡!$A$4:$Z$27,3+5*MonsterWaveCallRuleCfg!R174,FALSE)</f>
        <v>8</v>
      </c>
      <c r="J174" s="102">
        <f>VLOOKUP(P174&amp;"_"&amp;Q174,活动关卡!$A$4:$Z$27,4+5*MonsterWaveCallRuleCfg!R174,FALSE)</f>
        <v>2</v>
      </c>
      <c r="K174" s="102">
        <f t="shared" si="39"/>
        <v>1</v>
      </c>
      <c r="L174" s="102" t="str">
        <f>IF(VLOOKUP(P174&amp;"_"&amp;Q174,活动关卡!$A$4:$Z$27,2+5*R174,FALSE)="","","Monster_Challenge"&amp;P174&amp;"_"&amp;Q174&amp;"_"&amp;R174)</f>
        <v>Monster_Challenge4_3_3</v>
      </c>
      <c r="M174" s="57">
        <f t="shared" si="40"/>
        <v>1</v>
      </c>
      <c r="N174" s="118"/>
      <c r="O174" s="102">
        <f>VLOOKUP(P174&amp;"_"&amp;Q174,活动关卡!$A$4:$Z$27,6+5*MonsterWaveCallRuleCfg!R174,FALSE)</f>
        <v>19</v>
      </c>
      <c r="P174" s="110">
        <v>4</v>
      </c>
      <c r="Q174" s="110">
        <f t="shared" si="44"/>
        <v>3</v>
      </c>
      <c r="R174" s="110">
        <v>3</v>
      </c>
    </row>
    <row r="175" spans="2:18" x14ac:dyDescent="0.2">
      <c r="B175" s="57" t="str">
        <f t="shared" si="41"/>
        <v/>
      </c>
      <c r="D175" s="57" t="str">
        <f t="shared" si="42"/>
        <v/>
      </c>
      <c r="F175" s="57" t="str">
        <f t="shared" si="38"/>
        <v/>
      </c>
      <c r="G175" s="102" t="str">
        <f t="shared" si="43"/>
        <v/>
      </c>
      <c r="I175" s="102" t="str">
        <f>VLOOKUP(P175&amp;"_"&amp;Q175,活动关卡!$A$4:$Z$27,3+5*MonsterWaveCallRuleCfg!R175,FALSE)</f>
        <v/>
      </c>
      <c r="J175" s="102" t="str">
        <f>VLOOKUP(P175&amp;"_"&amp;Q175,活动关卡!$A$4:$Z$27,4+5*MonsterWaveCallRuleCfg!R175,FALSE)</f>
        <v/>
      </c>
      <c r="K175" s="102" t="str">
        <f t="shared" si="39"/>
        <v/>
      </c>
      <c r="L175" s="102" t="str">
        <f>IF(VLOOKUP(P175&amp;"_"&amp;Q175,活动关卡!$A$4:$Z$27,2+5*R175,FALSE)="","","Monster_Challenge"&amp;P175&amp;"_"&amp;Q175&amp;"_"&amp;R175)</f>
        <v/>
      </c>
      <c r="M175" s="57" t="str">
        <f t="shared" si="40"/>
        <v/>
      </c>
      <c r="N175" s="118"/>
      <c r="O175" s="102" t="str">
        <f>VLOOKUP(P175&amp;"_"&amp;Q175,活动关卡!$A$4:$Z$27,6+5*MonsterWaveCallRuleCfg!R175,FALSE)</f>
        <v/>
      </c>
      <c r="P175" s="110">
        <v>4</v>
      </c>
      <c r="Q175" s="110">
        <f t="shared" si="44"/>
        <v>3</v>
      </c>
      <c r="R175" s="110">
        <v>4</v>
      </c>
    </row>
    <row r="176" spans="2:18" x14ac:dyDescent="0.2">
      <c r="B176" s="57" t="str">
        <f t="shared" si="41"/>
        <v>MonsterWaveCallRule_Challenge4</v>
      </c>
      <c r="C176" s="57">
        <v>4</v>
      </c>
      <c r="D176" s="57" t="str">
        <f t="shared" si="42"/>
        <v>挑战关卡4第4波</v>
      </c>
      <c r="F176" s="57">
        <f t="shared" si="38"/>
        <v>0</v>
      </c>
      <c r="G176" s="102">
        <f t="shared" si="43"/>
        <v>180</v>
      </c>
      <c r="I176" s="102">
        <f>VLOOKUP(P176&amp;"_"&amp;Q176,活动关卡!$A$4:$Z$27,3+5*MonsterWaveCallRuleCfg!R176,FALSE)</f>
        <v>12</v>
      </c>
      <c r="J176" s="102">
        <f>VLOOKUP(P176&amp;"_"&amp;Q176,活动关卡!$A$4:$Z$27,4+5*MonsterWaveCallRuleCfg!R176,FALSE)</f>
        <v>1.5</v>
      </c>
      <c r="K176" s="102">
        <f t="shared" si="39"/>
        <v>1</v>
      </c>
      <c r="L176" s="102" t="str">
        <f>IF(VLOOKUP(P176&amp;"_"&amp;Q176,活动关卡!$A$4:$Z$27,2+5*R176,FALSE)="","","Monster_Challenge"&amp;P176&amp;"_"&amp;Q176&amp;"_"&amp;R176)</f>
        <v>Monster_Challenge4_4_1</v>
      </c>
      <c r="M176" s="57">
        <f t="shared" si="40"/>
        <v>1</v>
      </c>
      <c r="N176" s="118"/>
      <c r="O176" s="102">
        <f>VLOOKUP(P176&amp;"_"&amp;Q176,活动关卡!$A$4:$Z$27,6+5*MonsterWaveCallRuleCfg!R176,FALSE)</f>
        <v>7</v>
      </c>
      <c r="P176" s="110">
        <v>4</v>
      </c>
      <c r="Q176" s="110">
        <f t="shared" si="44"/>
        <v>4</v>
      </c>
      <c r="R176" s="110">
        <v>1</v>
      </c>
    </row>
    <row r="177" spans="2:18" x14ac:dyDescent="0.2">
      <c r="B177" s="57" t="str">
        <f t="shared" si="41"/>
        <v/>
      </c>
      <c r="D177" s="57" t="str">
        <f t="shared" si="42"/>
        <v/>
      </c>
      <c r="F177" s="57" t="str">
        <f t="shared" si="38"/>
        <v/>
      </c>
      <c r="G177" s="102" t="str">
        <f t="shared" si="43"/>
        <v/>
      </c>
      <c r="I177" s="102">
        <f>VLOOKUP(P177&amp;"_"&amp;Q177,活动关卡!$A$4:$Z$27,3+5*MonsterWaveCallRuleCfg!R177,FALSE)</f>
        <v>44</v>
      </c>
      <c r="J177" s="102">
        <f>VLOOKUP(P177&amp;"_"&amp;Q177,活动关卡!$A$4:$Z$27,4+5*MonsterWaveCallRuleCfg!R177,FALSE)</f>
        <v>0.4</v>
      </c>
      <c r="K177" s="102">
        <f t="shared" si="39"/>
        <v>1</v>
      </c>
      <c r="L177" s="102" t="str">
        <f>IF(VLOOKUP(P177&amp;"_"&amp;Q177,活动关卡!$A$4:$Z$27,2+5*R177,FALSE)="","","Monster_Challenge"&amp;P177&amp;"_"&amp;Q177&amp;"_"&amp;R177)</f>
        <v>Monster_Challenge4_4_2</v>
      </c>
      <c r="M177" s="57">
        <f t="shared" si="40"/>
        <v>1</v>
      </c>
      <c r="N177" s="118"/>
      <c r="O177" s="102">
        <f>VLOOKUP(P177&amp;"_"&amp;Q177,活动关卡!$A$4:$Z$27,6+5*MonsterWaveCallRuleCfg!R177,FALSE)</f>
        <v>7</v>
      </c>
      <c r="P177" s="110">
        <v>4</v>
      </c>
      <c r="Q177" s="110">
        <f t="shared" si="44"/>
        <v>4</v>
      </c>
      <c r="R177" s="110">
        <v>2</v>
      </c>
    </row>
    <row r="178" spans="2:18" x14ac:dyDescent="0.2">
      <c r="B178" s="57" t="str">
        <f t="shared" si="41"/>
        <v/>
      </c>
      <c r="D178" s="57" t="str">
        <f t="shared" si="42"/>
        <v/>
      </c>
      <c r="F178" s="57" t="str">
        <f t="shared" si="38"/>
        <v/>
      </c>
      <c r="G178" s="102" t="str">
        <f t="shared" si="43"/>
        <v/>
      </c>
      <c r="I178" s="102">
        <f>VLOOKUP(P178&amp;"_"&amp;Q178,活动关卡!$A$4:$Z$27,3+5*MonsterWaveCallRuleCfg!R178,FALSE)</f>
        <v>18</v>
      </c>
      <c r="J178" s="102">
        <f>VLOOKUP(P178&amp;"_"&amp;Q178,活动关卡!$A$4:$Z$27,4+5*MonsterWaveCallRuleCfg!R178,FALSE)</f>
        <v>1</v>
      </c>
      <c r="K178" s="102">
        <f t="shared" si="39"/>
        <v>1</v>
      </c>
      <c r="L178" s="102" t="str">
        <f>IF(VLOOKUP(P178&amp;"_"&amp;Q178,活动关卡!$A$4:$Z$27,2+5*R178,FALSE)="","","Monster_Challenge"&amp;P178&amp;"_"&amp;Q178&amp;"_"&amp;R178)</f>
        <v>Monster_Challenge4_4_3</v>
      </c>
      <c r="M178" s="57">
        <f t="shared" si="40"/>
        <v>1</v>
      </c>
      <c r="N178" s="118"/>
      <c r="O178" s="102">
        <f>VLOOKUP(P178&amp;"_"&amp;Q178,活动关卡!$A$4:$Z$27,6+5*MonsterWaveCallRuleCfg!R178,FALSE)</f>
        <v>13</v>
      </c>
      <c r="P178" s="110">
        <v>4</v>
      </c>
      <c r="Q178" s="110">
        <f t="shared" si="44"/>
        <v>4</v>
      </c>
      <c r="R178" s="110">
        <v>3</v>
      </c>
    </row>
    <row r="179" spans="2:18" x14ac:dyDescent="0.2">
      <c r="B179" s="57" t="str">
        <f t="shared" si="41"/>
        <v/>
      </c>
      <c r="D179" s="57" t="str">
        <f t="shared" si="42"/>
        <v/>
      </c>
      <c r="F179" s="57" t="str">
        <f t="shared" si="38"/>
        <v/>
      </c>
      <c r="G179" s="102" t="str">
        <f t="shared" si="43"/>
        <v/>
      </c>
      <c r="I179" s="102" t="str">
        <f>VLOOKUP(P179&amp;"_"&amp;Q179,活动关卡!$A$4:$Z$27,3+5*MonsterWaveCallRuleCfg!R179,FALSE)</f>
        <v/>
      </c>
      <c r="J179" s="102" t="str">
        <f>VLOOKUP(P179&amp;"_"&amp;Q179,活动关卡!$A$4:$Z$27,4+5*MonsterWaveCallRuleCfg!R179,FALSE)</f>
        <v/>
      </c>
      <c r="K179" s="102" t="str">
        <f t="shared" si="39"/>
        <v/>
      </c>
      <c r="L179" s="102" t="str">
        <f>IF(VLOOKUP(P179&amp;"_"&amp;Q179,活动关卡!$A$4:$Z$27,2+5*R179,FALSE)="","","Monster_Challenge"&amp;P179&amp;"_"&amp;Q179&amp;"_"&amp;R179)</f>
        <v/>
      </c>
      <c r="M179" s="57" t="str">
        <f t="shared" si="40"/>
        <v/>
      </c>
      <c r="N179" s="118"/>
      <c r="O179" s="102" t="str">
        <f>VLOOKUP(P179&amp;"_"&amp;Q179,活动关卡!$A$4:$Z$27,6+5*MonsterWaveCallRuleCfg!R179,FALSE)</f>
        <v/>
      </c>
      <c r="P179" s="110">
        <v>4</v>
      </c>
      <c r="Q179" s="110">
        <f t="shared" si="44"/>
        <v>4</v>
      </c>
      <c r="R179" s="110">
        <v>4</v>
      </c>
    </row>
    <row r="180" spans="2:18" x14ac:dyDescent="0.2">
      <c r="B180" s="57" t="str">
        <f t="shared" si="41"/>
        <v>MonsterWaveCallRule_Challenge4</v>
      </c>
      <c r="C180" s="57">
        <v>5</v>
      </c>
      <c r="D180" s="57" t="str">
        <f t="shared" si="42"/>
        <v>挑战关卡4第5波</v>
      </c>
      <c r="F180" s="57">
        <f t="shared" si="38"/>
        <v>0</v>
      </c>
      <c r="G180" s="102">
        <f t="shared" si="43"/>
        <v>180</v>
      </c>
      <c r="I180" s="102">
        <f>VLOOKUP(P180&amp;"_"&amp;Q180,活动关卡!$A$4:$Z$27,3+5*MonsterWaveCallRuleCfg!R180,FALSE)</f>
        <v>40</v>
      </c>
      <c r="J180" s="102">
        <f>VLOOKUP(P180&amp;"_"&amp;Q180,活动关卡!$A$4:$Z$27,4+5*MonsterWaveCallRuleCfg!R180,FALSE)</f>
        <v>0.5</v>
      </c>
      <c r="K180" s="102">
        <f t="shared" si="39"/>
        <v>1</v>
      </c>
      <c r="L180" s="102" t="str">
        <f>IF(VLOOKUP(P180&amp;"_"&amp;Q180,活动关卡!$A$4:$Z$27,2+5*R180,FALSE)="","","Monster_Challenge"&amp;P180&amp;"_"&amp;Q180&amp;"_"&amp;R180)</f>
        <v>Monster_Challenge4_5_1</v>
      </c>
      <c r="M180" s="57">
        <f t="shared" si="40"/>
        <v>1</v>
      </c>
      <c r="N180" s="118"/>
      <c r="O180" s="102">
        <f>VLOOKUP(P180&amp;"_"&amp;Q180,活动关卡!$A$4:$Z$27,6+5*MonsterWaveCallRuleCfg!R180,FALSE)</f>
        <v>6</v>
      </c>
      <c r="P180" s="110">
        <v>4</v>
      </c>
      <c r="Q180" s="110">
        <f t="shared" si="44"/>
        <v>5</v>
      </c>
      <c r="R180" s="110">
        <v>1</v>
      </c>
    </row>
    <row r="181" spans="2:18" x14ac:dyDescent="0.2">
      <c r="B181" s="57" t="str">
        <f t="shared" si="41"/>
        <v/>
      </c>
      <c r="D181" s="57" t="str">
        <f t="shared" si="42"/>
        <v/>
      </c>
      <c r="F181" s="57" t="str">
        <f t="shared" si="38"/>
        <v/>
      </c>
      <c r="G181" s="102" t="str">
        <f t="shared" si="43"/>
        <v/>
      </c>
      <c r="I181" s="102">
        <f>VLOOKUP(P181&amp;"_"&amp;Q181,活动关卡!$A$4:$Z$27,3+5*MonsterWaveCallRuleCfg!R181,FALSE)</f>
        <v>10</v>
      </c>
      <c r="J181" s="102">
        <f>VLOOKUP(P181&amp;"_"&amp;Q181,活动关卡!$A$4:$Z$27,4+5*MonsterWaveCallRuleCfg!R181,FALSE)</f>
        <v>2</v>
      </c>
      <c r="K181" s="102">
        <f t="shared" si="39"/>
        <v>1</v>
      </c>
      <c r="L181" s="102" t="str">
        <f>IF(VLOOKUP(P181&amp;"_"&amp;Q181,活动关卡!$A$4:$Z$27,2+5*R181,FALSE)="","","Monster_Challenge"&amp;P181&amp;"_"&amp;Q181&amp;"_"&amp;R181)</f>
        <v>Monster_Challenge4_5_2</v>
      </c>
      <c r="M181" s="57">
        <f t="shared" si="40"/>
        <v>1</v>
      </c>
      <c r="N181" s="118"/>
      <c r="O181" s="102">
        <f>VLOOKUP(P181&amp;"_"&amp;Q181,活动关卡!$A$4:$Z$27,6+5*MonsterWaveCallRuleCfg!R181,FALSE)</f>
        <v>12</v>
      </c>
      <c r="P181" s="110">
        <v>4</v>
      </c>
      <c r="Q181" s="110">
        <f t="shared" si="44"/>
        <v>5</v>
      </c>
      <c r="R181" s="110">
        <v>2</v>
      </c>
    </row>
    <row r="182" spans="2:18" x14ac:dyDescent="0.2">
      <c r="B182" s="57" t="str">
        <f t="shared" si="41"/>
        <v/>
      </c>
      <c r="D182" s="57" t="str">
        <f t="shared" si="42"/>
        <v/>
      </c>
      <c r="F182" s="57" t="str">
        <f t="shared" si="38"/>
        <v/>
      </c>
      <c r="G182" s="102" t="str">
        <f t="shared" si="43"/>
        <v/>
      </c>
      <c r="I182" s="102">
        <f>VLOOKUP(P182&amp;"_"&amp;Q182,活动关卡!$A$4:$Z$27,3+5*MonsterWaveCallRuleCfg!R182,FALSE)</f>
        <v>20</v>
      </c>
      <c r="J182" s="102">
        <f>VLOOKUP(P182&amp;"_"&amp;Q182,活动关卡!$A$4:$Z$27,4+5*MonsterWaveCallRuleCfg!R182,FALSE)</f>
        <v>1</v>
      </c>
      <c r="K182" s="102">
        <f t="shared" si="39"/>
        <v>1</v>
      </c>
      <c r="L182" s="102" t="str">
        <f>IF(VLOOKUP(P182&amp;"_"&amp;Q182,活动关卡!$A$4:$Z$27,2+5*R182,FALSE)="","","Monster_Challenge"&amp;P182&amp;"_"&amp;Q182&amp;"_"&amp;R182)</f>
        <v>Monster_Challenge4_5_3</v>
      </c>
      <c r="M182" s="57">
        <f t="shared" si="40"/>
        <v>1</v>
      </c>
      <c r="N182" s="118"/>
      <c r="O182" s="102">
        <f>VLOOKUP(P182&amp;"_"&amp;Q182,活动关卡!$A$4:$Z$27,6+5*MonsterWaveCallRuleCfg!R182,FALSE)</f>
        <v>12</v>
      </c>
      <c r="P182" s="110">
        <v>4</v>
      </c>
      <c r="Q182" s="110">
        <f t="shared" si="44"/>
        <v>5</v>
      </c>
      <c r="R182" s="110">
        <v>3</v>
      </c>
    </row>
    <row r="183" spans="2:18" x14ac:dyDescent="0.2">
      <c r="B183" s="57" t="str">
        <f t="shared" si="41"/>
        <v/>
      </c>
      <c r="D183" s="57" t="str">
        <f t="shared" si="42"/>
        <v/>
      </c>
      <c r="F183" s="57" t="str">
        <f t="shared" si="38"/>
        <v/>
      </c>
      <c r="G183" s="102" t="str">
        <f t="shared" si="43"/>
        <v/>
      </c>
      <c r="I183" s="102" t="str">
        <f>VLOOKUP(P183&amp;"_"&amp;Q183,活动关卡!$A$4:$Z$27,3+5*MonsterWaveCallRuleCfg!R183,FALSE)</f>
        <v/>
      </c>
      <c r="J183" s="102" t="str">
        <f>VLOOKUP(P183&amp;"_"&amp;Q183,活动关卡!$A$4:$Z$27,4+5*MonsterWaveCallRuleCfg!R183,FALSE)</f>
        <v/>
      </c>
      <c r="K183" s="102" t="str">
        <f t="shared" si="39"/>
        <v/>
      </c>
      <c r="L183" s="102" t="str">
        <f>IF(VLOOKUP(P183&amp;"_"&amp;Q183,活动关卡!$A$4:$Z$27,2+5*R183,FALSE)="","","Monster_Challenge"&amp;P183&amp;"_"&amp;Q183&amp;"_"&amp;R183)</f>
        <v/>
      </c>
      <c r="M183" s="57" t="str">
        <f t="shared" si="40"/>
        <v/>
      </c>
      <c r="N183" s="118"/>
      <c r="O183" s="102" t="str">
        <f>VLOOKUP(P183&amp;"_"&amp;Q183,活动关卡!$A$4:$Z$27,6+5*MonsterWaveCallRuleCfg!R183,FALSE)</f>
        <v/>
      </c>
      <c r="P183" s="110">
        <v>4</v>
      </c>
      <c r="Q183" s="110">
        <f t="shared" si="44"/>
        <v>5</v>
      </c>
      <c r="R183" s="110">
        <v>4</v>
      </c>
    </row>
    <row r="184" spans="2:18" x14ac:dyDescent="0.2">
      <c r="B184" s="57" t="str">
        <f t="shared" si="41"/>
        <v>MonsterWaveCallRule_Challenge5</v>
      </c>
      <c r="C184" s="57">
        <v>1</v>
      </c>
      <c r="D184" s="57" t="str">
        <f t="shared" si="42"/>
        <v>挑战关卡5第1波</v>
      </c>
      <c r="F184" s="57">
        <f t="shared" si="38"/>
        <v>0</v>
      </c>
      <c r="G184" s="102">
        <f>IF(C184="","",180)</f>
        <v>180</v>
      </c>
      <c r="I184" s="102">
        <f>VLOOKUP(P184&amp;"_"&amp;Q184,活动关卡!$A$4:$Z$27,3+5*MonsterWaveCallRuleCfg!R184,FALSE)</f>
        <v>7</v>
      </c>
      <c r="J184" s="102">
        <f>VLOOKUP(P184&amp;"_"&amp;Q184,活动关卡!$A$4:$Z$27,4+5*MonsterWaveCallRuleCfg!R184,FALSE)</f>
        <v>1.5</v>
      </c>
      <c r="K184" s="102">
        <f t="shared" si="39"/>
        <v>1</v>
      </c>
      <c r="L184" s="102" t="str">
        <f>IF(VLOOKUP(P184&amp;"_"&amp;Q184,活动关卡!$A$4:$Z$27,2+5*R184,FALSE)="","","Monster_Challenge"&amp;P184&amp;"_"&amp;Q184&amp;"_"&amp;R184)</f>
        <v>Monster_Challenge5_1_1</v>
      </c>
      <c r="M184" s="57">
        <f t="shared" si="40"/>
        <v>1</v>
      </c>
      <c r="N184" s="118"/>
      <c r="O184" s="102">
        <f>VLOOKUP(P184&amp;"_"&amp;Q184,活动关卡!$A$4:$Z$27,6+5*MonsterWaveCallRuleCfg!R184,FALSE)</f>
        <v>50</v>
      </c>
      <c r="P184" s="110">
        <v>5</v>
      </c>
      <c r="Q184" s="110">
        <f t="shared" si="44"/>
        <v>1</v>
      </c>
      <c r="R184" s="110">
        <v>1</v>
      </c>
    </row>
    <row r="185" spans="2:18" x14ac:dyDescent="0.2">
      <c r="B185" s="57" t="str">
        <f t="shared" si="41"/>
        <v/>
      </c>
      <c r="D185" s="57" t="str">
        <f t="shared" si="42"/>
        <v/>
      </c>
      <c r="F185" s="57" t="str">
        <f t="shared" si="38"/>
        <v/>
      </c>
      <c r="G185" s="102" t="str">
        <f t="shared" ref="G185:G203" si="45">IF(C185="","",180)</f>
        <v/>
      </c>
      <c r="I185" s="102">
        <f>VLOOKUP(P185&amp;"_"&amp;Q185,活动关卡!$A$4:$Z$27,3+5*MonsterWaveCallRuleCfg!R185,FALSE)</f>
        <v>5</v>
      </c>
      <c r="J185" s="102">
        <f>VLOOKUP(P185&amp;"_"&amp;Q185,活动关卡!$A$4:$Z$27,4+5*MonsterWaveCallRuleCfg!R185,FALSE)</f>
        <v>2</v>
      </c>
      <c r="K185" s="102">
        <f t="shared" si="39"/>
        <v>1</v>
      </c>
      <c r="L185" s="102" t="str">
        <f>IF(VLOOKUP(P185&amp;"_"&amp;Q185,活动关卡!$A$4:$Z$27,2+5*R185,FALSE)="","","Monster_Challenge"&amp;P185&amp;"_"&amp;Q185&amp;"_"&amp;R185)</f>
        <v>Monster_Challenge5_1_2</v>
      </c>
      <c r="M185" s="57">
        <f t="shared" si="40"/>
        <v>1</v>
      </c>
      <c r="N185" s="118"/>
      <c r="O185" s="102">
        <f>VLOOKUP(P185&amp;"_"&amp;Q185,活动关卡!$A$4:$Z$27,6+5*MonsterWaveCallRuleCfg!R185,FALSE)</f>
        <v>50</v>
      </c>
      <c r="P185" s="110">
        <v>5</v>
      </c>
      <c r="Q185" s="110">
        <f t="shared" si="44"/>
        <v>1</v>
      </c>
      <c r="R185" s="110">
        <v>2</v>
      </c>
    </row>
    <row r="186" spans="2:18" x14ac:dyDescent="0.2">
      <c r="B186" s="57" t="str">
        <f t="shared" si="41"/>
        <v/>
      </c>
      <c r="D186" s="57" t="str">
        <f t="shared" si="42"/>
        <v/>
      </c>
      <c r="F186" s="57" t="str">
        <f t="shared" si="38"/>
        <v/>
      </c>
      <c r="G186" s="102" t="str">
        <f t="shared" si="45"/>
        <v/>
      </c>
      <c r="I186" s="102" t="str">
        <f>VLOOKUP(P186&amp;"_"&amp;Q186,活动关卡!$A$4:$Z$27,3+5*MonsterWaveCallRuleCfg!R186,FALSE)</f>
        <v/>
      </c>
      <c r="J186" s="102" t="str">
        <f>VLOOKUP(P186&amp;"_"&amp;Q186,活动关卡!$A$4:$Z$27,4+5*MonsterWaveCallRuleCfg!R186,FALSE)</f>
        <v/>
      </c>
      <c r="K186" s="102" t="str">
        <f t="shared" si="39"/>
        <v/>
      </c>
      <c r="L186" s="102" t="str">
        <f>IF(VLOOKUP(P186&amp;"_"&amp;Q186,活动关卡!$A$4:$Z$27,2+5*R186,FALSE)="","","Monster_Challenge"&amp;P186&amp;"_"&amp;Q186&amp;"_"&amp;R186)</f>
        <v/>
      </c>
      <c r="M186" s="57" t="str">
        <f t="shared" si="40"/>
        <v/>
      </c>
      <c r="N186" s="118"/>
      <c r="O186" s="102" t="str">
        <f>VLOOKUP(P186&amp;"_"&amp;Q186,活动关卡!$A$4:$Z$27,6+5*MonsterWaveCallRuleCfg!R186,FALSE)</f>
        <v/>
      </c>
      <c r="P186" s="110">
        <v>5</v>
      </c>
      <c r="Q186" s="110">
        <f t="shared" si="44"/>
        <v>1</v>
      </c>
      <c r="R186" s="110">
        <v>3</v>
      </c>
    </row>
    <row r="187" spans="2:18" x14ac:dyDescent="0.2">
      <c r="B187" s="57" t="str">
        <f t="shared" si="41"/>
        <v/>
      </c>
      <c r="D187" s="57" t="str">
        <f t="shared" si="42"/>
        <v/>
      </c>
      <c r="F187" s="57" t="str">
        <f t="shared" si="38"/>
        <v/>
      </c>
      <c r="G187" s="102" t="str">
        <f t="shared" si="45"/>
        <v/>
      </c>
      <c r="I187" s="102" t="str">
        <f>VLOOKUP(P187&amp;"_"&amp;Q187,活动关卡!$A$4:$Z$27,3+5*MonsterWaveCallRuleCfg!R187,FALSE)</f>
        <v/>
      </c>
      <c r="J187" s="102" t="str">
        <f>VLOOKUP(P187&amp;"_"&amp;Q187,活动关卡!$A$4:$Z$27,4+5*MonsterWaveCallRuleCfg!R187,FALSE)</f>
        <v/>
      </c>
      <c r="K187" s="102" t="str">
        <f t="shared" si="39"/>
        <v/>
      </c>
      <c r="L187" s="102" t="str">
        <f>IF(VLOOKUP(P187&amp;"_"&amp;Q187,活动关卡!$A$4:$Z$27,2+5*R187,FALSE)="","","Monster_Challenge"&amp;P187&amp;"_"&amp;Q187&amp;"_"&amp;R187)</f>
        <v/>
      </c>
      <c r="M187" s="57" t="str">
        <f t="shared" si="40"/>
        <v/>
      </c>
      <c r="N187" s="118"/>
      <c r="O187" s="102" t="str">
        <f>VLOOKUP(P187&amp;"_"&amp;Q187,活动关卡!$A$4:$Z$27,6+5*MonsterWaveCallRuleCfg!R187,FALSE)</f>
        <v/>
      </c>
      <c r="P187" s="110">
        <v>5</v>
      </c>
      <c r="Q187" s="110">
        <f t="shared" si="44"/>
        <v>1</v>
      </c>
      <c r="R187" s="110">
        <v>4</v>
      </c>
    </row>
    <row r="188" spans="2:18" x14ac:dyDescent="0.2">
      <c r="B188" s="57" t="str">
        <f t="shared" si="41"/>
        <v>MonsterWaveCallRule_Challenge5</v>
      </c>
      <c r="C188" s="57">
        <v>2</v>
      </c>
      <c r="D188" s="57" t="str">
        <f t="shared" si="42"/>
        <v>挑战关卡5第2波</v>
      </c>
      <c r="F188" s="57">
        <f t="shared" si="38"/>
        <v>0</v>
      </c>
      <c r="G188" s="102">
        <f t="shared" si="45"/>
        <v>180</v>
      </c>
      <c r="I188" s="102">
        <f>VLOOKUP(P188&amp;"_"&amp;Q188,活动关卡!$A$4:$Z$27,3+5*MonsterWaveCallRuleCfg!R188,FALSE)</f>
        <v>8</v>
      </c>
      <c r="J188" s="102">
        <f>VLOOKUP(P188&amp;"_"&amp;Q188,活动关卡!$A$4:$Z$27,4+5*MonsterWaveCallRuleCfg!R188,FALSE)</f>
        <v>1.5</v>
      </c>
      <c r="K188" s="102">
        <f t="shared" si="39"/>
        <v>1</v>
      </c>
      <c r="L188" s="102" t="str">
        <f>IF(VLOOKUP(P188&amp;"_"&amp;Q188,活动关卡!$A$4:$Z$27,2+5*R188,FALSE)="","","Monster_Challenge"&amp;P188&amp;"_"&amp;Q188&amp;"_"&amp;R188)</f>
        <v>Monster_Challenge5_2_1</v>
      </c>
      <c r="M188" s="57">
        <f t="shared" si="40"/>
        <v>1</v>
      </c>
      <c r="N188" s="118"/>
      <c r="O188" s="102">
        <f>VLOOKUP(P188&amp;"_"&amp;Q188,活动关卡!$A$4:$Z$27,6+5*MonsterWaveCallRuleCfg!R188,FALSE)</f>
        <v>20</v>
      </c>
      <c r="P188" s="110">
        <v>5</v>
      </c>
      <c r="Q188" s="110">
        <f t="shared" si="44"/>
        <v>2</v>
      </c>
      <c r="R188" s="110">
        <v>1</v>
      </c>
    </row>
    <row r="189" spans="2:18" x14ac:dyDescent="0.2">
      <c r="B189" s="57" t="str">
        <f t="shared" si="41"/>
        <v/>
      </c>
      <c r="D189" s="57" t="str">
        <f t="shared" si="42"/>
        <v/>
      </c>
      <c r="F189" s="57" t="str">
        <f t="shared" si="38"/>
        <v/>
      </c>
      <c r="G189" s="102" t="str">
        <f t="shared" si="45"/>
        <v/>
      </c>
      <c r="I189" s="102">
        <f>VLOOKUP(P189&amp;"_"&amp;Q189,活动关卡!$A$4:$Z$27,3+5*MonsterWaveCallRuleCfg!R189,FALSE)</f>
        <v>63</v>
      </c>
      <c r="J189" s="102">
        <f>VLOOKUP(P189&amp;"_"&amp;Q189,活动关卡!$A$4:$Z$27,4+5*MonsterWaveCallRuleCfg!R189,FALSE)</f>
        <v>0.2</v>
      </c>
      <c r="K189" s="102">
        <f t="shared" si="39"/>
        <v>1</v>
      </c>
      <c r="L189" s="102" t="str">
        <f>IF(VLOOKUP(P189&amp;"_"&amp;Q189,活动关卡!$A$4:$Z$27,2+5*R189,FALSE)="","","Monster_Challenge"&amp;P189&amp;"_"&amp;Q189&amp;"_"&amp;R189)</f>
        <v>Monster_Challenge5_2_2</v>
      </c>
      <c r="M189" s="57">
        <f t="shared" si="40"/>
        <v>1</v>
      </c>
      <c r="N189" s="118"/>
      <c r="O189" s="102">
        <f>VLOOKUP(P189&amp;"_"&amp;Q189,活动关卡!$A$4:$Z$27,6+5*MonsterWaveCallRuleCfg!R189,FALSE)</f>
        <v>5</v>
      </c>
      <c r="P189" s="110">
        <v>5</v>
      </c>
      <c r="Q189" s="110">
        <f t="shared" si="44"/>
        <v>2</v>
      </c>
      <c r="R189" s="110">
        <v>2</v>
      </c>
    </row>
    <row r="190" spans="2:18" x14ac:dyDescent="0.2">
      <c r="B190" s="57" t="str">
        <f t="shared" si="41"/>
        <v/>
      </c>
      <c r="D190" s="57" t="str">
        <f t="shared" si="42"/>
        <v/>
      </c>
      <c r="F190" s="57" t="str">
        <f t="shared" si="38"/>
        <v/>
      </c>
      <c r="G190" s="102" t="str">
        <f t="shared" si="45"/>
        <v/>
      </c>
      <c r="I190" s="102">
        <f>VLOOKUP(P190&amp;"_"&amp;Q190,活动关卡!$A$4:$Z$27,3+5*MonsterWaveCallRuleCfg!R190,FALSE)</f>
        <v>6</v>
      </c>
      <c r="J190" s="102">
        <f>VLOOKUP(P190&amp;"_"&amp;Q190,活动关卡!$A$4:$Z$27,4+5*MonsterWaveCallRuleCfg!R190,FALSE)</f>
        <v>2</v>
      </c>
      <c r="K190" s="102">
        <f t="shared" si="39"/>
        <v>1</v>
      </c>
      <c r="L190" s="102" t="str">
        <f>IF(VLOOKUP(P190&amp;"_"&amp;Q190,活动关卡!$A$4:$Z$27,2+5*R190,FALSE)="","","Monster_Challenge"&amp;P190&amp;"_"&amp;Q190&amp;"_"&amp;R190)</f>
        <v>Monster_Challenge5_2_3</v>
      </c>
      <c r="M190" s="57">
        <f t="shared" si="40"/>
        <v>1</v>
      </c>
      <c r="N190" s="118"/>
      <c r="O190" s="102">
        <f>VLOOKUP(P190&amp;"_"&amp;Q190,活动关卡!$A$4:$Z$27,6+5*MonsterWaveCallRuleCfg!R190,FALSE)</f>
        <v>20</v>
      </c>
      <c r="P190" s="110">
        <v>5</v>
      </c>
      <c r="Q190" s="110">
        <f t="shared" si="44"/>
        <v>2</v>
      </c>
      <c r="R190" s="110">
        <v>3</v>
      </c>
    </row>
    <row r="191" spans="2:18" x14ac:dyDescent="0.2">
      <c r="B191" s="57" t="str">
        <f t="shared" si="41"/>
        <v/>
      </c>
      <c r="D191" s="57" t="str">
        <f t="shared" si="42"/>
        <v/>
      </c>
      <c r="F191" s="57" t="str">
        <f t="shared" si="38"/>
        <v/>
      </c>
      <c r="G191" s="102" t="str">
        <f t="shared" si="45"/>
        <v/>
      </c>
      <c r="I191" s="102" t="str">
        <f>VLOOKUP(P191&amp;"_"&amp;Q191,活动关卡!$A$4:$Z$27,3+5*MonsterWaveCallRuleCfg!R191,FALSE)</f>
        <v/>
      </c>
      <c r="J191" s="102" t="str">
        <f>VLOOKUP(P191&amp;"_"&amp;Q191,活动关卡!$A$4:$Z$27,4+5*MonsterWaveCallRuleCfg!R191,FALSE)</f>
        <v/>
      </c>
      <c r="K191" s="102" t="str">
        <f t="shared" si="39"/>
        <v/>
      </c>
      <c r="L191" s="102" t="str">
        <f>IF(VLOOKUP(P191&amp;"_"&amp;Q191,活动关卡!$A$4:$Z$27,2+5*R191,FALSE)="","","Monster_Challenge"&amp;P191&amp;"_"&amp;Q191&amp;"_"&amp;R191)</f>
        <v/>
      </c>
      <c r="M191" s="57" t="str">
        <f t="shared" si="40"/>
        <v/>
      </c>
      <c r="N191" s="118"/>
      <c r="O191" s="102" t="str">
        <f>VLOOKUP(P191&amp;"_"&amp;Q191,活动关卡!$A$4:$Z$27,6+5*MonsterWaveCallRuleCfg!R191,FALSE)</f>
        <v/>
      </c>
      <c r="P191" s="110">
        <v>5</v>
      </c>
      <c r="Q191" s="110">
        <f t="shared" si="44"/>
        <v>2</v>
      </c>
      <c r="R191" s="110">
        <v>4</v>
      </c>
    </row>
    <row r="192" spans="2:18" x14ac:dyDescent="0.2">
      <c r="B192" s="57" t="str">
        <f t="shared" si="41"/>
        <v>MonsterWaveCallRule_Challenge5</v>
      </c>
      <c r="C192" s="57">
        <v>3</v>
      </c>
      <c r="D192" s="57" t="str">
        <f t="shared" si="42"/>
        <v>挑战关卡5第3波</v>
      </c>
      <c r="F192" s="57">
        <f t="shared" si="38"/>
        <v>0</v>
      </c>
      <c r="G192" s="102">
        <f t="shared" si="45"/>
        <v>180</v>
      </c>
      <c r="I192" s="102">
        <f>VLOOKUP(P192&amp;"_"&amp;Q192,活动关卡!$A$4:$Z$27,3+5*MonsterWaveCallRuleCfg!R192,FALSE)</f>
        <v>10</v>
      </c>
      <c r="J192" s="102">
        <f>VLOOKUP(P192&amp;"_"&amp;Q192,活动关卡!$A$4:$Z$27,4+5*MonsterWaveCallRuleCfg!R192,FALSE)</f>
        <v>1.5</v>
      </c>
      <c r="K192" s="102">
        <f t="shared" si="39"/>
        <v>1</v>
      </c>
      <c r="L192" s="102" t="str">
        <f>IF(VLOOKUP(P192&amp;"_"&amp;Q192,活动关卡!$A$4:$Z$27,2+5*R192,FALSE)="","","Monster_Challenge"&amp;P192&amp;"_"&amp;Q192&amp;"_"&amp;R192)</f>
        <v>Monster_Challenge5_3_1</v>
      </c>
      <c r="M192" s="57">
        <f t="shared" si="40"/>
        <v>1</v>
      </c>
      <c r="N192" s="118"/>
      <c r="O192" s="102">
        <f>VLOOKUP(P192&amp;"_"&amp;Q192,活动关卡!$A$4:$Z$27,6+5*MonsterWaveCallRuleCfg!R192,FALSE)</f>
        <v>14</v>
      </c>
      <c r="P192" s="110">
        <v>5</v>
      </c>
      <c r="Q192" s="110">
        <f t="shared" si="44"/>
        <v>3</v>
      </c>
      <c r="R192" s="110">
        <v>1</v>
      </c>
    </row>
    <row r="193" spans="2:18" x14ac:dyDescent="0.2">
      <c r="B193" s="57" t="str">
        <f t="shared" si="41"/>
        <v/>
      </c>
      <c r="D193" s="57" t="str">
        <f t="shared" si="42"/>
        <v/>
      </c>
      <c r="F193" s="57" t="str">
        <f t="shared" si="38"/>
        <v/>
      </c>
      <c r="G193" s="102" t="str">
        <f t="shared" si="45"/>
        <v/>
      </c>
      <c r="I193" s="102">
        <f>VLOOKUP(P193&amp;"_"&amp;Q193,活动关卡!$A$4:$Z$27,3+5*MonsterWaveCallRuleCfg!R193,FALSE)</f>
        <v>38</v>
      </c>
      <c r="J193" s="102">
        <f>VLOOKUP(P193&amp;"_"&amp;Q193,活动关卡!$A$4:$Z$27,4+5*MonsterWaveCallRuleCfg!R193,FALSE)</f>
        <v>0.4</v>
      </c>
      <c r="K193" s="102">
        <f t="shared" si="39"/>
        <v>1</v>
      </c>
      <c r="L193" s="102" t="str">
        <f>IF(VLOOKUP(P193&amp;"_"&amp;Q193,活动关卡!$A$4:$Z$27,2+5*R193,FALSE)="","","Monster_Challenge"&amp;P193&amp;"_"&amp;Q193&amp;"_"&amp;R193)</f>
        <v>Monster_Challenge5_3_2</v>
      </c>
      <c r="M193" s="57">
        <f t="shared" si="40"/>
        <v>1</v>
      </c>
      <c r="N193" s="118"/>
      <c r="O193" s="102">
        <f>VLOOKUP(P193&amp;"_"&amp;Q193,活动关卡!$A$4:$Z$27,6+5*MonsterWaveCallRuleCfg!R193,FALSE)</f>
        <v>7</v>
      </c>
      <c r="P193" s="110">
        <v>5</v>
      </c>
      <c r="Q193" s="110">
        <f t="shared" si="44"/>
        <v>3</v>
      </c>
      <c r="R193" s="110">
        <v>2</v>
      </c>
    </row>
    <row r="194" spans="2:18" x14ac:dyDescent="0.2">
      <c r="B194" s="57" t="str">
        <f t="shared" si="41"/>
        <v/>
      </c>
      <c r="D194" s="57" t="str">
        <f t="shared" si="42"/>
        <v/>
      </c>
      <c r="F194" s="57" t="str">
        <f t="shared" si="38"/>
        <v/>
      </c>
      <c r="G194" s="102" t="str">
        <f t="shared" si="45"/>
        <v/>
      </c>
      <c r="I194" s="102">
        <f>VLOOKUP(P194&amp;"_"&amp;Q194,活动关卡!$A$4:$Z$27,3+5*MonsterWaveCallRuleCfg!R194,FALSE)</f>
        <v>10</v>
      </c>
      <c r="J194" s="102">
        <f>VLOOKUP(P194&amp;"_"&amp;Q194,活动关卡!$A$4:$Z$27,4+5*MonsterWaveCallRuleCfg!R194,FALSE)</f>
        <v>1.5</v>
      </c>
      <c r="K194" s="102">
        <f t="shared" si="39"/>
        <v>1</v>
      </c>
      <c r="L194" s="102" t="str">
        <f>IF(VLOOKUP(P194&amp;"_"&amp;Q194,活动关卡!$A$4:$Z$27,2+5*R194,FALSE)="","","Monster_Challenge"&amp;P194&amp;"_"&amp;Q194&amp;"_"&amp;R194)</f>
        <v>Monster_Challenge5_3_3</v>
      </c>
      <c r="M194" s="57">
        <f t="shared" si="40"/>
        <v>1</v>
      </c>
      <c r="N194" s="118"/>
      <c r="O194" s="102">
        <f>VLOOKUP(P194&amp;"_"&amp;Q194,活动关卡!$A$4:$Z$27,6+5*MonsterWaveCallRuleCfg!R194,FALSE)</f>
        <v>7</v>
      </c>
      <c r="P194" s="110">
        <v>5</v>
      </c>
      <c r="Q194" s="110">
        <f t="shared" si="44"/>
        <v>3</v>
      </c>
      <c r="R194" s="110">
        <v>3</v>
      </c>
    </row>
    <row r="195" spans="2:18" x14ac:dyDescent="0.2">
      <c r="B195" s="57" t="str">
        <f t="shared" si="41"/>
        <v/>
      </c>
      <c r="D195" s="57" t="str">
        <f t="shared" si="42"/>
        <v/>
      </c>
      <c r="F195" s="57" t="str">
        <f t="shared" si="38"/>
        <v/>
      </c>
      <c r="G195" s="102" t="str">
        <f t="shared" si="45"/>
        <v/>
      </c>
      <c r="I195" s="102">
        <f>VLOOKUP(P195&amp;"_"&amp;Q195,活动关卡!$A$4:$Z$27,3+5*MonsterWaveCallRuleCfg!R195,FALSE)</f>
        <v>8</v>
      </c>
      <c r="J195" s="102">
        <f>VLOOKUP(P195&amp;"_"&amp;Q195,活动关卡!$A$4:$Z$27,4+5*MonsterWaveCallRuleCfg!R195,FALSE)</f>
        <v>2</v>
      </c>
      <c r="K195" s="102">
        <f t="shared" si="39"/>
        <v>1</v>
      </c>
      <c r="L195" s="102" t="str">
        <f>IF(VLOOKUP(P195&amp;"_"&amp;Q195,活动关卡!$A$4:$Z$27,2+5*R195,FALSE)="","","Monster_Challenge"&amp;P195&amp;"_"&amp;Q195&amp;"_"&amp;R195)</f>
        <v>Monster_Challenge5_3_4</v>
      </c>
      <c r="M195" s="57">
        <f t="shared" si="40"/>
        <v>1</v>
      </c>
      <c r="N195" s="118"/>
      <c r="O195" s="102">
        <f>VLOOKUP(P195&amp;"_"&amp;Q195,活动关卡!$A$4:$Z$27,6+5*MonsterWaveCallRuleCfg!R195,FALSE)</f>
        <v>14</v>
      </c>
      <c r="P195" s="110">
        <v>5</v>
      </c>
      <c r="Q195" s="110">
        <f t="shared" si="44"/>
        <v>3</v>
      </c>
      <c r="R195" s="110">
        <v>4</v>
      </c>
    </row>
    <row r="196" spans="2:18" x14ac:dyDescent="0.2">
      <c r="B196" s="57" t="str">
        <f t="shared" si="41"/>
        <v>MonsterWaveCallRule_Challenge5</v>
      </c>
      <c r="C196" s="57">
        <v>4</v>
      </c>
      <c r="D196" s="57" t="str">
        <f t="shared" si="42"/>
        <v>挑战关卡5第4波</v>
      </c>
      <c r="F196" s="57">
        <f t="shared" si="38"/>
        <v>0</v>
      </c>
      <c r="G196" s="102">
        <f t="shared" si="45"/>
        <v>180</v>
      </c>
      <c r="I196" s="102">
        <f>VLOOKUP(P196&amp;"_"&amp;Q196,活动关卡!$A$4:$Z$27,3+5*MonsterWaveCallRuleCfg!R196,FALSE)</f>
        <v>12</v>
      </c>
      <c r="J196" s="102">
        <f>VLOOKUP(P196&amp;"_"&amp;Q196,活动关卡!$A$4:$Z$27,4+5*MonsterWaveCallRuleCfg!R196,FALSE)</f>
        <v>1.5</v>
      </c>
      <c r="K196" s="102">
        <f t="shared" si="39"/>
        <v>1</v>
      </c>
      <c r="L196" s="102" t="str">
        <f>IF(VLOOKUP(P196&amp;"_"&amp;Q196,活动关卡!$A$4:$Z$27,2+5*R196,FALSE)="","","Monster_Challenge"&amp;P196&amp;"_"&amp;Q196&amp;"_"&amp;R196)</f>
        <v>Monster_Challenge5_4_1</v>
      </c>
      <c r="M196" s="57">
        <f t="shared" si="40"/>
        <v>1</v>
      </c>
      <c r="N196" s="118"/>
      <c r="O196" s="102">
        <f>VLOOKUP(P196&amp;"_"&amp;Q196,活动关卡!$A$4:$Z$27,6+5*MonsterWaveCallRuleCfg!R196,FALSE)</f>
        <v>16</v>
      </c>
      <c r="P196" s="110">
        <v>5</v>
      </c>
      <c r="Q196" s="110">
        <f t="shared" si="44"/>
        <v>4</v>
      </c>
      <c r="R196" s="110">
        <v>1</v>
      </c>
    </row>
    <row r="197" spans="2:18" x14ac:dyDescent="0.2">
      <c r="B197" s="57" t="str">
        <f t="shared" si="41"/>
        <v/>
      </c>
      <c r="D197" s="57" t="str">
        <f t="shared" si="42"/>
        <v/>
      </c>
      <c r="F197" s="57" t="str">
        <f t="shared" si="38"/>
        <v/>
      </c>
      <c r="G197" s="102" t="str">
        <f t="shared" si="45"/>
        <v/>
      </c>
      <c r="I197" s="102">
        <f>VLOOKUP(P197&amp;"_"&amp;Q197,活动关卡!$A$4:$Z$27,3+5*MonsterWaveCallRuleCfg!R197,FALSE)</f>
        <v>35</v>
      </c>
      <c r="J197" s="102">
        <f>VLOOKUP(P197&amp;"_"&amp;Q197,活动关卡!$A$4:$Z$27,4+5*MonsterWaveCallRuleCfg!R197,FALSE)</f>
        <v>0.5</v>
      </c>
      <c r="K197" s="102">
        <f t="shared" si="39"/>
        <v>1</v>
      </c>
      <c r="L197" s="102" t="str">
        <f>IF(VLOOKUP(P197&amp;"_"&amp;Q197,活动关卡!$A$4:$Z$27,2+5*R197,FALSE)="","","Monster_Challenge"&amp;P197&amp;"_"&amp;Q197&amp;"_"&amp;R197)</f>
        <v>Monster_Challenge5_4_2</v>
      </c>
      <c r="M197" s="57">
        <f t="shared" si="40"/>
        <v>1</v>
      </c>
      <c r="N197" s="118"/>
      <c r="O197" s="102">
        <f>VLOOKUP(P197&amp;"_"&amp;Q197,活动关卡!$A$4:$Z$27,6+5*MonsterWaveCallRuleCfg!R197,FALSE)</f>
        <v>8</v>
      </c>
      <c r="P197" s="110">
        <v>5</v>
      </c>
      <c r="Q197" s="110">
        <f t="shared" si="44"/>
        <v>4</v>
      </c>
      <c r="R197" s="110">
        <v>2</v>
      </c>
    </row>
    <row r="198" spans="2:18" x14ac:dyDescent="0.2">
      <c r="B198" s="57" t="str">
        <f t="shared" si="41"/>
        <v/>
      </c>
      <c r="D198" s="57" t="str">
        <f t="shared" si="42"/>
        <v/>
      </c>
      <c r="F198" s="57" t="str">
        <f t="shared" si="38"/>
        <v/>
      </c>
      <c r="G198" s="102" t="str">
        <f t="shared" si="45"/>
        <v/>
      </c>
      <c r="I198" s="102">
        <f>VLOOKUP(P198&amp;"_"&amp;Q198,活动关卡!$A$4:$Z$27,3+5*MonsterWaveCallRuleCfg!R198,FALSE)</f>
        <v>9</v>
      </c>
      <c r="J198" s="102">
        <f>VLOOKUP(P198&amp;"_"&amp;Q198,活动关卡!$A$4:$Z$27,4+5*MonsterWaveCallRuleCfg!R198,FALSE)</f>
        <v>2</v>
      </c>
      <c r="K198" s="102">
        <f t="shared" si="39"/>
        <v>1</v>
      </c>
      <c r="L198" s="102" t="str">
        <f>IF(VLOOKUP(P198&amp;"_"&amp;Q198,活动关卡!$A$4:$Z$27,2+5*R198,FALSE)="","","Monster_Challenge"&amp;P198&amp;"_"&amp;Q198&amp;"_"&amp;R198)</f>
        <v>Monster_Challenge5_4_3</v>
      </c>
      <c r="M198" s="57">
        <f t="shared" si="40"/>
        <v>1</v>
      </c>
      <c r="N198" s="118"/>
      <c r="O198" s="102">
        <f>VLOOKUP(P198&amp;"_"&amp;Q198,活动关卡!$A$4:$Z$27,6+5*MonsterWaveCallRuleCfg!R198,FALSE)</f>
        <v>16</v>
      </c>
      <c r="P198" s="110">
        <v>5</v>
      </c>
      <c r="Q198" s="110">
        <f t="shared" si="44"/>
        <v>4</v>
      </c>
      <c r="R198" s="110">
        <v>3</v>
      </c>
    </row>
    <row r="199" spans="2:18" x14ac:dyDescent="0.2">
      <c r="B199" s="57" t="str">
        <f t="shared" si="41"/>
        <v/>
      </c>
      <c r="D199" s="57" t="str">
        <f t="shared" si="42"/>
        <v/>
      </c>
      <c r="F199" s="57" t="str">
        <f t="shared" si="38"/>
        <v/>
      </c>
      <c r="G199" s="102" t="str">
        <f t="shared" si="45"/>
        <v/>
      </c>
      <c r="I199" s="102" t="str">
        <f>VLOOKUP(P199&amp;"_"&amp;Q199,活动关卡!$A$4:$Z$27,3+5*MonsterWaveCallRuleCfg!R199,FALSE)</f>
        <v/>
      </c>
      <c r="J199" s="102" t="str">
        <f>VLOOKUP(P199&amp;"_"&amp;Q199,活动关卡!$A$4:$Z$27,4+5*MonsterWaveCallRuleCfg!R199,FALSE)</f>
        <v/>
      </c>
      <c r="K199" s="102" t="str">
        <f t="shared" si="39"/>
        <v/>
      </c>
      <c r="L199" s="102" t="str">
        <f>IF(VLOOKUP(P199&amp;"_"&amp;Q199,活动关卡!$A$4:$Z$27,2+5*R199,FALSE)="","","Monster_Challenge"&amp;P199&amp;"_"&amp;Q199&amp;"_"&amp;R199)</f>
        <v/>
      </c>
      <c r="M199" s="57" t="str">
        <f t="shared" si="40"/>
        <v/>
      </c>
      <c r="N199" s="118"/>
      <c r="O199" s="102" t="str">
        <f>VLOOKUP(P199&amp;"_"&amp;Q199,活动关卡!$A$4:$Z$27,6+5*MonsterWaveCallRuleCfg!R199,FALSE)</f>
        <v/>
      </c>
      <c r="P199" s="110">
        <v>5</v>
      </c>
      <c r="Q199" s="110">
        <f t="shared" si="44"/>
        <v>4</v>
      </c>
      <c r="R199" s="110">
        <v>4</v>
      </c>
    </row>
    <row r="200" spans="2:18" x14ac:dyDescent="0.2">
      <c r="B200" s="57" t="str">
        <f t="shared" si="41"/>
        <v>MonsterWaveCallRule_Challenge5</v>
      </c>
      <c r="C200" s="57">
        <v>5</v>
      </c>
      <c r="D200" s="57" t="str">
        <f t="shared" si="42"/>
        <v>挑战关卡5第5波</v>
      </c>
      <c r="F200" s="57">
        <f t="shared" si="38"/>
        <v>0</v>
      </c>
      <c r="G200" s="102">
        <f t="shared" si="45"/>
        <v>180</v>
      </c>
      <c r="I200" s="102">
        <f>VLOOKUP(P200&amp;"_"&amp;Q200,活动关卡!$A$4:$Z$27,3+5*MonsterWaveCallRuleCfg!R200,FALSE)</f>
        <v>13</v>
      </c>
      <c r="J200" s="102">
        <f>VLOOKUP(P200&amp;"_"&amp;Q200,活动关卡!$A$4:$Z$27,4+5*MonsterWaveCallRuleCfg!R200,FALSE)</f>
        <v>1.5</v>
      </c>
      <c r="K200" s="102">
        <f t="shared" si="39"/>
        <v>1</v>
      </c>
      <c r="L200" s="102" t="str">
        <f>IF(VLOOKUP(P200&amp;"_"&amp;Q200,活动关卡!$A$4:$Z$27,2+5*R200,FALSE)="","","Monster_Challenge"&amp;P200&amp;"_"&amp;Q200&amp;"_"&amp;R200)</f>
        <v>Monster_Challenge5_5_1</v>
      </c>
      <c r="M200" s="57">
        <f t="shared" si="40"/>
        <v>1</v>
      </c>
      <c r="N200" s="118"/>
      <c r="O200" s="102">
        <f>VLOOKUP(P200&amp;"_"&amp;Q200,活动关卡!$A$4:$Z$27,6+5*MonsterWaveCallRuleCfg!R200,FALSE)</f>
        <v>10</v>
      </c>
      <c r="P200" s="110">
        <v>5</v>
      </c>
      <c r="Q200" s="110">
        <f t="shared" si="44"/>
        <v>5</v>
      </c>
      <c r="R200" s="110">
        <v>1</v>
      </c>
    </row>
    <row r="201" spans="2:18" x14ac:dyDescent="0.2">
      <c r="B201" s="57" t="str">
        <f t="shared" si="41"/>
        <v/>
      </c>
      <c r="D201" s="57" t="str">
        <f t="shared" si="42"/>
        <v/>
      </c>
      <c r="F201" s="57" t="str">
        <f t="shared" si="38"/>
        <v/>
      </c>
      <c r="G201" s="102" t="str">
        <f t="shared" si="45"/>
        <v/>
      </c>
      <c r="I201" s="102">
        <f>VLOOKUP(P201&amp;"_"&amp;Q201,活动关卡!$A$4:$Z$27,3+5*MonsterWaveCallRuleCfg!R201,FALSE)</f>
        <v>40</v>
      </c>
      <c r="J201" s="102">
        <f>VLOOKUP(P201&amp;"_"&amp;Q201,活动关卡!$A$4:$Z$27,4+5*MonsterWaveCallRuleCfg!R201,FALSE)</f>
        <v>0.5</v>
      </c>
      <c r="K201" s="102">
        <f t="shared" si="39"/>
        <v>1</v>
      </c>
      <c r="L201" s="102" t="str">
        <f>IF(VLOOKUP(P201&amp;"_"&amp;Q201,活动关卡!$A$4:$Z$27,2+5*R201,FALSE)="","","Monster_Challenge"&amp;P201&amp;"_"&amp;Q201&amp;"_"&amp;R201)</f>
        <v>Monster_Challenge5_5_2</v>
      </c>
      <c r="M201" s="57">
        <f t="shared" si="40"/>
        <v>1</v>
      </c>
      <c r="N201" s="118"/>
      <c r="O201" s="102">
        <f>VLOOKUP(P201&amp;"_"&amp;Q201,活动关卡!$A$4:$Z$27,6+5*MonsterWaveCallRuleCfg!R201,FALSE)</f>
        <v>5</v>
      </c>
      <c r="P201" s="110">
        <v>5</v>
      </c>
      <c r="Q201" s="110">
        <f t="shared" si="44"/>
        <v>5</v>
      </c>
      <c r="R201" s="110">
        <v>2</v>
      </c>
    </row>
    <row r="202" spans="2:18" x14ac:dyDescent="0.2">
      <c r="B202" s="57" t="str">
        <f t="shared" si="41"/>
        <v/>
      </c>
      <c r="D202" s="57" t="str">
        <f t="shared" si="42"/>
        <v/>
      </c>
      <c r="F202" s="57" t="str">
        <f t="shared" si="38"/>
        <v/>
      </c>
      <c r="G202" s="102" t="str">
        <f t="shared" si="45"/>
        <v/>
      </c>
      <c r="I202" s="102">
        <f>VLOOKUP(P202&amp;"_"&amp;Q202,活动关卡!$A$4:$Z$27,3+5*MonsterWaveCallRuleCfg!R202,FALSE)</f>
        <v>10</v>
      </c>
      <c r="J202" s="102">
        <f>VLOOKUP(P202&amp;"_"&amp;Q202,活动关卡!$A$4:$Z$27,4+5*MonsterWaveCallRuleCfg!R202,FALSE)</f>
        <v>2</v>
      </c>
      <c r="K202" s="102">
        <f t="shared" si="39"/>
        <v>1</v>
      </c>
      <c r="L202" s="102" t="str">
        <f>IF(VLOOKUP(P202&amp;"_"&amp;Q202,活动关卡!$A$4:$Z$27,2+5*R202,FALSE)="","","Monster_Challenge"&amp;P202&amp;"_"&amp;Q202&amp;"_"&amp;R202)</f>
        <v>Monster_Challenge5_5_3</v>
      </c>
      <c r="M202" s="57">
        <f t="shared" si="40"/>
        <v>1</v>
      </c>
      <c r="N202" s="118"/>
      <c r="O202" s="102">
        <f>VLOOKUP(P202&amp;"_"&amp;Q202,活动关卡!$A$4:$Z$27,6+5*MonsterWaveCallRuleCfg!R202,FALSE)</f>
        <v>10</v>
      </c>
      <c r="P202" s="110">
        <v>5</v>
      </c>
      <c r="Q202" s="110">
        <f t="shared" ref="Q202:Q233" si="46">IF(C202="",Q201,C202)</f>
        <v>5</v>
      </c>
      <c r="R202" s="110">
        <v>3</v>
      </c>
    </row>
    <row r="203" spans="2:18" x14ac:dyDescent="0.2">
      <c r="B203" s="57" t="str">
        <f t="shared" si="41"/>
        <v/>
      </c>
      <c r="D203" s="57" t="str">
        <f t="shared" si="42"/>
        <v/>
      </c>
      <c r="F203" s="57" t="str">
        <f t="shared" si="38"/>
        <v/>
      </c>
      <c r="G203" s="102" t="str">
        <f t="shared" si="45"/>
        <v/>
      </c>
      <c r="I203" s="102">
        <f>VLOOKUP(P203&amp;"_"&amp;Q203,活动关卡!$A$4:$Z$27,3+5*MonsterWaveCallRuleCfg!R203,FALSE)</f>
        <v>20</v>
      </c>
      <c r="J203" s="102">
        <f>VLOOKUP(P203&amp;"_"&amp;Q203,活动关卡!$A$4:$Z$27,4+5*MonsterWaveCallRuleCfg!R203,FALSE)</f>
        <v>1</v>
      </c>
      <c r="K203" s="102">
        <f t="shared" si="39"/>
        <v>1</v>
      </c>
      <c r="L203" s="102" t="str">
        <f>IF(VLOOKUP(P203&amp;"_"&amp;Q203,活动关卡!$A$4:$Z$27,2+5*R203,FALSE)="","","Monster_Challenge"&amp;P203&amp;"_"&amp;Q203&amp;"_"&amp;R203)</f>
        <v>Monster_Challenge5_5_4</v>
      </c>
      <c r="M203" s="57">
        <f t="shared" si="40"/>
        <v>1</v>
      </c>
      <c r="N203" s="118"/>
      <c r="O203" s="102">
        <f>VLOOKUP(P203&amp;"_"&amp;Q203,活动关卡!$A$4:$Z$27,6+5*MonsterWaveCallRuleCfg!R203,FALSE)</f>
        <v>10</v>
      </c>
      <c r="P203" s="110">
        <v>5</v>
      </c>
      <c r="Q203" s="110">
        <f t="shared" si="46"/>
        <v>5</v>
      </c>
      <c r="R203" s="110">
        <v>4</v>
      </c>
    </row>
    <row r="204" spans="2:18" x14ac:dyDescent="0.2">
      <c r="B204" s="57" t="str">
        <f t="shared" si="41"/>
        <v>MonsterWaveCallRule_Challenge6</v>
      </c>
      <c r="C204" s="57">
        <v>1</v>
      </c>
      <c r="D204" s="57" t="str">
        <f t="shared" si="42"/>
        <v>挑战关卡6第1波</v>
      </c>
      <c r="F204" s="57">
        <f t="shared" si="38"/>
        <v>0</v>
      </c>
      <c r="G204" s="102">
        <f>IF(C204="","",180)</f>
        <v>180</v>
      </c>
      <c r="I204" s="102" t="e">
        <f>VLOOKUP(P204&amp;"_"&amp;Q204,活动关卡!$A$4:$Z$27,3+5*MonsterWaveCallRuleCfg!R204,FALSE)</f>
        <v>#N/A</v>
      </c>
      <c r="J204" s="102" t="e">
        <f>VLOOKUP(P204&amp;"_"&amp;Q204,活动关卡!$A$4:$Z$27,4+5*MonsterWaveCallRuleCfg!R204,FALSE)</f>
        <v>#N/A</v>
      </c>
      <c r="K204" s="102" t="e">
        <f t="shared" si="39"/>
        <v>#N/A</v>
      </c>
      <c r="L204" s="102" t="e">
        <f>IF(VLOOKUP(P204&amp;"_"&amp;Q204,活动关卡!$A$4:$Z$27,2+5*R204,FALSE)="","","Monster_Challenge"&amp;P204&amp;"_"&amp;Q204&amp;"_"&amp;R204)</f>
        <v>#N/A</v>
      </c>
      <c r="M204" s="57" t="e">
        <f t="shared" si="40"/>
        <v>#N/A</v>
      </c>
      <c r="N204" s="118"/>
      <c r="O204" s="102" t="e">
        <f>VLOOKUP(P204&amp;"_"&amp;Q204,活动关卡!$A$4:$Z$27,6+5*MonsterWaveCallRuleCfg!R204,FALSE)</f>
        <v>#N/A</v>
      </c>
      <c r="P204" s="110">
        <f>P104+5</f>
        <v>6</v>
      </c>
      <c r="Q204" s="110">
        <f t="shared" si="46"/>
        <v>1</v>
      </c>
      <c r="R204" s="110">
        <v>1</v>
      </c>
    </row>
    <row r="205" spans="2:18" x14ac:dyDescent="0.2">
      <c r="B205" s="57" t="str">
        <f t="shared" si="41"/>
        <v/>
      </c>
      <c r="D205" s="57" t="str">
        <f t="shared" si="42"/>
        <v/>
      </c>
      <c r="F205" s="57" t="str">
        <f t="shared" si="38"/>
        <v/>
      </c>
      <c r="G205" s="102" t="str">
        <f t="shared" ref="G205:G268" si="47">IF(C205="","",180)</f>
        <v/>
      </c>
      <c r="I205" s="102" t="e">
        <f>VLOOKUP(P205&amp;"_"&amp;Q205,活动关卡!$A$4:$Z$27,3+5*MonsterWaveCallRuleCfg!R205,FALSE)</f>
        <v>#N/A</v>
      </c>
      <c r="J205" s="102" t="e">
        <f>VLOOKUP(P205&amp;"_"&amp;Q205,活动关卡!$A$4:$Z$27,4+5*MonsterWaveCallRuleCfg!R205,FALSE)</f>
        <v>#N/A</v>
      </c>
      <c r="K205" s="102" t="e">
        <f t="shared" si="39"/>
        <v>#N/A</v>
      </c>
      <c r="L205" s="102" t="e">
        <f>IF(VLOOKUP(P205&amp;"_"&amp;Q205,活动关卡!$A$4:$Z$27,2+5*R205,FALSE)="","","Monster_Challenge"&amp;P205&amp;"_"&amp;Q205&amp;"_"&amp;R205)</f>
        <v>#N/A</v>
      </c>
      <c r="M205" s="57" t="e">
        <f t="shared" si="40"/>
        <v>#N/A</v>
      </c>
      <c r="N205" s="118"/>
      <c r="O205" s="102" t="e">
        <f>VLOOKUP(P205&amp;"_"&amp;Q205,活动关卡!$A$4:$Z$27,6+5*MonsterWaveCallRuleCfg!R205,FALSE)</f>
        <v>#N/A</v>
      </c>
      <c r="P205" s="110">
        <f t="shared" ref="P205:P268" si="48">P105+5</f>
        <v>6</v>
      </c>
      <c r="Q205" s="110">
        <f t="shared" si="46"/>
        <v>1</v>
      </c>
      <c r="R205" s="110">
        <v>2</v>
      </c>
    </row>
    <row r="206" spans="2:18" x14ac:dyDescent="0.2">
      <c r="B206" s="57" t="str">
        <f t="shared" si="41"/>
        <v/>
      </c>
      <c r="D206" s="57" t="str">
        <f t="shared" si="42"/>
        <v/>
      </c>
      <c r="F206" s="57" t="str">
        <f t="shared" si="38"/>
        <v/>
      </c>
      <c r="G206" s="102" t="str">
        <f t="shared" si="47"/>
        <v/>
      </c>
      <c r="I206" s="102" t="e">
        <f>VLOOKUP(P206&amp;"_"&amp;Q206,活动关卡!$A$4:$Z$27,3+5*MonsterWaveCallRuleCfg!R206,FALSE)</f>
        <v>#N/A</v>
      </c>
      <c r="J206" s="102" t="e">
        <f>VLOOKUP(P206&amp;"_"&amp;Q206,活动关卡!$A$4:$Z$27,4+5*MonsterWaveCallRuleCfg!R206,FALSE)</f>
        <v>#N/A</v>
      </c>
      <c r="K206" s="102" t="e">
        <f t="shared" si="39"/>
        <v>#N/A</v>
      </c>
      <c r="L206" s="102" t="e">
        <f>IF(VLOOKUP(P206&amp;"_"&amp;Q206,活动关卡!$A$4:$Z$27,2+5*R206,FALSE)="","","Monster_Challenge"&amp;P206&amp;"_"&amp;Q206&amp;"_"&amp;R206)</f>
        <v>#N/A</v>
      </c>
      <c r="M206" s="57" t="e">
        <f t="shared" si="40"/>
        <v>#N/A</v>
      </c>
      <c r="N206" s="118"/>
      <c r="O206" s="102" t="e">
        <f>VLOOKUP(P206&amp;"_"&amp;Q206,活动关卡!$A$4:$Z$27,6+5*MonsterWaveCallRuleCfg!R206,FALSE)</f>
        <v>#N/A</v>
      </c>
      <c r="P206" s="110">
        <f t="shared" si="48"/>
        <v>6</v>
      </c>
      <c r="Q206" s="110">
        <f t="shared" si="46"/>
        <v>1</v>
      </c>
      <c r="R206" s="110">
        <v>3</v>
      </c>
    </row>
    <row r="207" spans="2:18" x14ac:dyDescent="0.2">
      <c r="B207" s="57" t="str">
        <f t="shared" si="41"/>
        <v/>
      </c>
      <c r="D207" s="57" t="str">
        <f t="shared" si="42"/>
        <v/>
      </c>
      <c r="F207" s="57" t="str">
        <f t="shared" si="38"/>
        <v/>
      </c>
      <c r="G207" s="102" t="str">
        <f t="shared" si="47"/>
        <v/>
      </c>
      <c r="I207" s="102" t="e">
        <f>VLOOKUP(P207&amp;"_"&amp;Q207,活动关卡!$A$4:$Z$27,3+5*MonsterWaveCallRuleCfg!R207,FALSE)</f>
        <v>#N/A</v>
      </c>
      <c r="J207" s="102" t="e">
        <f>VLOOKUP(P207&amp;"_"&amp;Q207,活动关卡!$A$4:$Z$27,4+5*MonsterWaveCallRuleCfg!R207,FALSE)</f>
        <v>#N/A</v>
      </c>
      <c r="K207" s="102" t="e">
        <f t="shared" si="39"/>
        <v>#N/A</v>
      </c>
      <c r="L207" s="102" t="e">
        <f>IF(VLOOKUP(P207&amp;"_"&amp;Q207,活动关卡!$A$4:$Z$27,2+5*R207,FALSE)="","","Monster_Challenge"&amp;P207&amp;"_"&amp;Q207&amp;"_"&amp;R207)</f>
        <v>#N/A</v>
      </c>
      <c r="M207" s="57" t="e">
        <f t="shared" si="40"/>
        <v>#N/A</v>
      </c>
      <c r="N207" s="118"/>
      <c r="O207" s="102" t="e">
        <f>VLOOKUP(P207&amp;"_"&amp;Q207,活动关卡!$A$4:$Z$27,6+5*MonsterWaveCallRuleCfg!R207,FALSE)</f>
        <v>#N/A</v>
      </c>
      <c r="P207" s="110">
        <f t="shared" si="48"/>
        <v>6</v>
      </c>
      <c r="Q207" s="110">
        <f t="shared" si="46"/>
        <v>1</v>
      </c>
      <c r="R207" s="110">
        <v>4</v>
      </c>
    </row>
    <row r="208" spans="2:18" x14ac:dyDescent="0.2">
      <c r="B208" s="57" t="str">
        <f t="shared" si="41"/>
        <v>MonsterWaveCallRule_Challenge6</v>
      </c>
      <c r="C208" s="57">
        <v>2</v>
      </c>
      <c r="D208" s="57" t="str">
        <f t="shared" si="42"/>
        <v>挑战关卡6第2波</v>
      </c>
      <c r="F208" s="57">
        <f t="shared" si="38"/>
        <v>0</v>
      </c>
      <c r="G208" s="102">
        <f t="shared" si="47"/>
        <v>180</v>
      </c>
      <c r="I208" s="102" t="e">
        <f>VLOOKUP(P208&amp;"_"&amp;Q208,活动关卡!$A$4:$Z$27,3+5*MonsterWaveCallRuleCfg!R208,FALSE)</f>
        <v>#N/A</v>
      </c>
      <c r="J208" s="102" t="e">
        <f>VLOOKUP(P208&amp;"_"&amp;Q208,活动关卡!$A$4:$Z$27,4+5*MonsterWaveCallRuleCfg!R208,FALSE)</f>
        <v>#N/A</v>
      </c>
      <c r="K208" s="102" t="e">
        <f t="shared" si="39"/>
        <v>#N/A</v>
      </c>
      <c r="L208" s="102" t="e">
        <f>IF(VLOOKUP(P208&amp;"_"&amp;Q208,活动关卡!$A$4:$Z$27,2+5*R208,FALSE)="","","Monster_Challenge"&amp;P208&amp;"_"&amp;Q208&amp;"_"&amp;R208)</f>
        <v>#N/A</v>
      </c>
      <c r="M208" s="57" t="e">
        <f t="shared" si="40"/>
        <v>#N/A</v>
      </c>
      <c r="N208" s="118"/>
      <c r="O208" s="102" t="e">
        <f>VLOOKUP(P208&amp;"_"&amp;Q208,活动关卡!$A$4:$Z$27,6+5*MonsterWaveCallRuleCfg!R208,FALSE)</f>
        <v>#N/A</v>
      </c>
      <c r="P208" s="110">
        <f t="shared" si="48"/>
        <v>6</v>
      </c>
      <c r="Q208" s="110">
        <f t="shared" si="46"/>
        <v>2</v>
      </c>
      <c r="R208" s="110">
        <v>1</v>
      </c>
    </row>
    <row r="209" spans="2:18" x14ac:dyDescent="0.2">
      <c r="B209" s="57" t="str">
        <f t="shared" si="41"/>
        <v/>
      </c>
      <c r="D209" s="57" t="str">
        <f t="shared" si="42"/>
        <v/>
      </c>
      <c r="F209" s="57" t="str">
        <f t="shared" si="38"/>
        <v/>
      </c>
      <c r="G209" s="102" t="str">
        <f t="shared" si="47"/>
        <v/>
      </c>
      <c r="I209" s="102" t="e">
        <f>VLOOKUP(P209&amp;"_"&amp;Q209,活动关卡!$A$4:$Z$27,3+5*MonsterWaveCallRuleCfg!R209,FALSE)</f>
        <v>#N/A</v>
      </c>
      <c r="J209" s="102" t="e">
        <f>VLOOKUP(P209&amp;"_"&amp;Q209,活动关卡!$A$4:$Z$27,4+5*MonsterWaveCallRuleCfg!R209,FALSE)</f>
        <v>#N/A</v>
      </c>
      <c r="K209" s="102" t="e">
        <f t="shared" si="39"/>
        <v>#N/A</v>
      </c>
      <c r="L209" s="102" t="e">
        <f>IF(VLOOKUP(P209&amp;"_"&amp;Q209,活动关卡!$A$4:$Z$27,2+5*R209,FALSE)="","","Monster_Challenge"&amp;P209&amp;"_"&amp;Q209&amp;"_"&amp;R209)</f>
        <v>#N/A</v>
      </c>
      <c r="M209" s="57" t="e">
        <f t="shared" si="40"/>
        <v>#N/A</v>
      </c>
      <c r="N209" s="118"/>
      <c r="O209" s="102" t="e">
        <f>VLOOKUP(P209&amp;"_"&amp;Q209,活动关卡!$A$4:$Z$27,6+5*MonsterWaveCallRuleCfg!R209,FALSE)</f>
        <v>#N/A</v>
      </c>
      <c r="P209" s="110">
        <f t="shared" si="48"/>
        <v>6</v>
      </c>
      <c r="Q209" s="110">
        <f t="shared" si="46"/>
        <v>2</v>
      </c>
      <c r="R209" s="110">
        <v>2</v>
      </c>
    </row>
    <row r="210" spans="2:18" x14ac:dyDescent="0.2">
      <c r="B210" s="57" t="str">
        <f t="shared" si="41"/>
        <v/>
      </c>
      <c r="D210" s="57" t="str">
        <f t="shared" si="42"/>
        <v/>
      </c>
      <c r="F210" s="57" t="str">
        <f t="shared" si="38"/>
        <v/>
      </c>
      <c r="G210" s="102" t="str">
        <f t="shared" si="47"/>
        <v/>
      </c>
      <c r="I210" s="102" t="e">
        <f>VLOOKUP(P210&amp;"_"&amp;Q210,活动关卡!$A$4:$Z$27,3+5*MonsterWaveCallRuleCfg!R210,FALSE)</f>
        <v>#N/A</v>
      </c>
      <c r="J210" s="102" t="e">
        <f>VLOOKUP(P210&amp;"_"&amp;Q210,活动关卡!$A$4:$Z$27,4+5*MonsterWaveCallRuleCfg!R210,FALSE)</f>
        <v>#N/A</v>
      </c>
      <c r="K210" s="102" t="e">
        <f t="shared" si="39"/>
        <v>#N/A</v>
      </c>
      <c r="L210" s="102" t="e">
        <f>IF(VLOOKUP(P210&amp;"_"&amp;Q210,活动关卡!$A$4:$Z$27,2+5*R210,FALSE)="","","Monster_Challenge"&amp;P210&amp;"_"&amp;Q210&amp;"_"&amp;R210)</f>
        <v>#N/A</v>
      </c>
      <c r="M210" s="57" t="e">
        <f t="shared" si="40"/>
        <v>#N/A</v>
      </c>
      <c r="N210" s="118"/>
      <c r="O210" s="102" t="e">
        <f>VLOOKUP(P210&amp;"_"&amp;Q210,活动关卡!$A$4:$Z$27,6+5*MonsterWaveCallRuleCfg!R210,FALSE)</f>
        <v>#N/A</v>
      </c>
      <c r="P210" s="110">
        <f t="shared" si="48"/>
        <v>6</v>
      </c>
      <c r="Q210" s="110">
        <f t="shared" si="46"/>
        <v>2</v>
      </c>
      <c r="R210" s="110">
        <v>3</v>
      </c>
    </row>
    <row r="211" spans="2:18" x14ac:dyDescent="0.2">
      <c r="B211" s="57" t="str">
        <f t="shared" si="41"/>
        <v/>
      </c>
      <c r="D211" s="57" t="str">
        <f t="shared" si="42"/>
        <v/>
      </c>
      <c r="F211" s="57" t="str">
        <f t="shared" si="38"/>
        <v/>
      </c>
      <c r="G211" s="102" t="str">
        <f t="shared" si="47"/>
        <v/>
      </c>
      <c r="I211" s="102" t="e">
        <f>VLOOKUP(P211&amp;"_"&amp;Q211,活动关卡!$A$4:$Z$27,3+5*MonsterWaveCallRuleCfg!R211,FALSE)</f>
        <v>#N/A</v>
      </c>
      <c r="J211" s="102" t="e">
        <f>VLOOKUP(P211&amp;"_"&amp;Q211,活动关卡!$A$4:$Z$27,4+5*MonsterWaveCallRuleCfg!R211,FALSE)</f>
        <v>#N/A</v>
      </c>
      <c r="K211" s="102" t="e">
        <f t="shared" si="39"/>
        <v>#N/A</v>
      </c>
      <c r="L211" s="102" t="e">
        <f>IF(VLOOKUP(P211&amp;"_"&amp;Q211,活动关卡!$A$4:$Z$27,2+5*R211,FALSE)="","","Monster_Challenge"&amp;P211&amp;"_"&amp;Q211&amp;"_"&amp;R211)</f>
        <v>#N/A</v>
      </c>
      <c r="M211" s="57" t="e">
        <f t="shared" si="40"/>
        <v>#N/A</v>
      </c>
      <c r="N211" s="118"/>
      <c r="O211" s="102" t="e">
        <f>VLOOKUP(P211&amp;"_"&amp;Q211,活动关卡!$A$4:$Z$27,6+5*MonsterWaveCallRuleCfg!R211,FALSE)</f>
        <v>#N/A</v>
      </c>
      <c r="P211" s="110">
        <f t="shared" si="48"/>
        <v>6</v>
      </c>
      <c r="Q211" s="110">
        <f t="shared" si="46"/>
        <v>2</v>
      </c>
      <c r="R211" s="110">
        <v>4</v>
      </c>
    </row>
    <row r="212" spans="2:18" x14ac:dyDescent="0.2">
      <c r="B212" s="57" t="str">
        <f t="shared" si="41"/>
        <v>MonsterWaveCallRule_Challenge6</v>
      </c>
      <c r="C212" s="57">
        <v>3</v>
      </c>
      <c r="D212" s="57" t="str">
        <f t="shared" si="42"/>
        <v>挑战关卡6第3波</v>
      </c>
      <c r="F212" s="57">
        <f t="shared" si="38"/>
        <v>0</v>
      </c>
      <c r="G212" s="102">
        <f t="shared" si="47"/>
        <v>180</v>
      </c>
      <c r="I212" s="102" t="e">
        <f>VLOOKUP(P212&amp;"_"&amp;Q212,活动关卡!$A$4:$Z$27,3+5*MonsterWaveCallRuleCfg!R212,FALSE)</f>
        <v>#N/A</v>
      </c>
      <c r="J212" s="102" t="e">
        <f>VLOOKUP(P212&amp;"_"&amp;Q212,活动关卡!$A$4:$Z$27,4+5*MonsterWaveCallRuleCfg!R212,FALSE)</f>
        <v>#N/A</v>
      </c>
      <c r="K212" s="102" t="e">
        <f t="shared" si="39"/>
        <v>#N/A</v>
      </c>
      <c r="L212" s="102" t="e">
        <f>IF(VLOOKUP(P212&amp;"_"&amp;Q212,活动关卡!$A$4:$Z$27,2+5*R212,FALSE)="","","Monster_Challenge"&amp;P212&amp;"_"&amp;Q212&amp;"_"&amp;R212)</f>
        <v>#N/A</v>
      </c>
      <c r="M212" s="57" t="e">
        <f t="shared" si="40"/>
        <v>#N/A</v>
      </c>
      <c r="N212" s="118"/>
      <c r="O212" s="102" t="e">
        <f>VLOOKUP(P212&amp;"_"&amp;Q212,活动关卡!$A$4:$Z$27,6+5*MonsterWaveCallRuleCfg!R212,FALSE)</f>
        <v>#N/A</v>
      </c>
      <c r="P212" s="110">
        <f t="shared" si="48"/>
        <v>6</v>
      </c>
      <c r="Q212" s="110">
        <f t="shared" si="46"/>
        <v>3</v>
      </c>
      <c r="R212" s="110">
        <v>1</v>
      </c>
    </row>
    <row r="213" spans="2:18" x14ac:dyDescent="0.2">
      <c r="B213" s="57" t="str">
        <f t="shared" si="41"/>
        <v/>
      </c>
      <c r="D213" s="57" t="str">
        <f t="shared" si="42"/>
        <v/>
      </c>
      <c r="F213" s="57" t="str">
        <f t="shared" si="38"/>
        <v/>
      </c>
      <c r="G213" s="102" t="str">
        <f t="shared" si="47"/>
        <v/>
      </c>
      <c r="I213" s="102" t="e">
        <f>VLOOKUP(P213&amp;"_"&amp;Q213,活动关卡!$A$4:$Z$27,3+5*MonsterWaveCallRuleCfg!R213,FALSE)</f>
        <v>#N/A</v>
      </c>
      <c r="J213" s="102" t="e">
        <f>VLOOKUP(P213&amp;"_"&amp;Q213,活动关卡!$A$4:$Z$27,4+5*MonsterWaveCallRuleCfg!R213,FALSE)</f>
        <v>#N/A</v>
      </c>
      <c r="K213" s="102" t="e">
        <f t="shared" si="39"/>
        <v>#N/A</v>
      </c>
      <c r="L213" s="102" t="e">
        <f>IF(VLOOKUP(P213&amp;"_"&amp;Q213,活动关卡!$A$4:$Z$27,2+5*R213,FALSE)="","","Monster_Challenge"&amp;P213&amp;"_"&amp;Q213&amp;"_"&amp;R213)</f>
        <v>#N/A</v>
      </c>
      <c r="M213" s="57" t="e">
        <f t="shared" si="40"/>
        <v>#N/A</v>
      </c>
      <c r="N213" s="118"/>
      <c r="O213" s="102" t="e">
        <f>VLOOKUP(P213&amp;"_"&amp;Q213,活动关卡!$A$4:$Z$27,6+5*MonsterWaveCallRuleCfg!R213,FALSE)</f>
        <v>#N/A</v>
      </c>
      <c r="P213" s="110">
        <f t="shared" si="48"/>
        <v>6</v>
      </c>
      <c r="Q213" s="110">
        <f t="shared" si="46"/>
        <v>3</v>
      </c>
      <c r="R213" s="110">
        <v>2</v>
      </c>
    </row>
    <row r="214" spans="2:18" x14ac:dyDescent="0.2">
      <c r="B214" s="57" t="str">
        <f t="shared" si="41"/>
        <v/>
      </c>
      <c r="D214" s="57" t="str">
        <f t="shared" si="42"/>
        <v/>
      </c>
      <c r="F214" s="57" t="str">
        <f t="shared" si="38"/>
        <v/>
      </c>
      <c r="G214" s="102" t="str">
        <f t="shared" si="47"/>
        <v/>
      </c>
      <c r="I214" s="102" t="e">
        <f>VLOOKUP(P214&amp;"_"&amp;Q214,活动关卡!$A$4:$Z$27,3+5*MonsterWaveCallRuleCfg!R214,FALSE)</f>
        <v>#N/A</v>
      </c>
      <c r="J214" s="102" t="e">
        <f>VLOOKUP(P214&amp;"_"&amp;Q214,活动关卡!$A$4:$Z$27,4+5*MonsterWaveCallRuleCfg!R214,FALSE)</f>
        <v>#N/A</v>
      </c>
      <c r="K214" s="102" t="e">
        <f t="shared" si="39"/>
        <v>#N/A</v>
      </c>
      <c r="L214" s="102" t="e">
        <f>IF(VLOOKUP(P214&amp;"_"&amp;Q214,活动关卡!$A$4:$Z$27,2+5*R214,FALSE)="","","Monster_Challenge"&amp;P214&amp;"_"&amp;Q214&amp;"_"&amp;R214)</f>
        <v>#N/A</v>
      </c>
      <c r="M214" s="57" t="e">
        <f t="shared" si="40"/>
        <v>#N/A</v>
      </c>
      <c r="N214" s="118"/>
      <c r="O214" s="102" t="e">
        <f>VLOOKUP(P214&amp;"_"&amp;Q214,活动关卡!$A$4:$Z$27,6+5*MonsterWaveCallRuleCfg!R214,FALSE)</f>
        <v>#N/A</v>
      </c>
      <c r="P214" s="110">
        <f t="shared" si="48"/>
        <v>6</v>
      </c>
      <c r="Q214" s="110">
        <f t="shared" si="46"/>
        <v>3</v>
      </c>
      <c r="R214" s="110">
        <v>3</v>
      </c>
    </row>
    <row r="215" spans="2:18" x14ac:dyDescent="0.2">
      <c r="B215" s="57" t="str">
        <f t="shared" si="41"/>
        <v/>
      </c>
      <c r="D215" s="57" t="str">
        <f t="shared" si="42"/>
        <v/>
      </c>
      <c r="F215" s="57" t="str">
        <f t="shared" si="38"/>
        <v/>
      </c>
      <c r="G215" s="102" t="str">
        <f t="shared" si="47"/>
        <v/>
      </c>
      <c r="I215" s="102" t="e">
        <f>VLOOKUP(P215&amp;"_"&amp;Q215,活动关卡!$A$4:$Z$27,3+5*MonsterWaveCallRuleCfg!R215,FALSE)</f>
        <v>#N/A</v>
      </c>
      <c r="J215" s="102" t="e">
        <f>VLOOKUP(P215&amp;"_"&amp;Q215,活动关卡!$A$4:$Z$27,4+5*MonsterWaveCallRuleCfg!R215,FALSE)</f>
        <v>#N/A</v>
      </c>
      <c r="K215" s="102" t="e">
        <f t="shared" si="39"/>
        <v>#N/A</v>
      </c>
      <c r="L215" s="102" t="e">
        <f>IF(VLOOKUP(P215&amp;"_"&amp;Q215,活动关卡!$A$4:$Z$27,2+5*R215,FALSE)="","","Monster_Challenge"&amp;P215&amp;"_"&amp;Q215&amp;"_"&amp;R215)</f>
        <v>#N/A</v>
      </c>
      <c r="M215" s="57" t="e">
        <f t="shared" si="40"/>
        <v>#N/A</v>
      </c>
      <c r="N215" s="118"/>
      <c r="O215" s="102" t="e">
        <f>VLOOKUP(P215&amp;"_"&amp;Q215,活动关卡!$A$4:$Z$27,6+5*MonsterWaveCallRuleCfg!R215,FALSE)</f>
        <v>#N/A</v>
      </c>
      <c r="P215" s="110">
        <f t="shared" si="48"/>
        <v>6</v>
      </c>
      <c r="Q215" s="110">
        <f t="shared" si="46"/>
        <v>3</v>
      </c>
      <c r="R215" s="110">
        <v>4</v>
      </c>
    </row>
    <row r="216" spans="2:18" x14ac:dyDescent="0.2">
      <c r="B216" s="57" t="str">
        <f t="shared" si="41"/>
        <v>MonsterWaveCallRule_Challenge6</v>
      </c>
      <c r="C216" s="57">
        <v>4</v>
      </c>
      <c r="D216" s="57" t="str">
        <f t="shared" si="42"/>
        <v>挑战关卡6第4波</v>
      </c>
      <c r="F216" s="57">
        <f t="shared" ref="F216:F279" si="49">IF(C216="","",0)</f>
        <v>0</v>
      </c>
      <c r="G216" s="102">
        <f t="shared" si="47"/>
        <v>180</v>
      </c>
      <c r="I216" s="102" t="e">
        <f>VLOOKUP(P216&amp;"_"&amp;Q216,活动关卡!$A$4:$Z$27,3+5*MonsterWaveCallRuleCfg!R216,FALSE)</f>
        <v>#N/A</v>
      </c>
      <c r="J216" s="102" t="e">
        <f>VLOOKUP(P216&amp;"_"&amp;Q216,活动关卡!$A$4:$Z$27,4+5*MonsterWaveCallRuleCfg!R216,FALSE)</f>
        <v>#N/A</v>
      </c>
      <c r="K216" s="102" t="e">
        <f t="shared" ref="K216:K279" si="50">IF(I216="","",1)</f>
        <v>#N/A</v>
      </c>
      <c r="L216" s="102" t="e">
        <f>IF(VLOOKUP(P216&amp;"_"&amp;Q216,活动关卡!$A$4:$Z$27,2+5*R216,FALSE)="","","Monster_Challenge"&amp;P216&amp;"_"&amp;Q216&amp;"_"&amp;R216)</f>
        <v>#N/A</v>
      </c>
      <c r="M216" s="57" t="e">
        <f t="shared" ref="M216:M279" si="51">IF(I216="","",1)</f>
        <v>#N/A</v>
      </c>
      <c r="N216" s="118"/>
      <c r="O216" s="102" t="e">
        <f>VLOOKUP(P216&amp;"_"&amp;Q216,活动关卡!$A$4:$Z$27,6+5*MonsterWaveCallRuleCfg!R216,FALSE)</f>
        <v>#N/A</v>
      </c>
      <c r="P216" s="110">
        <f t="shared" si="48"/>
        <v>6</v>
      </c>
      <c r="Q216" s="110">
        <f t="shared" si="46"/>
        <v>4</v>
      </c>
      <c r="R216" s="110">
        <v>1</v>
      </c>
    </row>
    <row r="217" spans="2:18" x14ac:dyDescent="0.2">
      <c r="B217" s="57" t="str">
        <f t="shared" si="41"/>
        <v/>
      </c>
      <c r="D217" s="57" t="str">
        <f t="shared" si="42"/>
        <v/>
      </c>
      <c r="F217" s="57" t="str">
        <f t="shared" si="49"/>
        <v/>
      </c>
      <c r="G217" s="102" t="str">
        <f t="shared" si="47"/>
        <v/>
      </c>
      <c r="I217" s="102" t="e">
        <f>VLOOKUP(P217&amp;"_"&amp;Q217,活动关卡!$A$4:$Z$27,3+5*MonsterWaveCallRuleCfg!R217,FALSE)</f>
        <v>#N/A</v>
      </c>
      <c r="J217" s="102" t="e">
        <f>VLOOKUP(P217&amp;"_"&amp;Q217,活动关卡!$A$4:$Z$27,4+5*MonsterWaveCallRuleCfg!R217,FALSE)</f>
        <v>#N/A</v>
      </c>
      <c r="K217" s="102" t="e">
        <f t="shared" si="50"/>
        <v>#N/A</v>
      </c>
      <c r="L217" s="102" t="e">
        <f>IF(VLOOKUP(P217&amp;"_"&amp;Q217,活动关卡!$A$4:$Z$27,2+5*R217,FALSE)="","","Monster_Challenge"&amp;P217&amp;"_"&amp;Q217&amp;"_"&amp;R217)</f>
        <v>#N/A</v>
      </c>
      <c r="M217" s="57" t="e">
        <f t="shared" si="51"/>
        <v>#N/A</v>
      </c>
      <c r="N217" s="118"/>
      <c r="O217" s="102" t="e">
        <f>VLOOKUP(P217&amp;"_"&amp;Q217,活动关卡!$A$4:$Z$27,6+5*MonsterWaveCallRuleCfg!R217,FALSE)</f>
        <v>#N/A</v>
      </c>
      <c r="P217" s="110">
        <f t="shared" si="48"/>
        <v>6</v>
      </c>
      <c r="Q217" s="110">
        <f t="shared" si="46"/>
        <v>4</v>
      </c>
      <c r="R217" s="110">
        <v>2</v>
      </c>
    </row>
    <row r="218" spans="2:18" x14ac:dyDescent="0.2">
      <c r="B218" s="57" t="str">
        <f t="shared" si="41"/>
        <v/>
      </c>
      <c r="D218" s="57" t="str">
        <f t="shared" si="42"/>
        <v/>
      </c>
      <c r="F218" s="57" t="str">
        <f t="shared" si="49"/>
        <v/>
      </c>
      <c r="G218" s="102" t="str">
        <f t="shared" si="47"/>
        <v/>
      </c>
      <c r="I218" s="102" t="e">
        <f>VLOOKUP(P218&amp;"_"&amp;Q218,活动关卡!$A$4:$Z$27,3+5*MonsterWaveCallRuleCfg!R218,FALSE)</f>
        <v>#N/A</v>
      </c>
      <c r="J218" s="102" t="e">
        <f>VLOOKUP(P218&amp;"_"&amp;Q218,活动关卡!$A$4:$Z$27,4+5*MonsterWaveCallRuleCfg!R218,FALSE)</f>
        <v>#N/A</v>
      </c>
      <c r="K218" s="102" t="e">
        <f t="shared" si="50"/>
        <v>#N/A</v>
      </c>
      <c r="L218" s="102" t="e">
        <f>IF(VLOOKUP(P218&amp;"_"&amp;Q218,活动关卡!$A$4:$Z$27,2+5*R218,FALSE)="","","Monster_Challenge"&amp;P218&amp;"_"&amp;Q218&amp;"_"&amp;R218)</f>
        <v>#N/A</v>
      </c>
      <c r="M218" s="57" t="e">
        <f t="shared" si="51"/>
        <v>#N/A</v>
      </c>
      <c r="N218" s="118"/>
      <c r="O218" s="102" t="e">
        <f>VLOOKUP(P218&amp;"_"&amp;Q218,活动关卡!$A$4:$Z$27,6+5*MonsterWaveCallRuleCfg!R218,FALSE)</f>
        <v>#N/A</v>
      </c>
      <c r="P218" s="110">
        <f t="shared" si="48"/>
        <v>6</v>
      </c>
      <c r="Q218" s="110">
        <f t="shared" si="46"/>
        <v>4</v>
      </c>
      <c r="R218" s="110">
        <v>3</v>
      </c>
    </row>
    <row r="219" spans="2:18" x14ac:dyDescent="0.2">
      <c r="B219" s="57" t="str">
        <f t="shared" si="41"/>
        <v/>
      </c>
      <c r="D219" s="57" t="str">
        <f t="shared" si="42"/>
        <v/>
      </c>
      <c r="F219" s="57" t="str">
        <f t="shared" si="49"/>
        <v/>
      </c>
      <c r="G219" s="102" t="str">
        <f t="shared" si="47"/>
        <v/>
      </c>
      <c r="I219" s="102" t="e">
        <f>VLOOKUP(P219&amp;"_"&amp;Q219,活动关卡!$A$4:$Z$27,3+5*MonsterWaveCallRuleCfg!R219,FALSE)</f>
        <v>#N/A</v>
      </c>
      <c r="J219" s="102" t="e">
        <f>VLOOKUP(P219&amp;"_"&amp;Q219,活动关卡!$A$4:$Z$27,4+5*MonsterWaveCallRuleCfg!R219,FALSE)</f>
        <v>#N/A</v>
      </c>
      <c r="K219" s="102" t="e">
        <f t="shared" si="50"/>
        <v>#N/A</v>
      </c>
      <c r="L219" s="102" t="e">
        <f>IF(VLOOKUP(P219&amp;"_"&amp;Q219,活动关卡!$A$4:$Z$27,2+5*R219,FALSE)="","","Monster_Challenge"&amp;P219&amp;"_"&amp;Q219&amp;"_"&amp;R219)</f>
        <v>#N/A</v>
      </c>
      <c r="M219" s="57" t="e">
        <f t="shared" si="51"/>
        <v>#N/A</v>
      </c>
      <c r="N219" s="118"/>
      <c r="O219" s="102" t="e">
        <f>VLOOKUP(P219&amp;"_"&amp;Q219,活动关卡!$A$4:$Z$27,6+5*MonsterWaveCallRuleCfg!R219,FALSE)</f>
        <v>#N/A</v>
      </c>
      <c r="P219" s="110">
        <f t="shared" si="48"/>
        <v>6</v>
      </c>
      <c r="Q219" s="110">
        <f t="shared" si="46"/>
        <v>4</v>
      </c>
      <c r="R219" s="110">
        <v>4</v>
      </c>
    </row>
    <row r="220" spans="2:18" x14ac:dyDescent="0.2">
      <c r="B220" s="57" t="str">
        <f t="shared" si="41"/>
        <v>MonsterWaveCallRule_Challenge6</v>
      </c>
      <c r="C220" s="57">
        <v>5</v>
      </c>
      <c r="D220" s="57" t="str">
        <f t="shared" si="42"/>
        <v>挑战关卡6第5波</v>
      </c>
      <c r="F220" s="57">
        <f t="shared" si="49"/>
        <v>0</v>
      </c>
      <c r="G220" s="102">
        <f t="shared" si="47"/>
        <v>180</v>
      </c>
      <c r="I220" s="102" t="e">
        <f>VLOOKUP(P220&amp;"_"&amp;Q220,活动关卡!$A$4:$Z$27,3+5*MonsterWaveCallRuleCfg!R220,FALSE)</f>
        <v>#N/A</v>
      </c>
      <c r="J220" s="102" t="e">
        <f>VLOOKUP(P220&amp;"_"&amp;Q220,活动关卡!$A$4:$Z$27,4+5*MonsterWaveCallRuleCfg!R220,FALSE)</f>
        <v>#N/A</v>
      </c>
      <c r="K220" s="102" t="e">
        <f t="shared" si="50"/>
        <v>#N/A</v>
      </c>
      <c r="L220" s="102" t="e">
        <f>IF(VLOOKUP(P220&amp;"_"&amp;Q220,活动关卡!$A$4:$Z$27,2+5*R220,FALSE)="","","Monster_Challenge"&amp;P220&amp;"_"&amp;Q220&amp;"_"&amp;R220)</f>
        <v>#N/A</v>
      </c>
      <c r="M220" s="57" t="e">
        <f t="shared" si="51"/>
        <v>#N/A</v>
      </c>
      <c r="N220" s="118"/>
      <c r="O220" s="102" t="e">
        <f>VLOOKUP(P220&amp;"_"&amp;Q220,活动关卡!$A$4:$Z$27,6+5*MonsterWaveCallRuleCfg!R220,FALSE)</f>
        <v>#N/A</v>
      </c>
      <c r="P220" s="110">
        <f t="shared" si="48"/>
        <v>6</v>
      </c>
      <c r="Q220" s="110">
        <f t="shared" si="46"/>
        <v>5</v>
      </c>
      <c r="R220" s="110">
        <v>1</v>
      </c>
    </row>
    <row r="221" spans="2:18" x14ac:dyDescent="0.2">
      <c r="B221" s="57" t="str">
        <f t="shared" si="41"/>
        <v/>
      </c>
      <c r="D221" s="57" t="str">
        <f t="shared" si="42"/>
        <v/>
      </c>
      <c r="F221" s="57" t="str">
        <f t="shared" si="49"/>
        <v/>
      </c>
      <c r="G221" s="102" t="str">
        <f t="shared" si="47"/>
        <v/>
      </c>
      <c r="I221" s="102" t="e">
        <f>VLOOKUP(P221&amp;"_"&amp;Q221,活动关卡!$A$4:$Z$27,3+5*MonsterWaveCallRuleCfg!R221,FALSE)</f>
        <v>#N/A</v>
      </c>
      <c r="J221" s="102" t="e">
        <f>VLOOKUP(P221&amp;"_"&amp;Q221,活动关卡!$A$4:$Z$27,4+5*MonsterWaveCallRuleCfg!R221,FALSE)</f>
        <v>#N/A</v>
      </c>
      <c r="K221" s="102" t="e">
        <f t="shared" si="50"/>
        <v>#N/A</v>
      </c>
      <c r="L221" s="102" t="e">
        <f>IF(VLOOKUP(P221&amp;"_"&amp;Q221,活动关卡!$A$4:$Z$27,2+5*R221,FALSE)="","","Monster_Challenge"&amp;P221&amp;"_"&amp;Q221&amp;"_"&amp;R221)</f>
        <v>#N/A</v>
      </c>
      <c r="M221" s="57" t="e">
        <f t="shared" si="51"/>
        <v>#N/A</v>
      </c>
      <c r="N221" s="118"/>
      <c r="O221" s="102" t="e">
        <f>VLOOKUP(P221&amp;"_"&amp;Q221,活动关卡!$A$4:$Z$27,6+5*MonsterWaveCallRuleCfg!R221,FALSE)</f>
        <v>#N/A</v>
      </c>
      <c r="P221" s="110">
        <f t="shared" si="48"/>
        <v>6</v>
      </c>
      <c r="Q221" s="110">
        <f t="shared" si="46"/>
        <v>5</v>
      </c>
      <c r="R221" s="110">
        <v>2</v>
      </c>
    </row>
    <row r="222" spans="2:18" x14ac:dyDescent="0.2">
      <c r="B222" s="57" t="str">
        <f t="shared" si="41"/>
        <v/>
      </c>
      <c r="D222" s="57" t="str">
        <f t="shared" si="42"/>
        <v/>
      </c>
      <c r="F222" s="57" t="str">
        <f t="shared" si="49"/>
        <v/>
      </c>
      <c r="G222" s="102" t="str">
        <f t="shared" si="47"/>
        <v/>
      </c>
      <c r="I222" s="102" t="e">
        <f>VLOOKUP(P222&amp;"_"&amp;Q222,活动关卡!$A$4:$Z$27,3+5*MonsterWaveCallRuleCfg!R222,FALSE)</f>
        <v>#N/A</v>
      </c>
      <c r="J222" s="102" t="e">
        <f>VLOOKUP(P222&amp;"_"&amp;Q222,活动关卡!$A$4:$Z$27,4+5*MonsterWaveCallRuleCfg!R222,FALSE)</f>
        <v>#N/A</v>
      </c>
      <c r="K222" s="102" t="e">
        <f t="shared" si="50"/>
        <v>#N/A</v>
      </c>
      <c r="L222" s="102" t="e">
        <f>IF(VLOOKUP(P222&amp;"_"&amp;Q222,活动关卡!$A$4:$Z$27,2+5*R222,FALSE)="","","Monster_Challenge"&amp;P222&amp;"_"&amp;Q222&amp;"_"&amp;R222)</f>
        <v>#N/A</v>
      </c>
      <c r="M222" s="57" t="e">
        <f t="shared" si="51"/>
        <v>#N/A</v>
      </c>
      <c r="N222" s="118"/>
      <c r="O222" s="102" t="e">
        <f>VLOOKUP(P222&amp;"_"&amp;Q222,活动关卡!$A$4:$Z$27,6+5*MonsterWaveCallRuleCfg!R222,FALSE)</f>
        <v>#N/A</v>
      </c>
      <c r="P222" s="110">
        <f t="shared" si="48"/>
        <v>6</v>
      </c>
      <c r="Q222" s="110">
        <f t="shared" si="46"/>
        <v>5</v>
      </c>
      <c r="R222" s="110">
        <v>3</v>
      </c>
    </row>
    <row r="223" spans="2:18" x14ac:dyDescent="0.2">
      <c r="B223" s="57" t="str">
        <f t="shared" si="41"/>
        <v/>
      </c>
      <c r="D223" s="57" t="str">
        <f t="shared" si="42"/>
        <v/>
      </c>
      <c r="F223" s="57" t="str">
        <f t="shared" si="49"/>
        <v/>
      </c>
      <c r="G223" s="102" t="str">
        <f t="shared" si="47"/>
        <v/>
      </c>
      <c r="I223" s="102" t="e">
        <f>VLOOKUP(P223&amp;"_"&amp;Q223,活动关卡!$A$4:$Z$27,3+5*MonsterWaveCallRuleCfg!R223,FALSE)</f>
        <v>#N/A</v>
      </c>
      <c r="J223" s="102" t="e">
        <f>VLOOKUP(P223&amp;"_"&amp;Q223,活动关卡!$A$4:$Z$27,4+5*MonsterWaveCallRuleCfg!R223,FALSE)</f>
        <v>#N/A</v>
      </c>
      <c r="K223" s="102" t="e">
        <f t="shared" si="50"/>
        <v>#N/A</v>
      </c>
      <c r="L223" s="102" t="e">
        <f>IF(VLOOKUP(P223&amp;"_"&amp;Q223,活动关卡!$A$4:$Z$27,2+5*R223,FALSE)="","","Monster_Challenge"&amp;P223&amp;"_"&amp;Q223&amp;"_"&amp;R223)</f>
        <v>#N/A</v>
      </c>
      <c r="M223" s="57" t="e">
        <f t="shared" si="51"/>
        <v>#N/A</v>
      </c>
      <c r="O223" s="102" t="e">
        <f>VLOOKUP(P223&amp;"_"&amp;Q223,活动关卡!$A$4:$Z$27,6+5*MonsterWaveCallRuleCfg!R223,FALSE)</f>
        <v>#N/A</v>
      </c>
      <c r="P223" s="110">
        <f t="shared" si="48"/>
        <v>6</v>
      </c>
      <c r="Q223" s="110">
        <f t="shared" si="46"/>
        <v>5</v>
      </c>
      <c r="R223" s="110">
        <v>4</v>
      </c>
    </row>
    <row r="224" spans="2:18" x14ac:dyDescent="0.2">
      <c r="B224" s="57" t="str">
        <f t="shared" si="41"/>
        <v>MonsterWaveCallRule_Challenge7</v>
      </c>
      <c r="C224" s="57">
        <v>1</v>
      </c>
      <c r="D224" s="57" t="str">
        <f t="shared" si="42"/>
        <v>挑战关卡7第1波</v>
      </c>
      <c r="F224" s="57">
        <f t="shared" si="49"/>
        <v>0</v>
      </c>
      <c r="G224" s="102">
        <f t="shared" si="47"/>
        <v>180</v>
      </c>
      <c r="I224" s="102" t="e">
        <f>VLOOKUP(P224&amp;"_"&amp;Q224,活动关卡!$A$4:$Z$27,3+5*MonsterWaveCallRuleCfg!R224,FALSE)</f>
        <v>#N/A</v>
      </c>
      <c r="J224" s="102" t="e">
        <f>VLOOKUP(P224&amp;"_"&amp;Q224,活动关卡!$A$4:$Z$27,4+5*MonsterWaveCallRuleCfg!R224,FALSE)</f>
        <v>#N/A</v>
      </c>
      <c r="K224" s="102" t="e">
        <f t="shared" si="50"/>
        <v>#N/A</v>
      </c>
      <c r="L224" s="102" t="e">
        <f>IF(VLOOKUP(P224&amp;"_"&amp;Q224,活动关卡!$A$4:$Z$27,2+5*R224,FALSE)="","","Monster_Challenge"&amp;P224&amp;"_"&amp;Q224&amp;"_"&amp;R224)</f>
        <v>#N/A</v>
      </c>
      <c r="M224" s="57" t="e">
        <f t="shared" si="51"/>
        <v>#N/A</v>
      </c>
      <c r="O224" s="102" t="e">
        <f>VLOOKUP(P224&amp;"_"&amp;Q224,活动关卡!$A$4:$Z$27,6+5*MonsterWaveCallRuleCfg!R224,FALSE)</f>
        <v>#N/A</v>
      </c>
      <c r="P224" s="110">
        <f t="shared" si="48"/>
        <v>7</v>
      </c>
      <c r="Q224" s="110">
        <f t="shared" si="46"/>
        <v>1</v>
      </c>
      <c r="R224" s="110">
        <v>1</v>
      </c>
    </row>
    <row r="225" spans="2:18" x14ac:dyDescent="0.2">
      <c r="B225" s="57" t="str">
        <f t="shared" si="41"/>
        <v/>
      </c>
      <c r="D225" s="57" t="str">
        <f t="shared" si="42"/>
        <v/>
      </c>
      <c r="F225" s="57" t="str">
        <f t="shared" si="49"/>
        <v/>
      </c>
      <c r="G225" s="102" t="str">
        <f t="shared" si="47"/>
        <v/>
      </c>
      <c r="I225" s="102" t="e">
        <f>VLOOKUP(P225&amp;"_"&amp;Q225,活动关卡!$A$4:$Z$27,3+5*MonsterWaveCallRuleCfg!R225,FALSE)</f>
        <v>#N/A</v>
      </c>
      <c r="J225" s="102" t="e">
        <f>VLOOKUP(P225&amp;"_"&amp;Q225,活动关卡!$A$4:$Z$27,4+5*MonsterWaveCallRuleCfg!R225,FALSE)</f>
        <v>#N/A</v>
      </c>
      <c r="K225" s="102" t="e">
        <f t="shared" si="50"/>
        <v>#N/A</v>
      </c>
      <c r="L225" s="102" t="e">
        <f>IF(VLOOKUP(P225&amp;"_"&amp;Q225,活动关卡!$A$4:$Z$27,2+5*R225,FALSE)="","","Monster_Challenge"&amp;P225&amp;"_"&amp;Q225&amp;"_"&amp;R225)</f>
        <v>#N/A</v>
      </c>
      <c r="M225" s="57" t="e">
        <f t="shared" si="51"/>
        <v>#N/A</v>
      </c>
      <c r="O225" s="102" t="e">
        <f>VLOOKUP(P225&amp;"_"&amp;Q225,活动关卡!$A$4:$Z$27,6+5*MonsterWaveCallRuleCfg!R225,FALSE)</f>
        <v>#N/A</v>
      </c>
      <c r="P225" s="110">
        <f t="shared" si="48"/>
        <v>7</v>
      </c>
      <c r="Q225" s="110">
        <f t="shared" si="46"/>
        <v>1</v>
      </c>
      <c r="R225" s="110">
        <v>2</v>
      </c>
    </row>
    <row r="226" spans="2:18" x14ac:dyDescent="0.2">
      <c r="B226" s="57" t="str">
        <f t="shared" si="41"/>
        <v/>
      </c>
      <c r="D226" s="57" t="str">
        <f t="shared" si="42"/>
        <v/>
      </c>
      <c r="F226" s="57" t="str">
        <f t="shared" si="49"/>
        <v/>
      </c>
      <c r="G226" s="102" t="str">
        <f t="shared" si="47"/>
        <v/>
      </c>
      <c r="I226" s="102" t="e">
        <f>VLOOKUP(P226&amp;"_"&amp;Q226,活动关卡!$A$4:$Z$27,3+5*MonsterWaveCallRuleCfg!R226,FALSE)</f>
        <v>#N/A</v>
      </c>
      <c r="J226" s="102" t="e">
        <f>VLOOKUP(P226&amp;"_"&amp;Q226,活动关卡!$A$4:$Z$27,4+5*MonsterWaveCallRuleCfg!R226,FALSE)</f>
        <v>#N/A</v>
      </c>
      <c r="K226" s="102" t="e">
        <f t="shared" si="50"/>
        <v>#N/A</v>
      </c>
      <c r="L226" s="102" t="e">
        <f>IF(VLOOKUP(P226&amp;"_"&amp;Q226,活动关卡!$A$4:$Z$27,2+5*R226,FALSE)="","","Monster_Challenge"&amp;P226&amp;"_"&amp;Q226&amp;"_"&amp;R226)</f>
        <v>#N/A</v>
      </c>
      <c r="M226" s="57" t="e">
        <f t="shared" si="51"/>
        <v>#N/A</v>
      </c>
      <c r="O226" s="102" t="e">
        <f>VLOOKUP(P226&amp;"_"&amp;Q226,活动关卡!$A$4:$Z$27,6+5*MonsterWaveCallRuleCfg!R226,FALSE)</f>
        <v>#N/A</v>
      </c>
      <c r="P226" s="110">
        <f t="shared" si="48"/>
        <v>7</v>
      </c>
      <c r="Q226" s="110">
        <f t="shared" si="46"/>
        <v>1</v>
      </c>
      <c r="R226" s="110">
        <v>3</v>
      </c>
    </row>
    <row r="227" spans="2:18" x14ac:dyDescent="0.2">
      <c r="B227" s="57" t="str">
        <f t="shared" si="41"/>
        <v/>
      </c>
      <c r="D227" s="57" t="str">
        <f t="shared" si="42"/>
        <v/>
      </c>
      <c r="F227" s="57" t="str">
        <f t="shared" si="49"/>
        <v/>
      </c>
      <c r="G227" s="102" t="str">
        <f t="shared" si="47"/>
        <v/>
      </c>
      <c r="I227" s="102" t="e">
        <f>VLOOKUP(P227&amp;"_"&amp;Q227,活动关卡!$A$4:$Z$27,3+5*MonsterWaveCallRuleCfg!R227,FALSE)</f>
        <v>#N/A</v>
      </c>
      <c r="J227" s="102" t="e">
        <f>VLOOKUP(P227&amp;"_"&amp;Q227,活动关卡!$A$4:$Z$27,4+5*MonsterWaveCallRuleCfg!R227,FALSE)</f>
        <v>#N/A</v>
      </c>
      <c r="K227" s="102" t="e">
        <f t="shared" si="50"/>
        <v>#N/A</v>
      </c>
      <c r="L227" s="102" t="e">
        <f>IF(VLOOKUP(P227&amp;"_"&amp;Q227,活动关卡!$A$4:$Z$27,2+5*R227,FALSE)="","","Monster_Challenge"&amp;P227&amp;"_"&amp;Q227&amp;"_"&amp;R227)</f>
        <v>#N/A</v>
      </c>
      <c r="M227" s="57" t="e">
        <f t="shared" si="51"/>
        <v>#N/A</v>
      </c>
      <c r="O227" s="102" t="e">
        <f>VLOOKUP(P227&amp;"_"&amp;Q227,活动关卡!$A$4:$Z$27,6+5*MonsterWaveCallRuleCfg!R227,FALSE)</f>
        <v>#N/A</v>
      </c>
      <c r="P227" s="110">
        <f t="shared" si="48"/>
        <v>7</v>
      </c>
      <c r="Q227" s="110">
        <f t="shared" si="46"/>
        <v>1</v>
      </c>
      <c r="R227" s="110">
        <v>4</v>
      </c>
    </row>
    <row r="228" spans="2:18" x14ac:dyDescent="0.2">
      <c r="B228" s="57" t="str">
        <f t="shared" si="41"/>
        <v>MonsterWaveCallRule_Challenge7</v>
      </c>
      <c r="C228" s="57">
        <v>2</v>
      </c>
      <c r="D228" s="57" t="str">
        <f t="shared" si="42"/>
        <v>挑战关卡7第2波</v>
      </c>
      <c r="F228" s="57">
        <f t="shared" si="49"/>
        <v>0</v>
      </c>
      <c r="G228" s="102">
        <f t="shared" si="47"/>
        <v>180</v>
      </c>
      <c r="I228" s="102" t="e">
        <f>VLOOKUP(P228&amp;"_"&amp;Q228,活动关卡!$A$4:$Z$27,3+5*MonsterWaveCallRuleCfg!R228,FALSE)</f>
        <v>#N/A</v>
      </c>
      <c r="J228" s="102" t="e">
        <f>VLOOKUP(P228&amp;"_"&amp;Q228,活动关卡!$A$4:$Z$27,4+5*MonsterWaveCallRuleCfg!R228,FALSE)</f>
        <v>#N/A</v>
      </c>
      <c r="K228" s="102" t="e">
        <f t="shared" si="50"/>
        <v>#N/A</v>
      </c>
      <c r="L228" s="102" t="e">
        <f>IF(VLOOKUP(P228&amp;"_"&amp;Q228,活动关卡!$A$4:$Z$27,2+5*R228,FALSE)="","","Monster_Challenge"&amp;P228&amp;"_"&amp;Q228&amp;"_"&amp;R228)</f>
        <v>#N/A</v>
      </c>
      <c r="M228" s="57" t="e">
        <f t="shared" si="51"/>
        <v>#N/A</v>
      </c>
      <c r="O228" s="102" t="e">
        <f>VLOOKUP(P228&amp;"_"&amp;Q228,活动关卡!$A$4:$Z$27,6+5*MonsterWaveCallRuleCfg!R228,FALSE)</f>
        <v>#N/A</v>
      </c>
      <c r="P228" s="110">
        <f t="shared" si="48"/>
        <v>7</v>
      </c>
      <c r="Q228" s="110">
        <f t="shared" si="46"/>
        <v>2</v>
      </c>
      <c r="R228" s="110">
        <v>1</v>
      </c>
    </row>
    <row r="229" spans="2:18" x14ac:dyDescent="0.2">
      <c r="B229" s="57" t="str">
        <f t="shared" si="41"/>
        <v/>
      </c>
      <c r="D229" s="57" t="str">
        <f t="shared" si="42"/>
        <v/>
      </c>
      <c r="F229" s="57" t="str">
        <f t="shared" si="49"/>
        <v/>
      </c>
      <c r="G229" s="102" t="str">
        <f t="shared" si="47"/>
        <v/>
      </c>
      <c r="I229" s="102" t="e">
        <f>VLOOKUP(P229&amp;"_"&amp;Q229,活动关卡!$A$4:$Z$27,3+5*MonsterWaveCallRuleCfg!R229,FALSE)</f>
        <v>#N/A</v>
      </c>
      <c r="J229" s="102" t="e">
        <f>VLOOKUP(P229&amp;"_"&amp;Q229,活动关卡!$A$4:$Z$27,4+5*MonsterWaveCallRuleCfg!R229,FALSE)</f>
        <v>#N/A</v>
      </c>
      <c r="K229" s="102" t="e">
        <f t="shared" si="50"/>
        <v>#N/A</v>
      </c>
      <c r="L229" s="102" t="e">
        <f>IF(VLOOKUP(P229&amp;"_"&amp;Q229,活动关卡!$A$4:$Z$27,2+5*R229,FALSE)="","","Monster_Challenge"&amp;P229&amp;"_"&amp;Q229&amp;"_"&amp;R229)</f>
        <v>#N/A</v>
      </c>
      <c r="M229" s="57" t="e">
        <f t="shared" si="51"/>
        <v>#N/A</v>
      </c>
      <c r="O229" s="102" t="e">
        <f>VLOOKUP(P229&amp;"_"&amp;Q229,活动关卡!$A$4:$Z$27,6+5*MonsterWaveCallRuleCfg!R229,FALSE)</f>
        <v>#N/A</v>
      </c>
      <c r="P229" s="110">
        <f t="shared" si="48"/>
        <v>7</v>
      </c>
      <c r="Q229" s="110">
        <f t="shared" si="46"/>
        <v>2</v>
      </c>
      <c r="R229" s="110">
        <v>2</v>
      </c>
    </row>
    <row r="230" spans="2:18" x14ac:dyDescent="0.2">
      <c r="B230" s="57" t="str">
        <f t="shared" si="41"/>
        <v/>
      </c>
      <c r="D230" s="57" t="str">
        <f t="shared" si="42"/>
        <v/>
      </c>
      <c r="F230" s="57" t="str">
        <f t="shared" si="49"/>
        <v/>
      </c>
      <c r="G230" s="102" t="str">
        <f t="shared" si="47"/>
        <v/>
      </c>
      <c r="I230" s="102" t="e">
        <f>VLOOKUP(P230&amp;"_"&amp;Q230,活动关卡!$A$4:$Z$27,3+5*MonsterWaveCallRuleCfg!R230,FALSE)</f>
        <v>#N/A</v>
      </c>
      <c r="J230" s="102" t="e">
        <f>VLOOKUP(P230&amp;"_"&amp;Q230,活动关卡!$A$4:$Z$27,4+5*MonsterWaveCallRuleCfg!R230,FALSE)</f>
        <v>#N/A</v>
      </c>
      <c r="K230" s="102" t="e">
        <f t="shared" si="50"/>
        <v>#N/A</v>
      </c>
      <c r="L230" s="102" t="e">
        <f>IF(VLOOKUP(P230&amp;"_"&amp;Q230,活动关卡!$A$4:$Z$27,2+5*R230,FALSE)="","","Monster_Challenge"&amp;P230&amp;"_"&amp;Q230&amp;"_"&amp;R230)</f>
        <v>#N/A</v>
      </c>
      <c r="M230" s="57" t="e">
        <f t="shared" si="51"/>
        <v>#N/A</v>
      </c>
      <c r="O230" s="102" t="e">
        <f>VLOOKUP(P230&amp;"_"&amp;Q230,活动关卡!$A$4:$Z$27,6+5*MonsterWaveCallRuleCfg!R230,FALSE)</f>
        <v>#N/A</v>
      </c>
      <c r="P230" s="110">
        <f t="shared" si="48"/>
        <v>7</v>
      </c>
      <c r="Q230" s="110">
        <f t="shared" si="46"/>
        <v>2</v>
      </c>
      <c r="R230" s="110">
        <v>3</v>
      </c>
    </row>
    <row r="231" spans="2:18" x14ac:dyDescent="0.2">
      <c r="B231" s="57" t="str">
        <f t="shared" si="41"/>
        <v/>
      </c>
      <c r="D231" s="57" t="str">
        <f t="shared" si="42"/>
        <v/>
      </c>
      <c r="F231" s="57" t="str">
        <f t="shared" si="49"/>
        <v/>
      </c>
      <c r="G231" s="102" t="str">
        <f t="shared" si="47"/>
        <v/>
      </c>
      <c r="I231" s="102" t="e">
        <f>VLOOKUP(P231&amp;"_"&amp;Q231,活动关卡!$A$4:$Z$27,3+5*MonsterWaveCallRuleCfg!R231,FALSE)</f>
        <v>#N/A</v>
      </c>
      <c r="J231" s="102" t="e">
        <f>VLOOKUP(P231&amp;"_"&amp;Q231,活动关卡!$A$4:$Z$27,4+5*MonsterWaveCallRuleCfg!R231,FALSE)</f>
        <v>#N/A</v>
      </c>
      <c r="K231" s="102" t="e">
        <f t="shared" si="50"/>
        <v>#N/A</v>
      </c>
      <c r="L231" s="102" t="e">
        <f>IF(VLOOKUP(P231&amp;"_"&amp;Q231,活动关卡!$A$4:$Z$27,2+5*R231,FALSE)="","","Monster_Challenge"&amp;P231&amp;"_"&amp;Q231&amp;"_"&amp;R231)</f>
        <v>#N/A</v>
      </c>
      <c r="M231" s="57" t="e">
        <f t="shared" si="51"/>
        <v>#N/A</v>
      </c>
      <c r="O231" s="102" t="e">
        <f>VLOOKUP(P231&amp;"_"&amp;Q231,活动关卡!$A$4:$Z$27,6+5*MonsterWaveCallRuleCfg!R231,FALSE)</f>
        <v>#N/A</v>
      </c>
      <c r="P231" s="110">
        <f t="shared" si="48"/>
        <v>7</v>
      </c>
      <c r="Q231" s="110">
        <f t="shared" si="46"/>
        <v>2</v>
      </c>
      <c r="R231" s="110">
        <v>4</v>
      </c>
    </row>
    <row r="232" spans="2:18" x14ac:dyDescent="0.2">
      <c r="B232" s="57" t="str">
        <f t="shared" si="41"/>
        <v>MonsterWaveCallRule_Challenge7</v>
      </c>
      <c r="C232" s="57">
        <v>3</v>
      </c>
      <c r="D232" s="57" t="str">
        <f t="shared" si="42"/>
        <v>挑战关卡7第3波</v>
      </c>
      <c r="F232" s="57">
        <f t="shared" si="49"/>
        <v>0</v>
      </c>
      <c r="G232" s="102">
        <f t="shared" si="47"/>
        <v>180</v>
      </c>
      <c r="I232" s="102" t="e">
        <f>VLOOKUP(P232&amp;"_"&amp;Q232,活动关卡!$A$4:$Z$27,3+5*MonsterWaveCallRuleCfg!R232,FALSE)</f>
        <v>#N/A</v>
      </c>
      <c r="J232" s="102" t="e">
        <f>VLOOKUP(P232&amp;"_"&amp;Q232,活动关卡!$A$4:$Z$27,4+5*MonsterWaveCallRuleCfg!R232,FALSE)</f>
        <v>#N/A</v>
      </c>
      <c r="K232" s="102" t="e">
        <f t="shared" si="50"/>
        <v>#N/A</v>
      </c>
      <c r="L232" s="102" t="e">
        <f>IF(VLOOKUP(P232&amp;"_"&amp;Q232,活动关卡!$A$4:$Z$27,2+5*R232,FALSE)="","","Monster_Challenge"&amp;P232&amp;"_"&amp;Q232&amp;"_"&amp;R232)</f>
        <v>#N/A</v>
      </c>
      <c r="M232" s="57" t="e">
        <f t="shared" si="51"/>
        <v>#N/A</v>
      </c>
      <c r="O232" s="102" t="e">
        <f>VLOOKUP(P232&amp;"_"&amp;Q232,活动关卡!$A$4:$Z$27,6+5*MonsterWaveCallRuleCfg!R232,FALSE)</f>
        <v>#N/A</v>
      </c>
      <c r="P232" s="110">
        <f t="shared" si="48"/>
        <v>7</v>
      </c>
      <c r="Q232" s="110">
        <f t="shared" si="46"/>
        <v>3</v>
      </c>
      <c r="R232" s="110">
        <v>1</v>
      </c>
    </row>
    <row r="233" spans="2:18" x14ac:dyDescent="0.2">
      <c r="B233" s="57" t="str">
        <f t="shared" ref="B233:B296" si="52">IF(C233="","","MonsterWaveCallRule_Challenge"&amp;P233)</f>
        <v/>
      </c>
      <c r="D233" s="57" t="str">
        <f t="shared" ref="D233:D296" si="53">IF(C233="","","挑战关卡"&amp;P233&amp;"第"&amp;C233&amp;"波")</f>
        <v/>
      </c>
      <c r="F233" s="57" t="str">
        <f t="shared" si="49"/>
        <v/>
      </c>
      <c r="G233" s="102" t="str">
        <f t="shared" si="47"/>
        <v/>
      </c>
      <c r="I233" s="102" t="e">
        <f>VLOOKUP(P233&amp;"_"&amp;Q233,活动关卡!$A$4:$Z$27,3+5*MonsterWaveCallRuleCfg!R233,FALSE)</f>
        <v>#N/A</v>
      </c>
      <c r="J233" s="102" t="e">
        <f>VLOOKUP(P233&amp;"_"&amp;Q233,活动关卡!$A$4:$Z$27,4+5*MonsterWaveCallRuleCfg!R233,FALSE)</f>
        <v>#N/A</v>
      </c>
      <c r="K233" s="102" t="e">
        <f t="shared" si="50"/>
        <v>#N/A</v>
      </c>
      <c r="L233" s="102" t="e">
        <f>IF(VLOOKUP(P233&amp;"_"&amp;Q233,活动关卡!$A$4:$Z$27,2+5*R233,FALSE)="","","Monster_Challenge"&amp;P233&amp;"_"&amp;Q233&amp;"_"&amp;R233)</f>
        <v>#N/A</v>
      </c>
      <c r="M233" s="57" t="e">
        <f t="shared" si="51"/>
        <v>#N/A</v>
      </c>
      <c r="O233" s="102" t="e">
        <f>VLOOKUP(P233&amp;"_"&amp;Q233,活动关卡!$A$4:$Z$27,6+5*MonsterWaveCallRuleCfg!R233,FALSE)</f>
        <v>#N/A</v>
      </c>
      <c r="P233" s="110">
        <f t="shared" si="48"/>
        <v>7</v>
      </c>
      <c r="Q233" s="110">
        <f t="shared" si="46"/>
        <v>3</v>
      </c>
      <c r="R233" s="110">
        <v>2</v>
      </c>
    </row>
    <row r="234" spans="2:18" x14ac:dyDescent="0.2">
      <c r="B234" s="57" t="str">
        <f t="shared" si="52"/>
        <v/>
      </c>
      <c r="D234" s="57" t="str">
        <f t="shared" si="53"/>
        <v/>
      </c>
      <c r="F234" s="57" t="str">
        <f t="shared" si="49"/>
        <v/>
      </c>
      <c r="G234" s="102" t="str">
        <f t="shared" si="47"/>
        <v/>
      </c>
      <c r="I234" s="102" t="e">
        <f>VLOOKUP(P234&amp;"_"&amp;Q234,活动关卡!$A$4:$Z$27,3+5*MonsterWaveCallRuleCfg!R234,FALSE)</f>
        <v>#N/A</v>
      </c>
      <c r="J234" s="102" t="e">
        <f>VLOOKUP(P234&amp;"_"&amp;Q234,活动关卡!$A$4:$Z$27,4+5*MonsterWaveCallRuleCfg!R234,FALSE)</f>
        <v>#N/A</v>
      </c>
      <c r="K234" s="102" t="e">
        <f t="shared" si="50"/>
        <v>#N/A</v>
      </c>
      <c r="L234" s="102" t="e">
        <f>IF(VLOOKUP(P234&amp;"_"&amp;Q234,活动关卡!$A$4:$Z$27,2+5*R234,FALSE)="","","Monster_Challenge"&amp;P234&amp;"_"&amp;Q234&amp;"_"&amp;R234)</f>
        <v>#N/A</v>
      </c>
      <c r="M234" s="57" t="e">
        <f t="shared" si="51"/>
        <v>#N/A</v>
      </c>
      <c r="O234" s="102" t="e">
        <f>VLOOKUP(P234&amp;"_"&amp;Q234,活动关卡!$A$4:$Z$27,6+5*MonsterWaveCallRuleCfg!R234,FALSE)</f>
        <v>#N/A</v>
      </c>
      <c r="P234" s="110">
        <f t="shared" si="48"/>
        <v>7</v>
      </c>
      <c r="Q234" s="110">
        <f t="shared" ref="Q234:Q297" si="54">IF(C234="",Q233,C234)</f>
        <v>3</v>
      </c>
      <c r="R234" s="110">
        <v>3</v>
      </c>
    </row>
    <row r="235" spans="2:18" x14ac:dyDescent="0.2">
      <c r="B235" s="57" t="str">
        <f t="shared" si="52"/>
        <v/>
      </c>
      <c r="D235" s="57" t="str">
        <f t="shared" si="53"/>
        <v/>
      </c>
      <c r="F235" s="57" t="str">
        <f t="shared" si="49"/>
        <v/>
      </c>
      <c r="G235" s="102" t="str">
        <f t="shared" si="47"/>
        <v/>
      </c>
      <c r="I235" s="102" t="e">
        <f>VLOOKUP(P235&amp;"_"&amp;Q235,活动关卡!$A$4:$Z$27,3+5*MonsterWaveCallRuleCfg!R235,FALSE)</f>
        <v>#N/A</v>
      </c>
      <c r="J235" s="102" t="e">
        <f>VLOOKUP(P235&amp;"_"&amp;Q235,活动关卡!$A$4:$Z$27,4+5*MonsterWaveCallRuleCfg!R235,FALSE)</f>
        <v>#N/A</v>
      </c>
      <c r="K235" s="102" t="e">
        <f t="shared" si="50"/>
        <v>#N/A</v>
      </c>
      <c r="L235" s="102" t="e">
        <f>IF(VLOOKUP(P235&amp;"_"&amp;Q235,活动关卡!$A$4:$Z$27,2+5*R235,FALSE)="","","Monster_Challenge"&amp;P235&amp;"_"&amp;Q235&amp;"_"&amp;R235)</f>
        <v>#N/A</v>
      </c>
      <c r="M235" s="57" t="e">
        <f t="shared" si="51"/>
        <v>#N/A</v>
      </c>
      <c r="O235" s="102" t="e">
        <f>VLOOKUP(P235&amp;"_"&amp;Q235,活动关卡!$A$4:$Z$27,6+5*MonsterWaveCallRuleCfg!R235,FALSE)</f>
        <v>#N/A</v>
      </c>
      <c r="P235" s="110">
        <f t="shared" si="48"/>
        <v>7</v>
      </c>
      <c r="Q235" s="110">
        <f t="shared" si="54"/>
        <v>3</v>
      </c>
      <c r="R235" s="110">
        <v>4</v>
      </c>
    </row>
    <row r="236" spans="2:18" x14ac:dyDescent="0.2">
      <c r="B236" s="57" t="str">
        <f t="shared" si="52"/>
        <v>MonsterWaveCallRule_Challenge7</v>
      </c>
      <c r="C236" s="57">
        <v>4</v>
      </c>
      <c r="D236" s="57" t="str">
        <f t="shared" si="53"/>
        <v>挑战关卡7第4波</v>
      </c>
      <c r="F236" s="57">
        <f t="shared" si="49"/>
        <v>0</v>
      </c>
      <c r="G236" s="102">
        <f t="shared" si="47"/>
        <v>180</v>
      </c>
      <c r="I236" s="102" t="e">
        <f>VLOOKUP(P236&amp;"_"&amp;Q236,活动关卡!$A$4:$Z$27,3+5*MonsterWaveCallRuleCfg!R236,FALSE)</f>
        <v>#N/A</v>
      </c>
      <c r="J236" s="102" t="e">
        <f>VLOOKUP(P236&amp;"_"&amp;Q236,活动关卡!$A$4:$Z$27,4+5*MonsterWaveCallRuleCfg!R236,FALSE)</f>
        <v>#N/A</v>
      </c>
      <c r="K236" s="102" t="e">
        <f t="shared" si="50"/>
        <v>#N/A</v>
      </c>
      <c r="L236" s="102" t="e">
        <f>IF(VLOOKUP(P236&amp;"_"&amp;Q236,活动关卡!$A$4:$Z$27,2+5*R236,FALSE)="","","Monster_Challenge"&amp;P236&amp;"_"&amp;Q236&amp;"_"&amp;R236)</f>
        <v>#N/A</v>
      </c>
      <c r="M236" s="57" t="e">
        <f t="shared" si="51"/>
        <v>#N/A</v>
      </c>
      <c r="O236" s="102" t="e">
        <f>VLOOKUP(P236&amp;"_"&amp;Q236,活动关卡!$A$4:$Z$27,6+5*MonsterWaveCallRuleCfg!R236,FALSE)</f>
        <v>#N/A</v>
      </c>
      <c r="P236" s="110">
        <f t="shared" si="48"/>
        <v>7</v>
      </c>
      <c r="Q236" s="110">
        <f t="shared" si="54"/>
        <v>4</v>
      </c>
      <c r="R236" s="110">
        <v>1</v>
      </c>
    </row>
    <row r="237" spans="2:18" x14ac:dyDescent="0.2">
      <c r="B237" s="57" t="str">
        <f t="shared" si="52"/>
        <v/>
      </c>
      <c r="D237" s="57" t="str">
        <f t="shared" si="53"/>
        <v/>
      </c>
      <c r="F237" s="57" t="str">
        <f t="shared" si="49"/>
        <v/>
      </c>
      <c r="G237" s="102" t="str">
        <f t="shared" si="47"/>
        <v/>
      </c>
      <c r="I237" s="102" t="e">
        <f>VLOOKUP(P237&amp;"_"&amp;Q237,活动关卡!$A$4:$Z$27,3+5*MonsterWaveCallRuleCfg!R237,FALSE)</f>
        <v>#N/A</v>
      </c>
      <c r="J237" s="102" t="e">
        <f>VLOOKUP(P237&amp;"_"&amp;Q237,活动关卡!$A$4:$Z$27,4+5*MonsterWaveCallRuleCfg!R237,FALSE)</f>
        <v>#N/A</v>
      </c>
      <c r="K237" s="102" t="e">
        <f t="shared" si="50"/>
        <v>#N/A</v>
      </c>
      <c r="L237" s="102" t="e">
        <f>IF(VLOOKUP(P237&amp;"_"&amp;Q237,活动关卡!$A$4:$Z$27,2+5*R237,FALSE)="","","Monster_Challenge"&amp;P237&amp;"_"&amp;Q237&amp;"_"&amp;R237)</f>
        <v>#N/A</v>
      </c>
      <c r="M237" s="57" t="e">
        <f t="shared" si="51"/>
        <v>#N/A</v>
      </c>
      <c r="O237" s="102" t="e">
        <f>VLOOKUP(P237&amp;"_"&amp;Q237,活动关卡!$A$4:$Z$27,6+5*MonsterWaveCallRuleCfg!R237,FALSE)</f>
        <v>#N/A</v>
      </c>
      <c r="P237" s="110">
        <f t="shared" si="48"/>
        <v>7</v>
      </c>
      <c r="Q237" s="110">
        <f t="shared" si="54"/>
        <v>4</v>
      </c>
      <c r="R237" s="110">
        <v>2</v>
      </c>
    </row>
    <row r="238" spans="2:18" x14ac:dyDescent="0.2">
      <c r="B238" s="57" t="str">
        <f t="shared" si="52"/>
        <v/>
      </c>
      <c r="D238" s="57" t="str">
        <f t="shared" si="53"/>
        <v/>
      </c>
      <c r="F238" s="57" t="str">
        <f t="shared" si="49"/>
        <v/>
      </c>
      <c r="G238" s="102" t="str">
        <f t="shared" si="47"/>
        <v/>
      </c>
      <c r="I238" s="102" t="e">
        <f>VLOOKUP(P238&amp;"_"&amp;Q238,活动关卡!$A$4:$Z$27,3+5*MonsterWaveCallRuleCfg!R238,FALSE)</f>
        <v>#N/A</v>
      </c>
      <c r="J238" s="102" t="e">
        <f>VLOOKUP(P238&amp;"_"&amp;Q238,活动关卡!$A$4:$Z$27,4+5*MonsterWaveCallRuleCfg!R238,FALSE)</f>
        <v>#N/A</v>
      </c>
      <c r="K238" s="102" t="e">
        <f t="shared" si="50"/>
        <v>#N/A</v>
      </c>
      <c r="L238" s="102" t="e">
        <f>IF(VLOOKUP(P238&amp;"_"&amp;Q238,活动关卡!$A$4:$Z$27,2+5*R238,FALSE)="","","Monster_Challenge"&amp;P238&amp;"_"&amp;Q238&amp;"_"&amp;R238)</f>
        <v>#N/A</v>
      </c>
      <c r="M238" s="57" t="e">
        <f t="shared" si="51"/>
        <v>#N/A</v>
      </c>
      <c r="O238" s="102" t="e">
        <f>VLOOKUP(P238&amp;"_"&amp;Q238,活动关卡!$A$4:$Z$27,6+5*MonsterWaveCallRuleCfg!R238,FALSE)</f>
        <v>#N/A</v>
      </c>
      <c r="P238" s="110">
        <f t="shared" si="48"/>
        <v>7</v>
      </c>
      <c r="Q238" s="110">
        <f t="shared" si="54"/>
        <v>4</v>
      </c>
      <c r="R238" s="110">
        <v>3</v>
      </c>
    </row>
    <row r="239" spans="2:18" x14ac:dyDescent="0.2">
      <c r="B239" s="57" t="str">
        <f t="shared" si="52"/>
        <v/>
      </c>
      <c r="D239" s="57" t="str">
        <f t="shared" si="53"/>
        <v/>
      </c>
      <c r="F239" s="57" t="str">
        <f t="shared" si="49"/>
        <v/>
      </c>
      <c r="G239" s="102" t="str">
        <f t="shared" si="47"/>
        <v/>
      </c>
      <c r="I239" s="102" t="e">
        <f>VLOOKUP(P239&amp;"_"&amp;Q239,活动关卡!$A$4:$Z$27,3+5*MonsterWaveCallRuleCfg!R239,FALSE)</f>
        <v>#N/A</v>
      </c>
      <c r="J239" s="102" t="e">
        <f>VLOOKUP(P239&amp;"_"&amp;Q239,活动关卡!$A$4:$Z$27,4+5*MonsterWaveCallRuleCfg!R239,FALSE)</f>
        <v>#N/A</v>
      </c>
      <c r="K239" s="102" t="e">
        <f t="shared" si="50"/>
        <v>#N/A</v>
      </c>
      <c r="L239" s="102" t="e">
        <f>IF(VLOOKUP(P239&amp;"_"&amp;Q239,活动关卡!$A$4:$Z$27,2+5*R239,FALSE)="","","Monster_Challenge"&amp;P239&amp;"_"&amp;Q239&amp;"_"&amp;R239)</f>
        <v>#N/A</v>
      </c>
      <c r="M239" s="57" t="e">
        <f t="shared" si="51"/>
        <v>#N/A</v>
      </c>
      <c r="O239" s="102" t="e">
        <f>VLOOKUP(P239&amp;"_"&amp;Q239,活动关卡!$A$4:$Z$27,6+5*MonsterWaveCallRuleCfg!R239,FALSE)</f>
        <v>#N/A</v>
      </c>
      <c r="P239" s="110">
        <f t="shared" si="48"/>
        <v>7</v>
      </c>
      <c r="Q239" s="110">
        <f t="shared" si="54"/>
        <v>4</v>
      </c>
      <c r="R239" s="110">
        <v>4</v>
      </c>
    </row>
    <row r="240" spans="2:18" x14ac:dyDescent="0.2">
      <c r="B240" s="57" t="str">
        <f t="shared" si="52"/>
        <v>MonsterWaveCallRule_Challenge7</v>
      </c>
      <c r="C240" s="57">
        <v>5</v>
      </c>
      <c r="D240" s="57" t="str">
        <f t="shared" si="53"/>
        <v>挑战关卡7第5波</v>
      </c>
      <c r="F240" s="57">
        <f t="shared" si="49"/>
        <v>0</v>
      </c>
      <c r="G240" s="102">
        <f t="shared" si="47"/>
        <v>180</v>
      </c>
      <c r="I240" s="102" t="e">
        <f>VLOOKUP(P240&amp;"_"&amp;Q240,活动关卡!$A$4:$Z$27,3+5*MonsterWaveCallRuleCfg!R240,FALSE)</f>
        <v>#N/A</v>
      </c>
      <c r="J240" s="102" t="e">
        <f>VLOOKUP(P240&amp;"_"&amp;Q240,活动关卡!$A$4:$Z$27,4+5*MonsterWaveCallRuleCfg!R240,FALSE)</f>
        <v>#N/A</v>
      </c>
      <c r="K240" s="102" t="e">
        <f t="shared" si="50"/>
        <v>#N/A</v>
      </c>
      <c r="L240" s="102" t="e">
        <f>IF(VLOOKUP(P240&amp;"_"&amp;Q240,活动关卡!$A$4:$Z$27,2+5*R240,FALSE)="","","Monster_Challenge"&amp;P240&amp;"_"&amp;Q240&amp;"_"&amp;R240)</f>
        <v>#N/A</v>
      </c>
      <c r="M240" s="57" t="e">
        <f t="shared" si="51"/>
        <v>#N/A</v>
      </c>
      <c r="O240" s="102" t="e">
        <f>VLOOKUP(P240&amp;"_"&amp;Q240,活动关卡!$A$4:$Z$27,6+5*MonsterWaveCallRuleCfg!R240,FALSE)</f>
        <v>#N/A</v>
      </c>
      <c r="P240" s="110">
        <f t="shared" si="48"/>
        <v>7</v>
      </c>
      <c r="Q240" s="110">
        <f t="shared" si="54"/>
        <v>5</v>
      </c>
      <c r="R240" s="110">
        <v>1</v>
      </c>
    </row>
    <row r="241" spans="2:18" x14ac:dyDescent="0.2">
      <c r="B241" s="57" t="str">
        <f t="shared" si="52"/>
        <v/>
      </c>
      <c r="D241" s="57" t="str">
        <f t="shared" si="53"/>
        <v/>
      </c>
      <c r="F241" s="57" t="str">
        <f t="shared" si="49"/>
        <v/>
      </c>
      <c r="G241" s="102" t="str">
        <f t="shared" si="47"/>
        <v/>
      </c>
      <c r="I241" s="102" t="e">
        <f>VLOOKUP(P241&amp;"_"&amp;Q241,活动关卡!$A$4:$Z$27,3+5*MonsterWaveCallRuleCfg!R241,FALSE)</f>
        <v>#N/A</v>
      </c>
      <c r="J241" s="102" t="e">
        <f>VLOOKUP(P241&amp;"_"&amp;Q241,活动关卡!$A$4:$Z$27,4+5*MonsterWaveCallRuleCfg!R241,FALSE)</f>
        <v>#N/A</v>
      </c>
      <c r="K241" s="102" t="e">
        <f t="shared" si="50"/>
        <v>#N/A</v>
      </c>
      <c r="L241" s="102" t="e">
        <f>IF(VLOOKUP(P241&amp;"_"&amp;Q241,活动关卡!$A$4:$Z$27,2+5*R241,FALSE)="","","Monster_Challenge"&amp;P241&amp;"_"&amp;Q241&amp;"_"&amp;R241)</f>
        <v>#N/A</v>
      </c>
      <c r="M241" s="57" t="e">
        <f t="shared" si="51"/>
        <v>#N/A</v>
      </c>
      <c r="O241" s="102" t="e">
        <f>VLOOKUP(P241&amp;"_"&amp;Q241,活动关卡!$A$4:$Z$27,6+5*MonsterWaveCallRuleCfg!R241,FALSE)</f>
        <v>#N/A</v>
      </c>
      <c r="P241" s="110">
        <f t="shared" si="48"/>
        <v>7</v>
      </c>
      <c r="Q241" s="110">
        <f t="shared" si="54"/>
        <v>5</v>
      </c>
      <c r="R241" s="110">
        <v>2</v>
      </c>
    </row>
    <row r="242" spans="2:18" x14ac:dyDescent="0.2">
      <c r="B242" s="57" t="str">
        <f t="shared" si="52"/>
        <v/>
      </c>
      <c r="D242" s="57" t="str">
        <f t="shared" si="53"/>
        <v/>
      </c>
      <c r="F242" s="57" t="str">
        <f t="shared" si="49"/>
        <v/>
      </c>
      <c r="G242" s="102" t="str">
        <f t="shared" si="47"/>
        <v/>
      </c>
      <c r="I242" s="102" t="e">
        <f>VLOOKUP(P242&amp;"_"&amp;Q242,活动关卡!$A$4:$Z$27,3+5*MonsterWaveCallRuleCfg!R242,FALSE)</f>
        <v>#N/A</v>
      </c>
      <c r="J242" s="102" t="e">
        <f>VLOOKUP(P242&amp;"_"&amp;Q242,活动关卡!$A$4:$Z$27,4+5*MonsterWaveCallRuleCfg!R242,FALSE)</f>
        <v>#N/A</v>
      </c>
      <c r="K242" s="102" t="e">
        <f t="shared" si="50"/>
        <v>#N/A</v>
      </c>
      <c r="L242" s="102" t="e">
        <f>IF(VLOOKUP(P242&amp;"_"&amp;Q242,活动关卡!$A$4:$Z$27,2+5*R242,FALSE)="","","Monster_Challenge"&amp;P242&amp;"_"&amp;Q242&amp;"_"&amp;R242)</f>
        <v>#N/A</v>
      </c>
      <c r="M242" s="57" t="e">
        <f t="shared" si="51"/>
        <v>#N/A</v>
      </c>
      <c r="O242" s="102" t="e">
        <f>VLOOKUP(P242&amp;"_"&amp;Q242,活动关卡!$A$4:$Z$27,6+5*MonsterWaveCallRuleCfg!R242,FALSE)</f>
        <v>#N/A</v>
      </c>
      <c r="P242" s="110">
        <f t="shared" si="48"/>
        <v>7</v>
      </c>
      <c r="Q242" s="110">
        <f t="shared" si="54"/>
        <v>5</v>
      </c>
      <c r="R242" s="110">
        <v>3</v>
      </c>
    </row>
    <row r="243" spans="2:18" x14ac:dyDescent="0.2">
      <c r="B243" s="57" t="str">
        <f t="shared" si="52"/>
        <v/>
      </c>
      <c r="D243" s="57" t="str">
        <f t="shared" si="53"/>
        <v/>
      </c>
      <c r="F243" s="57" t="str">
        <f t="shared" si="49"/>
        <v/>
      </c>
      <c r="G243" s="102" t="str">
        <f t="shared" si="47"/>
        <v/>
      </c>
      <c r="I243" s="102" t="e">
        <f>VLOOKUP(P243&amp;"_"&amp;Q243,活动关卡!$A$4:$Z$27,3+5*MonsterWaveCallRuleCfg!R243,FALSE)</f>
        <v>#N/A</v>
      </c>
      <c r="J243" s="102" t="e">
        <f>VLOOKUP(P243&amp;"_"&amp;Q243,活动关卡!$A$4:$Z$27,4+5*MonsterWaveCallRuleCfg!R243,FALSE)</f>
        <v>#N/A</v>
      </c>
      <c r="K243" s="102" t="e">
        <f t="shared" si="50"/>
        <v>#N/A</v>
      </c>
      <c r="L243" s="102" t="e">
        <f>IF(VLOOKUP(P243&amp;"_"&amp;Q243,活动关卡!$A$4:$Z$27,2+5*R243,FALSE)="","","Monster_Challenge"&amp;P243&amp;"_"&amp;Q243&amp;"_"&amp;R243)</f>
        <v>#N/A</v>
      </c>
      <c r="M243" s="57" t="e">
        <f t="shared" si="51"/>
        <v>#N/A</v>
      </c>
      <c r="O243" s="102" t="e">
        <f>VLOOKUP(P243&amp;"_"&amp;Q243,活动关卡!$A$4:$Z$27,6+5*MonsterWaveCallRuleCfg!R243,FALSE)</f>
        <v>#N/A</v>
      </c>
      <c r="P243" s="110">
        <f t="shared" si="48"/>
        <v>7</v>
      </c>
      <c r="Q243" s="110">
        <f t="shared" si="54"/>
        <v>5</v>
      </c>
      <c r="R243" s="110">
        <v>4</v>
      </c>
    </row>
    <row r="244" spans="2:18" x14ac:dyDescent="0.2">
      <c r="B244" s="57" t="str">
        <f t="shared" si="52"/>
        <v>MonsterWaveCallRule_Challenge8</v>
      </c>
      <c r="C244" s="57">
        <v>1</v>
      </c>
      <c r="D244" s="57" t="str">
        <f t="shared" si="53"/>
        <v>挑战关卡8第1波</v>
      </c>
      <c r="F244" s="57">
        <f t="shared" si="49"/>
        <v>0</v>
      </c>
      <c r="G244" s="102">
        <f t="shared" si="47"/>
        <v>180</v>
      </c>
      <c r="I244" s="102" t="e">
        <f>VLOOKUP(P244&amp;"_"&amp;Q244,活动关卡!$A$4:$Z$27,3+5*MonsterWaveCallRuleCfg!R244,FALSE)</f>
        <v>#N/A</v>
      </c>
      <c r="J244" s="102" t="e">
        <f>VLOOKUP(P244&amp;"_"&amp;Q244,活动关卡!$A$4:$Z$27,4+5*MonsterWaveCallRuleCfg!R244,FALSE)</f>
        <v>#N/A</v>
      </c>
      <c r="K244" s="102" t="e">
        <f t="shared" si="50"/>
        <v>#N/A</v>
      </c>
      <c r="L244" s="102" t="e">
        <f>IF(VLOOKUP(P244&amp;"_"&amp;Q244,活动关卡!$A$4:$Z$27,2+5*R244,FALSE)="","","Monster_Challenge"&amp;P244&amp;"_"&amp;Q244&amp;"_"&amp;R244)</f>
        <v>#N/A</v>
      </c>
      <c r="M244" s="57" t="e">
        <f t="shared" si="51"/>
        <v>#N/A</v>
      </c>
      <c r="O244" s="102" t="e">
        <f>VLOOKUP(P244&amp;"_"&amp;Q244,活动关卡!$A$4:$Z$27,6+5*MonsterWaveCallRuleCfg!R244,FALSE)</f>
        <v>#N/A</v>
      </c>
      <c r="P244" s="110">
        <f t="shared" si="48"/>
        <v>8</v>
      </c>
      <c r="Q244" s="110">
        <f t="shared" si="54"/>
        <v>1</v>
      </c>
      <c r="R244" s="110">
        <v>1</v>
      </c>
    </row>
    <row r="245" spans="2:18" x14ac:dyDescent="0.2">
      <c r="B245" s="57" t="str">
        <f t="shared" si="52"/>
        <v/>
      </c>
      <c r="D245" s="57" t="str">
        <f t="shared" si="53"/>
        <v/>
      </c>
      <c r="F245" s="57" t="str">
        <f t="shared" si="49"/>
        <v/>
      </c>
      <c r="G245" s="102" t="str">
        <f t="shared" si="47"/>
        <v/>
      </c>
      <c r="I245" s="102" t="e">
        <f>VLOOKUP(P245&amp;"_"&amp;Q245,活动关卡!$A$4:$Z$27,3+5*MonsterWaveCallRuleCfg!R245,FALSE)</f>
        <v>#N/A</v>
      </c>
      <c r="J245" s="102" t="e">
        <f>VLOOKUP(P245&amp;"_"&amp;Q245,活动关卡!$A$4:$Z$27,4+5*MonsterWaveCallRuleCfg!R245,FALSE)</f>
        <v>#N/A</v>
      </c>
      <c r="K245" s="102" t="e">
        <f t="shared" si="50"/>
        <v>#N/A</v>
      </c>
      <c r="L245" s="102" t="e">
        <f>IF(VLOOKUP(P245&amp;"_"&amp;Q245,活动关卡!$A$4:$Z$27,2+5*R245,FALSE)="","","Monster_Challenge"&amp;P245&amp;"_"&amp;Q245&amp;"_"&amp;R245)</f>
        <v>#N/A</v>
      </c>
      <c r="M245" s="57" t="e">
        <f t="shared" si="51"/>
        <v>#N/A</v>
      </c>
      <c r="O245" s="102" t="e">
        <f>VLOOKUP(P245&amp;"_"&amp;Q245,活动关卡!$A$4:$Z$27,6+5*MonsterWaveCallRuleCfg!R245,FALSE)</f>
        <v>#N/A</v>
      </c>
      <c r="P245" s="110">
        <f t="shared" si="48"/>
        <v>8</v>
      </c>
      <c r="Q245" s="110">
        <f t="shared" si="54"/>
        <v>1</v>
      </c>
      <c r="R245" s="110">
        <v>2</v>
      </c>
    </row>
    <row r="246" spans="2:18" x14ac:dyDescent="0.2">
      <c r="B246" s="57" t="str">
        <f t="shared" si="52"/>
        <v/>
      </c>
      <c r="D246" s="57" t="str">
        <f t="shared" si="53"/>
        <v/>
      </c>
      <c r="F246" s="57" t="str">
        <f t="shared" si="49"/>
        <v/>
      </c>
      <c r="G246" s="102" t="str">
        <f t="shared" si="47"/>
        <v/>
      </c>
      <c r="I246" s="102" t="e">
        <f>VLOOKUP(P246&amp;"_"&amp;Q246,活动关卡!$A$4:$Z$27,3+5*MonsterWaveCallRuleCfg!R246,FALSE)</f>
        <v>#N/A</v>
      </c>
      <c r="J246" s="102" t="e">
        <f>VLOOKUP(P246&amp;"_"&amp;Q246,活动关卡!$A$4:$Z$27,4+5*MonsterWaveCallRuleCfg!R246,FALSE)</f>
        <v>#N/A</v>
      </c>
      <c r="K246" s="102" t="e">
        <f t="shared" si="50"/>
        <v>#N/A</v>
      </c>
      <c r="L246" s="102" t="e">
        <f>IF(VLOOKUP(P246&amp;"_"&amp;Q246,活动关卡!$A$4:$Z$27,2+5*R246,FALSE)="","","Monster_Challenge"&amp;P246&amp;"_"&amp;Q246&amp;"_"&amp;R246)</f>
        <v>#N/A</v>
      </c>
      <c r="M246" s="57" t="e">
        <f t="shared" si="51"/>
        <v>#N/A</v>
      </c>
      <c r="O246" s="102" t="e">
        <f>VLOOKUP(P246&amp;"_"&amp;Q246,活动关卡!$A$4:$Z$27,6+5*MonsterWaveCallRuleCfg!R246,FALSE)</f>
        <v>#N/A</v>
      </c>
      <c r="P246" s="110">
        <f t="shared" si="48"/>
        <v>8</v>
      </c>
      <c r="Q246" s="110">
        <f t="shared" si="54"/>
        <v>1</v>
      </c>
      <c r="R246" s="110">
        <v>3</v>
      </c>
    </row>
    <row r="247" spans="2:18" x14ac:dyDescent="0.2">
      <c r="B247" s="57" t="str">
        <f t="shared" si="52"/>
        <v/>
      </c>
      <c r="D247" s="57" t="str">
        <f t="shared" si="53"/>
        <v/>
      </c>
      <c r="F247" s="57" t="str">
        <f t="shared" si="49"/>
        <v/>
      </c>
      <c r="G247" s="102" t="str">
        <f t="shared" si="47"/>
        <v/>
      </c>
      <c r="I247" s="102" t="e">
        <f>VLOOKUP(P247&amp;"_"&amp;Q247,活动关卡!$A$4:$Z$27,3+5*MonsterWaveCallRuleCfg!R247,FALSE)</f>
        <v>#N/A</v>
      </c>
      <c r="J247" s="102" t="e">
        <f>VLOOKUP(P247&amp;"_"&amp;Q247,活动关卡!$A$4:$Z$27,4+5*MonsterWaveCallRuleCfg!R247,FALSE)</f>
        <v>#N/A</v>
      </c>
      <c r="K247" s="102" t="e">
        <f t="shared" si="50"/>
        <v>#N/A</v>
      </c>
      <c r="L247" s="102" t="e">
        <f>IF(VLOOKUP(P247&amp;"_"&amp;Q247,活动关卡!$A$4:$Z$27,2+5*R247,FALSE)="","","Monster_Challenge"&amp;P247&amp;"_"&amp;Q247&amp;"_"&amp;R247)</f>
        <v>#N/A</v>
      </c>
      <c r="M247" s="57" t="e">
        <f t="shared" si="51"/>
        <v>#N/A</v>
      </c>
      <c r="O247" s="102" t="e">
        <f>VLOOKUP(P247&amp;"_"&amp;Q247,活动关卡!$A$4:$Z$27,6+5*MonsterWaveCallRuleCfg!R247,FALSE)</f>
        <v>#N/A</v>
      </c>
      <c r="P247" s="110">
        <f t="shared" si="48"/>
        <v>8</v>
      </c>
      <c r="Q247" s="110">
        <f t="shared" si="54"/>
        <v>1</v>
      </c>
      <c r="R247" s="110">
        <v>4</v>
      </c>
    </row>
    <row r="248" spans="2:18" x14ac:dyDescent="0.2">
      <c r="B248" s="57" t="str">
        <f t="shared" si="52"/>
        <v>MonsterWaveCallRule_Challenge8</v>
      </c>
      <c r="C248" s="57">
        <v>2</v>
      </c>
      <c r="D248" s="57" t="str">
        <f t="shared" si="53"/>
        <v>挑战关卡8第2波</v>
      </c>
      <c r="F248" s="57">
        <f t="shared" si="49"/>
        <v>0</v>
      </c>
      <c r="G248" s="102">
        <f t="shared" si="47"/>
        <v>180</v>
      </c>
      <c r="I248" s="102" t="e">
        <f>VLOOKUP(P248&amp;"_"&amp;Q248,活动关卡!$A$4:$Z$27,3+5*MonsterWaveCallRuleCfg!R248,FALSE)</f>
        <v>#N/A</v>
      </c>
      <c r="J248" s="102" t="e">
        <f>VLOOKUP(P248&amp;"_"&amp;Q248,活动关卡!$A$4:$Z$27,4+5*MonsterWaveCallRuleCfg!R248,FALSE)</f>
        <v>#N/A</v>
      </c>
      <c r="K248" s="102" t="e">
        <f t="shared" si="50"/>
        <v>#N/A</v>
      </c>
      <c r="L248" s="102" t="e">
        <f>IF(VLOOKUP(P248&amp;"_"&amp;Q248,活动关卡!$A$4:$Z$27,2+5*R248,FALSE)="","","Monster_Challenge"&amp;P248&amp;"_"&amp;Q248&amp;"_"&amp;R248)</f>
        <v>#N/A</v>
      </c>
      <c r="M248" s="57" t="e">
        <f t="shared" si="51"/>
        <v>#N/A</v>
      </c>
      <c r="O248" s="102" t="e">
        <f>VLOOKUP(P248&amp;"_"&amp;Q248,活动关卡!$A$4:$Z$27,6+5*MonsterWaveCallRuleCfg!R248,FALSE)</f>
        <v>#N/A</v>
      </c>
      <c r="P248" s="110">
        <f t="shared" si="48"/>
        <v>8</v>
      </c>
      <c r="Q248" s="110">
        <f t="shared" si="54"/>
        <v>2</v>
      </c>
      <c r="R248" s="110">
        <v>1</v>
      </c>
    </row>
    <row r="249" spans="2:18" x14ac:dyDescent="0.2">
      <c r="B249" s="57" t="str">
        <f t="shared" si="52"/>
        <v/>
      </c>
      <c r="D249" s="57" t="str">
        <f t="shared" si="53"/>
        <v/>
      </c>
      <c r="F249" s="57" t="str">
        <f t="shared" si="49"/>
        <v/>
      </c>
      <c r="G249" s="102" t="str">
        <f t="shared" si="47"/>
        <v/>
      </c>
      <c r="I249" s="102" t="e">
        <f>VLOOKUP(P249&amp;"_"&amp;Q249,活动关卡!$A$4:$Z$27,3+5*MonsterWaveCallRuleCfg!R249,FALSE)</f>
        <v>#N/A</v>
      </c>
      <c r="J249" s="102" t="e">
        <f>VLOOKUP(P249&amp;"_"&amp;Q249,活动关卡!$A$4:$Z$27,4+5*MonsterWaveCallRuleCfg!R249,FALSE)</f>
        <v>#N/A</v>
      </c>
      <c r="K249" s="102" t="e">
        <f t="shared" si="50"/>
        <v>#N/A</v>
      </c>
      <c r="L249" s="102" t="e">
        <f>IF(VLOOKUP(P249&amp;"_"&amp;Q249,活动关卡!$A$4:$Z$27,2+5*R249,FALSE)="","","Monster_Challenge"&amp;P249&amp;"_"&amp;Q249&amp;"_"&amp;R249)</f>
        <v>#N/A</v>
      </c>
      <c r="M249" s="57" t="e">
        <f t="shared" si="51"/>
        <v>#N/A</v>
      </c>
      <c r="O249" s="102" t="e">
        <f>VLOOKUP(P249&amp;"_"&amp;Q249,活动关卡!$A$4:$Z$27,6+5*MonsterWaveCallRuleCfg!R249,FALSE)</f>
        <v>#N/A</v>
      </c>
      <c r="P249" s="110">
        <f t="shared" si="48"/>
        <v>8</v>
      </c>
      <c r="Q249" s="110">
        <f t="shared" si="54"/>
        <v>2</v>
      </c>
      <c r="R249" s="110">
        <v>2</v>
      </c>
    </row>
    <row r="250" spans="2:18" x14ac:dyDescent="0.2">
      <c r="B250" s="57" t="str">
        <f t="shared" si="52"/>
        <v/>
      </c>
      <c r="D250" s="57" t="str">
        <f t="shared" si="53"/>
        <v/>
      </c>
      <c r="F250" s="57" t="str">
        <f t="shared" si="49"/>
        <v/>
      </c>
      <c r="G250" s="102" t="str">
        <f t="shared" si="47"/>
        <v/>
      </c>
      <c r="I250" s="102" t="e">
        <f>VLOOKUP(P250&amp;"_"&amp;Q250,活动关卡!$A$4:$Z$27,3+5*MonsterWaveCallRuleCfg!R250,FALSE)</f>
        <v>#N/A</v>
      </c>
      <c r="J250" s="102" t="e">
        <f>VLOOKUP(P250&amp;"_"&amp;Q250,活动关卡!$A$4:$Z$27,4+5*MonsterWaveCallRuleCfg!R250,FALSE)</f>
        <v>#N/A</v>
      </c>
      <c r="K250" s="102" t="e">
        <f t="shared" si="50"/>
        <v>#N/A</v>
      </c>
      <c r="L250" s="102" t="e">
        <f>IF(VLOOKUP(P250&amp;"_"&amp;Q250,活动关卡!$A$4:$Z$27,2+5*R250,FALSE)="","","Monster_Challenge"&amp;P250&amp;"_"&amp;Q250&amp;"_"&amp;R250)</f>
        <v>#N/A</v>
      </c>
      <c r="M250" s="57" t="e">
        <f t="shared" si="51"/>
        <v>#N/A</v>
      </c>
      <c r="O250" s="102" t="e">
        <f>VLOOKUP(P250&amp;"_"&amp;Q250,活动关卡!$A$4:$Z$27,6+5*MonsterWaveCallRuleCfg!R250,FALSE)</f>
        <v>#N/A</v>
      </c>
      <c r="P250" s="110">
        <f t="shared" si="48"/>
        <v>8</v>
      </c>
      <c r="Q250" s="110">
        <f t="shared" si="54"/>
        <v>2</v>
      </c>
      <c r="R250" s="110">
        <v>3</v>
      </c>
    </row>
    <row r="251" spans="2:18" x14ac:dyDescent="0.2">
      <c r="B251" s="57" t="str">
        <f t="shared" si="52"/>
        <v/>
      </c>
      <c r="D251" s="57" t="str">
        <f t="shared" si="53"/>
        <v/>
      </c>
      <c r="F251" s="57" t="str">
        <f t="shared" si="49"/>
        <v/>
      </c>
      <c r="G251" s="102" t="str">
        <f t="shared" si="47"/>
        <v/>
      </c>
      <c r="I251" s="102" t="e">
        <f>VLOOKUP(P251&amp;"_"&amp;Q251,活动关卡!$A$4:$Z$27,3+5*MonsterWaveCallRuleCfg!R251,FALSE)</f>
        <v>#N/A</v>
      </c>
      <c r="J251" s="102" t="e">
        <f>VLOOKUP(P251&amp;"_"&amp;Q251,活动关卡!$A$4:$Z$27,4+5*MonsterWaveCallRuleCfg!R251,FALSE)</f>
        <v>#N/A</v>
      </c>
      <c r="K251" s="102" t="e">
        <f t="shared" si="50"/>
        <v>#N/A</v>
      </c>
      <c r="L251" s="102" t="e">
        <f>IF(VLOOKUP(P251&amp;"_"&amp;Q251,活动关卡!$A$4:$Z$27,2+5*R251,FALSE)="","","Monster_Challenge"&amp;P251&amp;"_"&amp;Q251&amp;"_"&amp;R251)</f>
        <v>#N/A</v>
      </c>
      <c r="M251" s="57" t="e">
        <f t="shared" si="51"/>
        <v>#N/A</v>
      </c>
      <c r="O251" s="102" t="e">
        <f>VLOOKUP(P251&amp;"_"&amp;Q251,活动关卡!$A$4:$Z$27,6+5*MonsterWaveCallRuleCfg!R251,FALSE)</f>
        <v>#N/A</v>
      </c>
      <c r="P251" s="110">
        <f t="shared" si="48"/>
        <v>8</v>
      </c>
      <c r="Q251" s="110">
        <f t="shared" si="54"/>
        <v>2</v>
      </c>
      <c r="R251" s="110">
        <v>4</v>
      </c>
    </row>
    <row r="252" spans="2:18" x14ac:dyDescent="0.2">
      <c r="B252" s="57" t="str">
        <f t="shared" si="52"/>
        <v>MonsterWaveCallRule_Challenge8</v>
      </c>
      <c r="C252" s="57">
        <v>3</v>
      </c>
      <c r="D252" s="57" t="str">
        <f t="shared" si="53"/>
        <v>挑战关卡8第3波</v>
      </c>
      <c r="F252" s="57">
        <f t="shared" si="49"/>
        <v>0</v>
      </c>
      <c r="G252" s="102">
        <f t="shared" si="47"/>
        <v>180</v>
      </c>
      <c r="I252" s="102" t="e">
        <f>VLOOKUP(P252&amp;"_"&amp;Q252,活动关卡!$A$4:$Z$27,3+5*MonsterWaveCallRuleCfg!R252,FALSE)</f>
        <v>#N/A</v>
      </c>
      <c r="J252" s="102" t="e">
        <f>VLOOKUP(P252&amp;"_"&amp;Q252,活动关卡!$A$4:$Z$27,4+5*MonsterWaveCallRuleCfg!R252,FALSE)</f>
        <v>#N/A</v>
      </c>
      <c r="K252" s="102" t="e">
        <f t="shared" si="50"/>
        <v>#N/A</v>
      </c>
      <c r="L252" s="102" t="e">
        <f>IF(VLOOKUP(P252&amp;"_"&amp;Q252,活动关卡!$A$4:$Z$27,2+5*R252,FALSE)="","","Monster_Challenge"&amp;P252&amp;"_"&amp;Q252&amp;"_"&amp;R252)</f>
        <v>#N/A</v>
      </c>
      <c r="M252" s="57" t="e">
        <f t="shared" si="51"/>
        <v>#N/A</v>
      </c>
      <c r="O252" s="102" t="e">
        <f>VLOOKUP(P252&amp;"_"&amp;Q252,活动关卡!$A$4:$Z$27,6+5*MonsterWaveCallRuleCfg!R252,FALSE)</f>
        <v>#N/A</v>
      </c>
      <c r="P252" s="110">
        <f t="shared" si="48"/>
        <v>8</v>
      </c>
      <c r="Q252" s="110">
        <f t="shared" si="54"/>
        <v>3</v>
      </c>
      <c r="R252" s="110">
        <v>1</v>
      </c>
    </row>
    <row r="253" spans="2:18" x14ac:dyDescent="0.2">
      <c r="B253" s="57" t="str">
        <f t="shared" si="52"/>
        <v/>
      </c>
      <c r="D253" s="57" t="str">
        <f t="shared" si="53"/>
        <v/>
      </c>
      <c r="F253" s="57" t="str">
        <f t="shared" si="49"/>
        <v/>
      </c>
      <c r="G253" s="102" t="str">
        <f t="shared" si="47"/>
        <v/>
      </c>
      <c r="I253" s="102" t="e">
        <f>VLOOKUP(P253&amp;"_"&amp;Q253,活动关卡!$A$4:$Z$27,3+5*MonsterWaveCallRuleCfg!R253,FALSE)</f>
        <v>#N/A</v>
      </c>
      <c r="J253" s="102" t="e">
        <f>VLOOKUP(P253&amp;"_"&amp;Q253,活动关卡!$A$4:$Z$27,4+5*MonsterWaveCallRuleCfg!R253,FALSE)</f>
        <v>#N/A</v>
      </c>
      <c r="K253" s="102" t="e">
        <f t="shared" si="50"/>
        <v>#N/A</v>
      </c>
      <c r="L253" s="102" t="e">
        <f>IF(VLOOKUP(P253&amp;"_"&amp;Q253,活动关卡!$A$4:$Z$27,2+5*R253,FALSE)="","","Monster_Challenge"&amp;P253&amp;"_"&amp;Q253&amp;"_"&amp;R253)</f>
        <v>#N/A</v>
      </c>
      <c r="M253" s="57" t="e">
        <f t="shared" si="51"/>
        <v>#N/A</v>
      </c>
      <c r="O253" s="102" t="e">
        <f>VLOOKUP(P253&amp;"_"&amp;Q253,活动关卡!$A$4:$Z$27,6+5*MonsterWaveCallRuleCfg!R253,FALSE)</f>
        <v>#N/A</v>
      </c>
      <c r="P253" s="110">
        <f t="shared" si="48"/>
        <v>8</v>
      </c>
      <c r="Q253" s="110">
        <f t="shared" si="54"/>
        <v>3</v>
      </c>
      <c r="R253" s="110">
        <v>2</v>
      </c>
    </row>
    <row r="254" spans="2:18" x14ac:dyDescent="0.2">
      <c r="B254" s="57" t="str">
        <f t="shared" si="52"/>
        <v/>
      </c>
      <c r="D254" s="57" t="str">
        <f t="shared" si="53"/>
        <v/>
      </c>
      <c r="F254" s="57" t="str">
        <f t="shared" si="49"/>
        <v/>
      </c>
      <c r="G254" s="102" t="str">
        <f t="shared" si="47"/>
        <v/>
      </c>
      <c r="I254" s="102" t="e">
        <f>VLOOKUP(P254&amp;"_"&amp;Q254,活动关卡!$A$4:$Z$27,3+5*MonsterWaveCallRuleCfg!R254,FALSE)</f>
        <v>#N/A</v>
      </c>
      <c r="J254" s="102" t="e">
        <f>VLOOKUP(P254&amp;"_"&amp;Q254,活动关卡!$A$4:$Z$27,4+5*MonsterWaveCallRuleCfg!R254,FALSE)</f>
        <v>#N/A</v>
      </c>
      <c r="K254" s="102" t="e">
        <f t="shared" si="50"/>
        <v>#N/A</v>
      </c>
      <c r="L254" s="102" t="e">
        <f>IF(VLOOKUP(P254&amp;"_"&amp;Q254,活动关卡!$A$4:$Z$27,2+5*R254,FALSE)="","","Monster_Challenge"&amp;P254&amp;"_"&amp;Q254&amp;"_"&amp;R254)</f>
        <v>#N/A</v>
      </c>
      <c r="M254" s="57" t="e">
        <f t="shared" si="51"/>
        <v>#N/A</v>
      </c>
      <c r="O254" s="102" t="e">
        <f>VLOOKUP(P254&amp;"_"&amp;Q254,活动关卡!$A$4:$Z$27,6+5*MonsterWaveCallRuleCfg!R254,FALSE)</f>
        <v>#N/A</v>
      </c>
      <c r="P254" s="110">
        <f t="shared" si="48"/>
        <v>8</v>
      </c>
      <c r="Q254" s="110">
        <f t="shared" si="54"/>
        <v>3</v>
      </c>
      <c r="R254" s="110">
        <v>3</v>
      </c>
    </row>
    <row r="255" spans="2:18" x14ac:dyDescent="0.2">
      <c r="B255" s="57" t="str">
        <f t="shared" si="52"/>
        <v/>
      </c>
      <c r="D255" s="57" t="str">
        <f t="shared" si="53"/>
        <v/>
      </c>
      <c r="F255" s="57" t="str">
        <f t="shared" si="49"/>
        <v/>
      </c>
      <c r="G255" s="102" t="str">
        <f t="shared" si="47"/>
        <v/>
      </c>
      <c r="I255" s="102" t="e">
        <f>VLOOKUP(P255&amp;"_"&amp;Q255,活动关卡!$A$4:$Z$27,3+5*MonsterWaveCallRuleCfg!R255,FALSE)</f>
        <v>#N/A</v>
      </c>
      <c r="J255" s="102" t="e">
        <f>VLOOKUP(P255&amp;"_"&amp;Q255,活动关卡!$A$4:$Z$27,4+5*MonsterWaveCallRuleCfg!R255,FALSE)</f>
        <v>#N/A</v>
      </c>
      <c r="K255" s="102" t="e">
        <f t="shared" si="50"/>
        <v>#N/A</v>
      </c>
      <c r="L255" s="102" t="e">
        <f>IF(VLOOKUP(P255&amp;"_"&amp;Q255,活动关卡!$A$4:$Z$27,2+5*R255,FALSE)="","","Monster_Challenge"&amp;P255&amp;"_"&amp;Q255&amp;"_"&amp;R255)</f>
        <v>#N/A</v>
      </c>
      <c r="M255" s="57" t="e">
        <f t="shared" si="51"/>
        <v>#N/A</v>
      </c>
      <c r="O255" s="102" t="e">
        <f>VLOOKUP(P255&amp;"_"&amp;Q255,活动关卡!$A$4:$Z$27,6+5*MonsterWaveCallRuleCfg!R255,FALSE)</f>
        <v>#N/A</v>
      </c>
      <c r="P255" s="110">
        <f t="shared" si="48"/>
        <v>8</v>
      </c>
      <c r="Q255" s="110">
        <f t="shared" si="54"/>
        <v>3</v>
      </c>
      <c r="R255" s="110">
        <v>4</v>
      </c>
    </row>
    <row r="256" spans="2:18" x14ac:dyDescent="0.2">
      <c r="B256" s="57" t="str">
        <f t="shared" si="52"/>
        <v>MonsterWaveCallRule_Challenge8</v>
      </c>
      <c r="C256" s="57">
        <v>4</v>
      </c>
      <c r="D256" s="57" t="str">
        <f t="shared" si="53"/>
        <v>挑战关卡8第4波</v>
      </c>
      <c r="F256" s="57">
        <f t="shared" si="49"/>
        <v>0</v>
      </c>
      <c r="G256" s="102">
        <f t="shared" si="47"/>
        <v>180</v>
      </c>
      <c r="I256" s="102" t="e">
        <f>VLOOKUP(P256&amp;"_"&amp;Q256,活动关卡!$A$4:$Z$27,3+5*MonsterWaveCallRuleCfg!R256,FALSE)</f>
        <v>#N/A</v>
      </c>
      <c r="J256" s="102" t="e">
        <f>VLOOKUP(P256&amp;"_"&amp;Q256,活动关卡!$A$4:$Z$27,4+5*MonsterWaveCallRuleCfg!R256,FALSE)</f>
        <v>#N/A</v>
      </c>
      <c r="K256" s="102" t="e">
        <f t="shared" si="50"/>
        <v>#N/A</v>
      </c>
      <c r="L256" s="102" t="e">
        <f>IF(VLOOKUP(P256&amp;"_"&amp;Q256,活动关卡!$A$4:$Z$27,2+5*R256,FALSE)="","","Monster_Challenge"&amp;P256&amp;"_"&amp;Q256&amp;"_"&amp;R256)</f>
        <v>#N/A</v>
      </c>
      <c r="M256" s="57" t="e">
        <f t="shared" si="51"/>
        <v>#N/A</v>
      </c>
      <c r="O256" s="102" t="e">
        <f>VLOOKUP(P256&amp;"_"&amp;Q256,活动关卡!$A$4:$Z$27,6+5*MonsterWaveCallRuleCfg!R256,FALSE)</f>
        <v>#N/A</v>
      </c>
      <c r="P256" s="110">
        <f t="shared" si="48"/>
        <v>8</v>
      </c>
      <c r="Q256" s="110">
        <f t="shared" si="54"/>
        <v>4</v>
      </c>
      <c r="R256" s="110">
        <v>1</v>
      </c>
    </row>
    <row r="257" spans="2:18" x14ac:dyDescent="0.2">
      <c r="B257" s="57" t="str">
        <f t="shared" si="52"/>
        <v/>
      </c>
      <c r="D257" s="57" t="str">
        <f t="shared" si="53"/>
        <v/>
      </c>
      <c r="F257" s="57" t="str">
        <f t="shared" si="49"/>
        <v/>
      </c>
      <c r="G257" s="102" t="str">
        <f t="shared" si="47"/>
        <v/>
      </c>
      <c r="I257" s="102" t="e">
        <f>VLOOKUP(P257&amp;"_"&amp;Q257,活动关卡!$A$4:$Z$27,3+5*MonsterWaveCallRuleCfg!R257,FALSE)</f>
        <v>#N/A</v>
      </c>
      <c r="J257" s="102" t="e">
        <f>VLOOKUP(P257&amp;"_"&amp;Q257,活动关卡!$A$4:$Z$27,4+5*MonsterWaveCallRuleCfg!R257,FALSE)</f>
        <v>#N/A</v>
      </c>
      <c r="K257" s="102" t="e">
        <f t="shared" si="50"/>
        <v>#N/A</v>
      </c>
      <c r="L257" s="102" t="e">
        <f>IF(VLOOKUP(P257&amp;"_"&amp;Q257,活动关卡!$A$4:$Z$27,2+5*R257,FALSE)="","","Monster_Challenge"&amp;P257&amp;"_"&amp;Q257&amp;"_"&amp;R257)</f>
        <v>#N/A</v>
      </c>
      <c r="M257" s="57" t="e">
        <f t="shared" si="51"/>
        <v>#N/A</v>
      </c>
      <c r="O257" s="102" t="e">
        <f>VLOOKUP(P257&amp;"_"&amp;Q257,活动关卡!$A$4:$Z$27,6+5*MonsterWaveCallRuleCfg!R257,FALSE)</f>
        <v>#N/A</v>
      </c>
      <c r="P257" s="110">
        <f t="shared" si="48"/>
        <v>8</v>
      </c>
      <c r="Q257" s="110">
        <f t="shared" si="54"/>
        <v>4</v>
      </c>
      <c r="R257" s="110">
        <v>2</v>
      </c>
    </row>
    <row r="258" spans="2:18" x14ac:dyDescent="0.2">
      <c r="B258" s="57" t="str">
        <f t="shared" si="52"/>
        <v/>
      </c>
      <c r="D258" s="57" t="str">
        <f t="shared" si="53"/>
        <v/>
      </c>
      <c r="F258" s="57" t="str">
        <f t="shared" si="49"/>
        <v/>
      </c>
      <c r="G258" s="102" t="str">
        <f t="shared" si="47"/>
        <v/>
      </c>
      <c r="I258" s="102" t="e">
        <f>VLOOKUP(P258&amp;"_"&amp;Q258,活动关卡!$A$4:$Z$27,3+5*MonsterWaveCallRuleCfg!R258,FALSE)</f>
        <v>#N/A</v>
      </c>
      <c r="J258" s="102" t="e">
        <f>VLOOKUP(P258&amp;"_"&amp;Q258,活动关卡!$A$4:$Z$27,4+5*MonsterWaveCallRuleCfg!R258,FALSE)</f>
        <v>#N/A</v>
      </c>
      <c r="K258" s="102" t="e">
        <f t="shared" si="50"/>
        <v>#N/A</v>
      </c>
      <c r="L258" s="102" t="e">
        <f>IF(VLOOKUP(P258&amp;"_"&amp;Q258,活动关卡!$A$4:$Z$27,2+5*R258,FALSE)="","","Monster_Challenge"&amp;P258&amp;"_"&amp;Q258&amp;"_"&amp;R258)</f>
        <v>#N/A</v>
      </c>
      <c r="M258" s="57" t="e">
        <f t="shared" si="51"/>
        <v>#N/A</v>
      </c>
      <c r="O258" s="102" t="e">
        <f>VLOOKUP(P258&amp;"_"&amp;Q258,活动关卡!$A$4:$Z$27,6+5*MonsterWaveCallRuleCfg!R258,FALSE)</f>
        <v>#N/A</v>
      </c>
      <c r="P258" s="110">
        <f t="shared" si="48"/>
        <v>8</v>
      </c>
      <c r="Q258" s="110">
        <f t="shared" si="54"/>
        <v>4</v>
      </c>
      <c r="R258" s="110">
        <v>3</v>
      </c>
    </row>
    <row r="259" spans="2:18" x14ac:dyDescent="0.2">
      <c r="B259" s="57" t="str">
        <f t="shared" si="52"/>
        <v/>
      </c>
      <c r="D259" s="57" t="str">
        <f t="shared" si="53"/>
        <v/>
      </c>
      <c r="F259" s="57" t="str">
        <f t="shared" si="49"/>
        <v/>
      </c>
      <c r="G259" s="102" t="str">
        <f t="shared" si="47"/>
        <v/>
      </c>
      <c r="I259" s="102" t="e">
        <f>VLOOKUP(P259&amp;"_"&amp;Q259,活动关卡!$A$4:$Z$27,3+5*MonsterWaveCallRuleCfg!R259,FALSE)</f>
        <v>#N/A</v>
      </c>
      <c r="J259" s="102" t="e">
        <f>VLOOKUP(P259&amp;"_"&amp;Q259,活动关卡!$A$4:$Z$27,4+5*MonsterWaveCallRuleCfg!R259,FALSE)</f>
        <v>#N/A</v>
      </c>
      <c r="K259" s="102" t="e">
        <f t="shared" si="50"/>
        <v>#N/A</v>
      </c>
      <c r="L259" s="102" t="e">
        <f>IF(VLOOKUP(P259&amp;"_"&amp;Q259,活动关卡!$A$4:$Z$27,2+5*R259,FALSE)="","","Monster_Challenge"&amp;P259&amp;"_"&amp;Q259&amp;"_"&amp;R259)</f>
        <v>#N/A</v>
      </c>
      <c r="M259" s="57" t="e">
        <f t="shared" si="51"/>
        <v>#N/A</v>
      </c>
      <c r="O259" s="102" t="e">
        <f>VLOOKUP(P259&amp;"_"&amp;Q259,活动关卡!$A$4:$Z$27,6+5*MonsterWaveCallRuleCfg!R259,FALSE)</f>
        <v>#N/A</v>
      </c>
      <c r="P259" s="110">
        <f t="shared" si="48"/>
        <v>8</v>
      </c>
      <c r="Q259" s="110">
        <f t="shared" si="54"/>
        <v>4</v>
      </c>
      <c r="R259" s="110">
        <v>4</v>
      </c>
    </row>
    <row r="260" spans="2:18" x14ac:dyDescent="0.2">
      <c r="B260" s="57" t="str">
        <f t="shared" si="52"/>
        <v>MonsterWaveCallRule_Challenge8</v>
      </c>
      <c r="C260" s="57">
        <v>5</v>
      </c>
      <c r="D260" s="57" t="str">
        <f t="shared" si="53"/>
        <v>挑战关卡8第5波</v>
      </c>
      <c r="F260" s="57">
        <f t="shared" si="49"/>
        <v>0</v>
      </c>
      <c r="G260" s="102">
        <f t="shared" si="47"/>
        <v>180</v>
      </c>
      <c r="I260" s="102" t="e">
        <f>VLOOKUP(P260&amp;"_"&amp;Q260,活动关卡!$A$4:$Z$27,3+5*MonsterWaveCallRuleCfg!R260,FALSE)</f>
        <v>#N/A</v>
      </c>
      <c r="J260" s="102" t="e">
        <f>VLOOKUP(P260&amp;"_"&amp;Q260,活动关卡!$A$4:$Z$27,4+5*MonsterWaveCallRuleCfg!R260,FALSE)</f>
        <v>#N/A</v>
      </c>
      <c r="K260" s="102" t="e">
        <f t="shared" si="50"/>
        <v>#N/A</v>
      </c>
      <c r="L260" s="102" t="e">
        <f>IF(VLOOKUP(P260&amp;"_"&amp;Q260,活动关卡!$A$4:$Z$27,2+5*R260,FALSE)="","","Monster_Challenge"&amp;P260&amp;"_"&amp;Q260&amp;"_"&amp;R260)</f>
        <v>#N/A</v>
      </c>
      <c r="M260" s="57" t="e">
        <f t="shared" si="51"/>
        <v>#N/A</v>
      </c>
      <c r="O260" s="102" t="e">
        <f>VLOOKUP(P260&amp;"_"&amp;Q260,活动关卡!$A$4:$Z$27,6+5*MonsterWaveCallRuleCfg!R260,FALSE)</f>
        <v>#N/A</v>
      </c>
      <c r="P260" s="110">
        <f t="shared" si="48"/>
        <v>8</v>
      </c>
      <c r="Q260" s="110">
        <f t="shared" si="54"/>
        <v>5</v>
      </c>
      <c r="R260" s="110">
        <v>1</v>
      </c>
    </row>
    <row r="261" spans="2:18" x14ac:dyDescent="0.2">
      <c r="B261" s="57" t="str">
        <f t="shared" si="52"/>
        <v/>
      </c>
      <c r="D261" s="57" t="str">
        <f t="shared" si="53"/>
        <v/>
      </c>
      <c r="F261" s="57" t="str">
        <f t="shared" si="49"/>
        <v/>
      </c>
      <c r="G261" s="102" t="str">
        <f t="shared" si="47"/>
        <v/>
      </c>
      <c r="I261" s="102" t="e">
        <f>VLOOKUP(P261&amp;"_"&amp;Q261,活动关卡!$A$4:$Z$27,3+5*MonsterWaveCallRuleCfg!R261,FALSE)</f>
        <v>#N/A</v>
      </c>
      <c r="J261" s="102" t="e">
        <f>VLOOKUP(P261&amp;"_"&amp;Q261,活动关卡!$A$4:$Z$27,4+5*MonsterWaveCallRuleCfg!R261,FALSE)</f>
        <v>#N/A</v>
      </c>
      <c r="K261" s="102" t="e">
        <f t="shared" si="50"/>
        <v>#N/A</v>
      </c>
      <c r="L261" s="102" t="e">
        <f>IF(VLOOKUP(P261&amp;"_"&amp;Q261,活动关卡!$A$4:$Z$27,2+5*R261,FALSE)="","","Monster_Challenge"&amp;P261&amp;"_"&amp;Q261&amp;"_"&amp;R261)</f>
        <v>#N/A</v>
      </c>
      <c r="M261" s="57" t="e">
        <f t="shared" si="51"/>
        <v>#N/A</v>
      </c>
      <c r="O261" s="102" t="e">
        <f>VLOOKUP(P261&amp;"_"&amp;Q261,活动关卡!$A$4:$Z$27,6+5*MonsterWaveCallRuleCfg!R261,FALSE)</f>
        <v>#N/A</v>
      </c>
      <c r="P261" s="110">
        <f t="shared" si="48"/>
        <v>8</v>
      </c>
      <c r="Q261" s="110">
        <f t="shared" si="54"/>
        <v>5</v>
      </c>
      <c r="R261" s="110">
        <v>2</v>
      </c>
    </row>
    <row r="262" spans="2:18" x14ac:dyDescent="0.2">
      <c r="B262" s="57" t="str">
        <f t="shared" si="52"/>
        <v/>
      </c>
      <c r="D262" s="57" t="str">
        <f t="shared" si="53"/>
        <v/>
      </c>
      <c r="F262" s="57" t="str">
        <f t="shared" si="49"/>
        <v/>
      </c>
      <c r="G262" s="102" t="str">
        <f t="shared" si="47"/>
        <v/>
      </c>
      <c r="I262" s="102" t="e">
        <f>VLOOKUP(P262&amp;"_"&amp;Q262,活动关卡!$A$4:$Z$27,3+5*MonsterWaveCallRuleCfg!R262,FALSE)</f>
        <v>#N/A</v>
      </c>
      <c r="J262" s="102" t="e">
        <f>VLOOKUP(P262&amp;"_"&amp;Q262,活动关卡!$A$4:$Z$27,4+5*MonsterWaveCallRuleCfg!R262,FALSE)</f>
        <v>#N/A</v>
      </c>
      <c r="K262" s="102" t="e">
        <f t="shared" si="50"/>
        <v>#N/A</v>
      </c>
      <c r="L262" s="102" t="e">
        <f>IF(VLOOKUP(P262&amp;"_"&amp;Q262,活动关卡!$A$4:$Z$27,2+5*R262,FALSE)="","","Monster_Challenge"&amp;P262&amp;"_"&amp;Q262&amp;"_"&amp;R262)</f>
        <v>#N/A</v>
      </c>
      <c r="M262" s="57" t="e">
        <f t="shared" si="51"/>
        <v>#N/A</v>
      </c>
      <c r="O262" s="102" t="e">
        <f>VLOOKUP(P262&amp;"_"&amp;Q262,活动关卡!$A$4:$Z$27,6+5*MonsterWaveCallRuleCfg!R262,FALSE)</f>
        <v>#N/A</v>
      </c>
      <c r="P262" s="110">
        <f t="shared" si="48"/>
        <v>8</v>
      </c>
      <c r="Q262" s="110">
        <f t="shared" si="54"/>
        <v>5</v>
      </c>
      <c r="R262" s="110">
        <v>3</v>
      </c>
    </row>
    <row r="263" spans="2:18" x14ac:dyDescent="0.2">
      <c r="B263" s="57" t="str">
        <f t="shared" si="52"/>
        <v/>
      </c>
      <c r="D263" s="57" t="str">
        <f t="shared" si="53"/>
        <v/>
      </c>
      <c r="F263" s="57" t="str">
        <f t="shared" si="49"/>
        <v/>
      </c>
      <c r="G263" s="102" t="str">
        <f t="shared" si="47"/>
        <v/>
      </c>
      <c r="I263" s="102" t="e">
        <f>VLOOKUP(P263&amp;"_"&amp;Q263,活动关卡!$A$4:$Z$27,3+5*MonsterWaveCallRuleCfg!R263,FALSE)</f>
        <v>#N/A</v>
      </c>
      <c r="J263" s="102" t="e">
        <f>VLOOKUP(P263&amp;"_"&amp;Q263,活动关卡!$A$4:$Z$27,4+5*MonsterWaveCallRuleCfg!R263,FALSE)</f>
        <v>#N/A</v>
      </c>
      <c r="K263" s="102" t="e">
        <f t="shared" si="50"/>
        <v>#N/A</v>
      </c>
      <c r="L263" s="102" t="e">
        <f>IF(VLOOKUP(P263&amp;"_"&amp;Q263,活动关卡!$A$4:$Z$27,2+5*R263,FALSE)="","","Monster_Challenge"&amp;P263&amp;"_"&amp;Q263&amp;"_"&amp;R263)</f>
        <v>#N/A</v>
      </c>
      <c r="M263" s="57" t="e">
        <f t="shared" si="51"/>
        <v>#N/A</v>
      </c>
      <c r="O263" s="102" t="e">
        <f>VLOOKUP(P263&amp;"_"&amp;Q263,活动关卡!$A$4:$Z$27,6+5*MonsterWaveCallRuleCfg!R263,FALSE)</f>
        <v>#N/A</v>
      </c>
      <c r="P263" s="110">
        <f t="shared" si="48"/>
        <v>8</v>
      </c>
      <c r="Q263" s="110">
        <f t="shared" si="54"/>
        <v>5</v>
      </c>
      <c r="R263" s="110">
        <v>4</v>
      </c>
    </row>
    <row r="264" spans="2:18" x14ac:dyDescent="0.2">
      <c r="B264" s="57" t="str">
        <f t="shared" si="52"/>
        <v>MonsterWaveCallRule_Challenge9</v>
      </c>
      <c r="C264" s="57">
        <v>1</v>
      </c>
      <c r="D264" s="57" t="str">
        <f t="shared" si="53"/>
        <v>挑战关卡9第1波</v>
      </c>
      <c r="F264" s="57">
        <f t="shared" si="49"/>
        <v>0</v>
      </c>
      <c r="G264" s="102">
        <f t="shared" si="47"/>
        <v>180</v>
      </c>
      <c r="I264" s="102" t="e">
        <f>VLOOKUP(P264&amp;"_"&amp;Q264,活动关卡!$A$4:$Z$27,3+5*MonsterWaveCallRuleCfg!R264,FALSE)</f>
        <v>#N/A</v>
      </c>
      <c r="J264" s="102" t="e">
        <f>VLOOKUP(P264&amp;"_"&amp;Q264,活动关卡!$A$4:$Z$27,4+5*MonsterWaveCallRuleCfg!R264,FALSE)</f>
        <v>#N/A</v>
      </c>
      <c r="K264" s="102" t="e">
        <f t="shared" si="50"/>
        <v>#N/A</v>
      </c>
      <c r="L264" s="102" t="e">
        <f>IF(VLOOKUP(P264&amp;"_"&amp;Q264,活动关卡!$A$4:$Z$27,2+5*R264,FALSE)="","","Monster_Challenge"&amp;P264&amp;"_"&amp;Q264&amp;"_"&amp;R264)</f>
        <v>#N/A</v>
      </c>
      <c r="M264" s="57" t="e">
        <f t="shared" si="51"/>
        <v>#N/A</v>
      </c>
      <c r="O264" s="102" t="e">
        <f>VLOOKUP(P264&amp;"_"&amp;Q264,活动关卡!$A$4:$Z$27,6+5*MonsterWaveCallRuleCfg!R264,FALSE)</f>
        <v>#N/A</v>
      </c>
      <c r="P264" s="110">
        <f t="shared" si="48"/>
        <v>9</v>
      </c>
      <c r="Q264" s="110">
        <f t="shared" si="54"/>
        <v>1</v>
      </c>
      <c r="R264" s="110">
        <v>1</v>
      </c>
    </row>
    <row r="265" spans="2:18" x14ac:dyDescent="0.2">
      <c r="B265" s="57" t="str">
        <f t="shared" si="52"/>
        <v/>
      </c>
      <c r="D265" s="57" t="str">
        <f t="shared" si="53"/>
        <v/>
      </c>
      <c r="F265" s="57" t="str">
        <f t="shared" si="49"/>
        <v/>
      </c>
      <c r="G265" s="102" t="str">
        <f t="shared" si="47"/>
        <v/>
      </c>
      <c r="I265" s="102" t="e">
        <f>VLOOKUP(P265&amp;"_"&amp;Q265,活动关卡!$A$4:$Z$27,3+5*MonsterWaveCallRuleCfg!R265,FALSE)</f>
        <v>#N/A</v>
      </c>
      <c r="J265" s="102" t="e">
        <f>VLOOKUP(P265&amp;"_"&amp;Q265,活动关卡!$A$4:$Z$27,4+5*MonsterWaveCallRuleCfg!R265,FALSE)</f>
        <v>#N/A</v>
      </c>
      <c r="K265" s="102" t="e">
        <f t="shared" si="50"/>
        <v>#N/A</v>
      </c>
      <c r="L265" s="102" t="e">
        <f>IF(VLOOKUP(P265&amp;"_"&amp;Q265,活动关卡!$A$4:$Z$27,2+5*R265,FALSE)="","","Monster_Challenge"&amp;P265&amp;"_"&amp;Q265&amp;"_"&amp;R265)</f>
        <v>#N/A</v>
      </c>
      <c r="M265" s="57" t="e">
        <f t="shared" si="51"/>
        <v>#N/A</v>
      </c>
      <c r="O265" s="102" t="e">
        <f>VLOOKUP(P265&amp;"_"&amp;Q265,活动关卡!$A$4:$Z$27,6+5*MonsterWaveCallRuleCfg!R265,FALSE)</f>
        <v>#N/A</v>
      </c>
      <c r="P265" s="110">
        <f t="shared" si="48"/>
        <v>9</v>
      </c>
      <c r="Q265" s="110">
        <f t="shared" si="54"/>
        <v>1</v>
      </c>
      <c r="R265" s="110">
        <v>2</v>
      </c>
    </row>
    <row r="266" spans="2:18" x14ac:dyDescent="0.2">
      <c r="B266" s="57" t="str">
        <f t="shared" si="52"/>
        <v/>
      </c>
      <c r="D266" s="57" t="str">
        <f t="shared" si="53"/>
        <v/>
      </c>
      <c r="F266" s="57" t="str">
        <f t="shared" si="49"/>
        <v/>
      </c>
      <c r="G266" s="102" t="str">
        <f t="shared" si="47"/>
        <v/>
      </c>
      <c r="I266" s="102" t="e">
        <f>VLOOKUP(P266&amp;"_"&amp;Q266,活动关卡!$A$4:$Z$27,3+5*MonsterWaveCallRuleCfg!R266,FALSE)</f>
        <v>#N/A</v>
      </c>
      <c r="J266" s="102" t="e">
        <f>VLOOKUP(P266&amp;"_"&amp;Q266,活动关卡!$A$4:$Z$27,4+5*MonsterWaveCallRuleCfg!R266,FALSE)</f>
        <v>#N/A</v>
      </c>
      <c r="K266" s="102" t="e">
        <f t="shared" si="50"/>
        <v>#N/A</v>
      </c>
      <c r="L266" s="102" t="e">
        <f>IF(VLOOKUP(P266&amp;"_"&amp;Q266,活动关卡!$A$4:$Z$27,2+5*R266,FALSE)="","","Monster_Challenge"&amp;P266&amp;"_"&amp;Q266&amp;"_"&amp;R266)</f>
        <v>#N/A</v>
      </c>
      <c r="M266" s="57" t="e">
        <f t="shared" si="51"/>
        <v>#N/A</v>
      </c>
      <c r="O266" s="102" t="e">
        <f>VLOOKUP(P266&amp;"_"&amp;Q266,活动关卡!$A$4:$Z$27,6+5*MonsterWaveCallRuleCfg!R266,FALSE)</f>
        <v>#N/A</v>
      </c>
      <c r="P266" s="110">
        <f t="shared" si="48"/>
        <v>9</v>
      </c>
      <c r="Q266" s="110">
        <f t="shared" si="54"/>
        <v>1</v>
      </c>
      <c r="R266" s="110">
        <v>3</v>
      </c>
    </row>
    <row r="267" spans="2:18" x14ac:dyDescent="0.2">
      <c r="B267" s="57" t="str">
        <f t="shared" si="52"/>
        <v/>
      </c>
      <c r="D267" s="57" t="str">
        <f t="shared" si="53"/>
        <v/>
      </c>
      <c r="F267" s="57" t="str">
        <f t="shared" si="49"/>
        <v/>
      </c>
      <c r="G267" s="102" t="str">
        <f t="shared" si="47"/>
        <v/>
      </c>
      <c r="I267" s="102" t="e">
        <f>VLOOKUP(P267&amp;"_"&amp;Q267,活动关卡!$A$4:$Z$27,3+5*MonsterWaveCallRuleCfg!R267,FALSE)</f>
        <v>#N/A</v>
      </c>
      <c r="J267" s="102" t="e">
        <f>VLOOKUP(P267&amp;"_"&amp;Q267,活动关卡!$A$4:$Z$27,4+5*MonsterWaveCallRuleCfg!R267,FALSE)</f>
        <v>#N/A</v>
      </c>
      <c r="K267" s="102" t="e">
        <f t="shared" si="50"/>
        <v>#N/A</v>
      </c>
      <c r="L267" s="102" t="e">
        <f>IF(VLOOKUP(P267&amp;"_"&amp;Q267,活动关卡!$A$4:$Z$27,2+5*R267,FALSE)="","","Monster_Challenge"&amp;P267&amp;"_"&amp;Q267&amp;"_"&amp;R267)</f>
        <v>#N/A</v>
      </c>
      <c r="M267" s="57" t="e">
        <f t="shared" si="51"/>
        <v>#N/A</v>
      </c>
      <c r="O267" s="102" t="e">
        <f>VLOOKUP(P267&amp;"_"&amp;Q267,活动关卡!$A$4:$Z$27,6+5*MonsterWaveCallRuleCfg!R267,FALSE)</f>
        <v>#N/A</v>
      </c>
      <c r="P267" s="110">
        <f t="shared" si="48"/>
        <v>9</v>
      </c>
      <c r="Q267" s="110">
        <f t="shared" si="54"/>
        <v>1</v>
      </c>
      <c r="R267" s="110">
        <v>4</v>
      </c>
    </row>
    <row r="268" spans="2:18" x14ac:dyDescent="0.2">
      <c r="B268" s="57" t="str">
        <f t="shared" si="52"/>
        <v>MonsterWaveCallRule_Challenge9</v>
      </c>
      <c r="C268" s="57">
        <v>2</v>
      </c>
      <c r="D268" s="57" t="str">
        <f t="shared" si="53"/>
        <v>挑战关卡9第2波</v>
      </c>
      <c r="F268" s="57">
        <f t="shared" si="49"/>
        <v>0</v>
      </c>
      <c r="G268" s="102">
        <f t="shared" si="47"/>
        <v>180</v>
      </c>
      <c r="I268" s="102" t="e">
        <f>VLOOKUP(P268&amp;"_"&amp;Q268,活动关卡!$A$4:$Z$27,3+5*MonsterWaveCallRuleCfg!R268,FALSE)</f>
        <v>#N/A</v>
      </c>
      <c r="J268" s="102" t="e">
        <f>VLOOKUP(P268&amp;"_"&amp;Q268,活动关卡!$A$4:$Z$27,4+5*MonsterWaveCallRuleCfg!R268,FALSE)</f>
        <v>#N/A</v>
      </c>
      <c r="K268" s="102" t="e">
        <f t="shared" si="50"/>
        <v>#N/A</v>
      </c>
      <c r="L268" s="102" t="e">
        <f>IF(VLOOKUP(P268&amp;"_"&amp;Q268,活动关卡!$A$4:$Z$27,2+5*R268,FALSE)="","","Monster_Challenge"&amp;P268&amp;"_"&amp;Q268&amp;"_"&amp;R268)</f>
        <v>#N/A</v>
      </c>
      <c r="M268" s="57" t="e">
        <f t="shared" si="51"/>
        <v>#N/A</v>
      </c>
      <c r="O268" s="102" t="e">
        <f>VLOOKUP(P268&amp;"_"&amp;Q268,活动关卡!$A$4:$Z$27,6+5*MonsterWaveCallRuleCfg!R268,FALSE)</f>
        <v>#N/A</v>
      </c>
      <c r="P268" s="110">
        <f t="shared" si="48"/>
        <v>9</v>
      </c>
      <c r="Q268" s="110">
        <f t="shared" si="54"/>
        <v>2</v>
      </c>
      <c r="R268" s="110">
        <v>1</v>
      </c>
    </row>
    <row r="269" spans="2:18" x14ac:dyDescent="0.2">
      <c r="B269" s="57" t="str">
        <f t="shared" si="52"/>
        <v/>
      </c>
      <c r="D269" s="57" t="str">
        <f t="shared" si="53"/>
        <v/>
      </c>
      <c r="F269" s="57" t="str">
        <f t="shared" si="49"/>
        <v/>
      </c>
      <c r="G269" s="102" t="str">
        <f t="shared" ref="G269:G283" si="55">IF(C269="","",180)</f>
        <v/>
      </c>
      <c r="I269" s="102" t="e">
        <f>VLOOKUP(P269&amp;"_"&amp;Q269,活动关卡!$A$4:$Z$27,3+5*MonsterWaveCallRuleCfg!R269,FALSE)</f>
        <v>#N/A</v>
      </c>
      <c r="J269" s="102" t="e">
        <f>VLOOKUP(P269&amp;"_"&amp;Q269,活动关卡!$A$4:$Z$27,4+5*MonsterWaveCallRuleCfg!R269,FALSE)</f>
        <v>#N/A</v>
      </c>
      <c r="K269" s="102" t="e">
        <f t="shared" si="50"/>
        <v>#N/A</v>
      </c>
      <c r="L269" s="102" t="e">
        <f>IF(VLOOKUP(P269&amp;"_"&amp;Q269,活动关卡!$A$4:$Z$27,2+5*R269,FALSE)="","","Monster_Challenge"&amp;P269&amp;"_"&amp;Q269&amp;"_"&amp;R269)</f>
        <v>#N/A</v>
      </c>
      <c r="M269" s="57" t="e">
        <f t="shared" si="51"/>
        <v>#N/A</v>
      </c>
      <c r="O269" s="102" t="e">
        <f>VLOOKUP(P269&amp;"_"&amp;Q269,活动关卡!$A$4:$Z$27,6+5*MonsterWaveCallRuleCfg!R269,FALSE)</f>
        <v>#N/A</v>
      </c>
      <c r="P269" s="110">
        <f t="shared" ref="P269:P303" si="56">P169+5</f>
        <v>9</v>
      </c>
      <c r="Q269" s="110">
        <f t="shared" si="54"/>
        <v>2</v>
      </c>
      <c r="R269" s="110">
        <v>2</v>
      </c>
    </row>
    <row r="270" spans="2:18" x14ac:dyDescent="0.2">
      <c r="B270" s="57" t="str">
        <f t="shared" si="52"/>
        <v/>
      </c>
      <c r="D270" s="57" t="str">
        <f t="shared" si="53"/>
        <v/>
      </c>
      <c r="F270" s="57" t="str">
        <f t="shared" si="49"/>
        <v/>
      </c>
      <c r="G270" s="102" t="str">
        <f t="shared" si="55"/>
        <v/>
      </c>
      <c r="I270" s="102" t="e">
        <f>VLOOKUP(P270&amp;"_"&amp;Q270,活动关卡!$A$4:$Z$27,3+5*MonsterWaveCallRuleCfg!R270,FALSE)</f>
        <v>#N/A</v>
      </c>
      <c r="J270" s="102" t="e">
        <f>VLOOKUP(P270&amp;"_"&amp;Q270,活动关卡!$A$4:$Z$27,4+5*MonsterWaveCallRuleCfg!R270,FALSE)</f>
        <v>#N/A</v>
      </c>
      <c r="K270" s="102" t="e">
        <f t="shared" si="50"/>
        <v>#N/A</v>
      </c>
      <c r="L270" s="102" t="e">
        <f>IF(VLOOKUP(P270&amp;"_"&amp;Q270,活动关卡!$A$4:$Z$27,2+5*R270,FALSE)="","","Monster_Challenge"&amp;P270&amp;"_"&amp;Q270&amp;"_"&amp;R270)</f>
        <v>#N/A</v>
      </c>
      <c r="M270" s="57" t="e">
        <f t="shared" si="51"/>
        <v>#N/A</v>
      </c>
      <c r="O270" s="102" t="e">
        <f>VLOOKUP(P270&amp;"_"&amp;Q270,活动关卡!$A$4:$Z$27,6+5*MonsterWaveCallRuleCfg!R270,FALSE)</f>
        <v>#N/A</v>
      </c>
      <c r="P270" s="110">
        <f t="shared" si="56"/>
        <v>9</v>
      </c>
      <c r="Q270" s="110">
        <f t="shared" si="54"/>
        <v>2</v>
      </c>
      <c r="R270" s="110">
        <v>3</v>
      </c>
    </row>
    <row r="271" spans="2:18" x14ac:dyDescent="0.2">
      <c r="B271" s="57" t="str">
        <f t="shared" si="52"/>
        <v/>
      </c>
      <c r="D271" s="57" t="str">
        <f t="shared" si="53"/>
        <v/>
      </c>
      <c r="F271" s="57" t="str">
        <f t="shared" si="49"/>
        <v/>
      </c>
      <c r="G271" s="102" t="str">
        <f t="shared" si="55"/>
        <v/>
      </c>
      <c r="I271" s="102" t="e">
        <f>VLOOKUP(P271&amp;"_"&amp;Q271,活动关卡!$A$4:$Z$27,3+5*MonsterWaveCallRuleCfg!R271,FALSE)</f>
        <v>#N/A</v>
      </c>
      <c r="J271" s="102" t="e">
        <f>VLOOKUP(P271&amp;"_"&amp;Q271,活动关卡!$A$4:$Z$27,4+5*MonsterWaveCallRuleCfg!R271,FALSE)</f>
        <v>#N/A</v>
      </c>
      <c r="K271" s="102" t="e">
        <f t="shared" si="50"/>
        <v>#N/A</v>
      </c>
      <c r="L271" s="102" t="e">
        <f>IF(VLOOKUP(P271&amp;"_"&amp;Q271,活动关卡!$A$4:$Z$27,2+5*R271,FALSE)="","","Monster_Challenge"&amp;P271&amp;"_"&amp;Q271&amp;"_"&amp;R271)</f>
        <v>#N/A</v>
      </c>
      <c r="M271" s="57" t="e">
        <f t="shared" si="51"/>
        <v>#N/A</v>
      </c>
      <c r="O271" s="102" t="e">
        <f>VLOOKUP(P271&amp;"_"&amp;Q271,活动关卡!$A$4:$Z$27,6+5*MonsterWaveCallRuleCfg!R271,FALSE)</f>
        <v>#N/A</v>
      </c>
      <c r="P271" s="110">
        <f t="shared" si="56"/>
        <v>9</v>
      </c>
      <c r="Q271" s="110">
        <f t="shared" si="54"/>
        <v>2</v>
      </c>
      <c r="R271" s="110">
        <v>4</v>
      </c>
    </row>
    <row r="272" spans="2:18" x14ac:dyDescent="0.2">
      <c r="B272" s="57" t="str">
        <f t="shared" si="52"/>
        <v>MonsterWaveCallRule_Challenge9</v>
      </c>
      <c r="C272" s="57">
        <v>3</v>
      </c>
      <c r="D272" s="57" t="str">
        <f t="shared" si="53"/>
        <v>挑战关卡9第3波</v>
      </c>
      <c r="F272" s="57">
        <f t="shared" si="49"/>
        <v>0</v>
      </c>
      <c r="G272" s="102">
        <f t="shared" si="55"/>
        <v>180</v>
      </c>
      <c r="I272" s="102" t="e">
        <f>VLOOKUP(P272&amp;"_"&amp;Q272,活动关卡!$A$4:$Z$27,3+5*MonsterWaveCallRuleCfg!R272,FALSE)</f>
        <v>#N/A</v>
      </c>
      <c r="J272" s="102" t="e">
        <f>VLOOKUP(P272&amp;"_"&amp;Q272,活动关卡!$A$4:$Z$27,4+5*MonsterWaveCallRuleCfg!R272,FALSE)</f>
        <v>#N/A</v>
      </c>
      <c r="K272" s="102" t="e">
        <f t="shared" si="50"/>
        <v>#N/A</v>
      </c>
      <c r="L272" s="102" t="e">
        <f>IF(VLOOKUP(P272&amp;"_"&amp;Q272,活动关卡!$A$4:$Z$27,2+5*R272,FALSE)="","","Monster_Challenge"&amp;P272&amp;"_"&amp;Q272&amp;"_"&amp;R272)</f>
        <v>#N/A</v>
      </c>
      <c r="M272" s="57" t="e">
        <f t="shared" si="51"/>
        <v>#N/A</v>
      </c>
      <c r="O272" s="102" t="e">
        <f>VLOOKUP(P272&amp;"_"&amp;Q272,活动关卡!$A$4:$Z$27,6+5*MonsterWaveCallRuleCfg!R272,FALSE)</f>
        <v>#N/A</v>
      </c>
      <c r="P272" s="110">
        <f t="shared" si="56"/>
        <v>9</v>
      </c>
      <c r="Q272" s="110">
        <f t="shared" si="54"/>
        <v>3</v>
      </c>
      <c r="R272" s="110">
        <v>1</v>
      </c>
    </row>
    <row r="273" spans="2:18" x14ac:dyDescent="0.2">
      <c r="B273" s="57" t="str">
        <f t="shared" si="52"/>
        <v/>
      </c>
      <c r="D273" s="57" t="str">
        <f t="shared" si="53"/>
        <v/>
      </c>
      <c r="F273" s="57" t="str">
        <f t="shared" si="49"/>
        <v/>
      </c>
      <c r="G273" s="102" t="str">
        <f t="shared" si="55"/>
        <v/>
      </c>
      <c r="I273" s="102" t="e">
        <f>VLOOKUP(P273&amp;"_"&amp;Q273,活动关卡!$A$4:$Z$27,3+5*MonsterWaveCallRuleCfg!R273,FALSE)</f>
        <v>#N/A</v>
      </c>
      <c r="J273" s="102" t="e">
        <f>VLOOKUP(P273&amp;"_"&amp;Q273,活动关卡!$A$4:$Z$27,4+5*MonsterWaveCallRuleCfg!R273,FALSE)</f>
        <v>#N/A</v>
      </c>
      <c r="K273" s="102" t="e">
        <f t="shared" si="50"/>
        <v>#N/A</v>
      </c>
      <c r="L273" s="102" t="e">
        <f>IF(VLOOKUP(P273&amp;"_"&amp;Q273,活动关卡!$A$4:$Z$27,2+5*R273,FALSE)="","","Monster_Challenge"&amp;P273&amp;"_"&amp;Q273&amp;"_"&amp;R273)</f>
        <v>#N/A</v>
      </c>
      <c r="M273" s="57" t="e">
        <f t="shared" si="51"/>
        <v>#N/A</v>
      </c>
      <c r="O273" s="102" t="e">
        <f>VLOOKUP(P273&amp;"_"&amp;Q273,活动关卡!$A$4:$Z$27,6+5*MonsterWaveCallRuleCfg!R273,FALSE)</f>
        <v>#N/A</v>
      </c>
      <c r="P273" s="110">
        <f t="shared" si="56"/>
        <v>9</v>
      </c>
      <c r="Q273" s="110">
        <f t="shared" si="54"/>
        <v>3</v>
      </c>
      <c r="R273" s="110">
        <v>2</v>
      </c>
    </row>
    <row r="274" spans="2:18" x14ac:dyDescent="0.2">
      <c r="B274" s="57" t="str">
        <f t="shared" si="52"/>
        <v/>
      </c>
      <c r="D274" s="57" t="str">
        <f t="shared" si="53"/>
        <v/>
      </c>
      <c r="F274" s="57" t="str">
        <f t="shared" si="49"/>
        <v/>
      </c>
      <c r="G274" s="102" t="str">
        <f t="shared" si="55"/>
        <v/>
      </c>
      <c r="I274" s="102" t="e">
        <f>VLOOKUP(P274&amp;"_"&amp;Q274,活动关卡!$A$4:$Z$27,3+5*MonsterWaveCallRuleCfg!R274,FALSE)</f>
        <v>#N/A</v>
      </c>
      <c r="J274" s="102" t="e">
        <f>VLOOKUP(P274&amp;"_"&amp;Q274,活动关卡!$A$4:$Z$27,4+5*MonsterWaveCallRuleCfg!R274,FALSE)</f>
        <v>#N/A</v>
      </c>
      <c r="K274" s="102" t="e">
        <f t="shared" si="50"/>
        <v>#N/A</v>
      </c>
      <c r="L274" s="102" t="e">
        <f>IF(VLOOKUP(P274&amp;"_"&amp;Q274,活动关卡!$A$4:$Z$27,2+5*R274,FALSE)="","","Monster_Challenge"&amp;P274&amp;"_"&amp;Q274&amp;"_"&amp;R274)</f>
        <v>#N/A</v>
      </c>
      <c r="M274" s="57" t="e">
        <f t="shared" si="51"/>
        <v>#N/A</v>
      </c>
      <c r="O274" s="102" t="e">
        <f>VLOOKUP(P274&amp;"_"&amp;Q274,活动关卡!$A$4:$Z$27,6+5*MonsterWaveCallRuleCfg!R274,FALSE)</f>
        <v>#N/A</v>
      </c>
      <c r="P274" s="110">
        <f t="shared" si="56"/>
        <v>9</v>
      </c>
      <c r="Q274" s="110">
        <f t="shared" si="54"/>
        <v>3</v>
      </c>
      <c r="R274" s="110">
        <v>3</v>
      </c>
    </row>
    <row r="275" spans="2:18" x14ac:dyDescent="0.2">
      <c r="B275" s="57" t="str">
        <f t="shared" si="52"/>
        <v/>
      </c>
      <c r="D275" s="57" t="str">
        <f t="shared" si="53"/>
        <v/>
      </c>
      <c r="F275" s="57" t="str">
        <f t="shared" si="49"/>
        <v/>
      </c>
      <c r="G275" s="102" t="str">
        <f t="shared" si="55"/>
        <v/>
      </c>
      <c r="I275" s="102" t="e">
        <f>VLOOKUP(P275&amp;"_"&amp;Q275,活动关卡!$A$4:$Z$27,3+5*MonsterWaveCallRuleCfg!R275,FALSE)</f>
        <v>#N/A</v>
      </c>
      <c r="J275" s="102" t="e">
        <f>VLOOKUP(P275&amp;"_"&amp;Q275,活动关卡!$A$4:$Z$27,4+5*MonsterWaveCallRuleCfg!R275,FALSE)</f>
        <v>#N/A</v>
      </c>
      <c r="K275" s="102" t="e">
        <f t="shared" si="50"/>
        <v>#N/A</v>
      </c>
      <c r="L275" s="102" t="e">
        <f>IF(VLOOKUP(P275&amp;"_"&amp;Q275,活动关卡!$A$4:$Z$27,2+5*R275,FALSE)="","","Monster_Challenge"&amp;P275&amp;"_"&amp;Q275&amp;"_"&amp;R275)</f>
        <v>#N/A</v>
      </c>
      <c r="M275" s="57" t="e">
        <f t="shared" si="51"/>
        <v>#N/A</v>
      </c>
      <c r="O275" s="102" t="e">
        <f>VLOOKUP(P275&amp;"_"&amp;Q275,活动关卡!$A$4:$Z$27,6+5*MonsterWaveCallRuleCfg!R275,FALSE)</f>
        <v>#N/A</v>
      </c>
      <c r="P275" s="110">
        <f t="shared" si="56"/>
        <v>9</v>
      </c>
      <c r="Q275" s="110">
        <f t="shared" si="54"/>
        <v>3</v>
      </c>
      <c r="R275" s="110">
        <v>4</v>
      </c>
    </row>
    <row r="276" spans="2:18" x14ac:dyDescent="0.2">
      <c r="B276" s="57" t="str">
        <f t="shared" si="52"/>
        <v>MonsterWaveCallRule_Challenge9</v>
      </c>
      <c r="C276" s="57">
        <v>4</v>
      </c>
      <c r="D276" s="57" t="str">
        <f t="shared" si="53"/>
        <v>挑战关卡9第4波</v>
      </c>
      <c r="F276" s="57">
        <f t="shared" si="49"/>
        <v>0</v>
      </c>
      <c r="G276" s="102">
        <f t="shared" si="55"/>
        <v>180</v>
      </c>
      <c r="I276" s="102" t="e">
        <f>VLOOKUP(P276&amp;"_"&amp;Q276,活动关卡!$A$4:$Z$27,3+5*MonsterWaveCallRuleCfg!R276,FALSE)</f>
        <v>#N/A</v>
      </c>
      <c r="J276" s="102" t="e">
        <f>VLOOKUP(P276&amp;"_"&amp;Q276,活动关卡!$A$4:$Z$27,4+5*MonsterWaveCallRuleCfg!R276,FALSE)</f>
        <v>#N/A</v>
      </c>
      <c r="K276" s="102" t="e">
        <f t="shared" si="50"/>
        <v>#N/A</v>
      </c>
      <c r="L276" s="102" t="e">
        <f>IF(VLOOKUP(P276&amp;"_"&amp;Q276,活动关卡!$A$4:$Z$27,2+5*R276,FALSE)="","","Monster_Challenge"&amp;P276&amp;"_"&amp;Q276&amp;"_"&amp;R276)</f>
        <v>#N/A</v>
      </c>
      <c r="M276" s="57" t="e">
        <f t="shared" si="51"/>
        <v>#N/A</v>
      </c>
      <c r="O276" s="102" t="e">
        <f>VLOOKUP(P276&amp;"_"&amp;Q276,活动关卡!$A$4:$Z$27,6+5*MonsterWaveCallRuleCfg!R276,FALSE)</f>
        <v>#N/A</v>
      </c>
      <c r="P276" s="110">
        <f t="shared" si="56"/>
        <v>9</v>
      </c>
      <c r="Q276" s="110">
        <f t="shared" si="54"/>
        <v>4</v>
      </c>
      <c r="R276" s="110">
        <v>1</v>
      </c>
    </row>
    <row r="277" spans="2:18" x14ac:dyDescent="0.2">
      <c r="B277" s="57" t="str">
        <f t="shared" si="52"/>
        <v/>
      </c>
      <c r="D277" s="57" t="str">
        <f t="shared" si="53"/>
        <v/>
      </c>
      <c r="F277" s="57" t="str">
        <f t="shared" si="49"/>
        <v/>
      </c>
      <c r="G277" s="102" t="str">
        <f t="shared" si="55"/>
        <v/>
      </c>
      <c r="I277" s="102" t="e">
        <f>VLOOKUP(P277&amp;"_"&amp;Q277,活动关卡!$A$4:$Z$27,3+5*MonsterWaveCallRuleCfg!R277,FALSE)</f>
        <v>#N/A</v>
      </c>
      <c r="J277" s="102" t="e">
        <f>VLOOKUP(P277&amp;"_"&amp;Q277,活动关卡!$A$4:$Z$27,4+5*MonsterWaveCallRuleCfg!R277,FALSE)</f>
        <v>#N/A</v>
      </c>
      <c r="K277" s="102" t="e">
        <f t="shared" si="50"/>
        <v>#N/A</v>
      </c>
      <c r="L277" s="102" t="e">
        <f>IF(VLOOKUP(P277&amp;"_"&amp;Q277,活动关卡!$A$4:$Z$27,2+5*R277,FALSE)="","","Monster_Challenge"&amp;P277&amp;"_"&amp;Q277&amp;"_"&amp;R277)</f>
        <v>#N/A</v>
      </c>
      <c r="M277" s="57" t="e">
        <f t="shared" si="51"/>
        <v>#N/A</v>
      </c>
      <c r="O277" s="102" t="e">
        <f>VLOOKUP(P277&amp;"_"&amp;Q277,活动关卡!$A$4:$Z$27,6+5*MonsterWaveCallRuleCfg!R277,FALSE)</f>
        <v>#N/A</v>
      </c>
      <c r="P277" s="110">
        <f t="shared" si="56"/>
        <v>9</v>
      </c>
      <c r="Q277" s="110">
        <f t="shared" si="54"/>
        <v>4</v>
      </c>
      <c r="R277" s="110">
        <v>2</v>
      </c>
    </row>
    <row r="278" spans="2:18" x14ac:dyDescent="0.2">
      <c r="B278" s="57" t="str">
        <f t="shared" si="52"/>
        <v/>
      </c>
      <c r="D278" s="57" t="str">
        <f t="shared" si="53"/>
        <v/>
      </c>
      <c r="F278" s="57" t="str">
        <f t="shared" si="49"/>
        <v/>
      </c>
      <c r="G278" s="102" t="str">
        <f t="shared" si="55"/>
        <v/>
      </c>
      <c r="I278" s="102" t="e">
        <f>VLOOKUP(P278&amp;"_"&amp;Q278,活动关卡!$A$4:$Z$27,3+5*MonsterWaveCallRuleCfg!R278,FALSE)</f>
        <v>#N/A</v>
      </c>
      <c r="J278" s="102" t="e">
        <f>VLOOKUP(P278&amp;"_"&amp;Q278,活动关卡!$A$4:$Z$27,4+5*MonsterWaveCallRuleCfg!R278,FALSE)</f>
        <v>#N/A</v>
      </c>
      <c r="K278" s="102" t="e">
        <f t="shared" si="50"/>
        <v>#N/A</v>
      </c>
      <c r="L278" s="102" t="e">
        <f>IF(VLOOKUP(P278&amp;"_"&amp;Q278,活动关卡!$A$4:$Z$27,2+5*R278,FALSE)="","","Monster_Challenge"&amp;P278&amp;"_"&amp;Q278&amp;"_"&amp;R278)</f>
        <v>#N/A</v>
      </c>
      <c r="M278" s="57" t="e">
        <f t="shared" si="51"/>
        <v>#N/A</v>
      </c>
      <c r="O278" s="102" t="e">
        <f>VLOOKUP(P278&amp;"_"&amp;Q278,活动关卡!$A$4:$Z$27,6+5*MonsterWaveCallRuleCfg!R278,FALSE)</f>
        <v>#N/A</v>
      </c>
      <c r="P278" s="110">
        <f t="shared" si="56"/>
        <v>9</v>
      </c>
      <c r="Q278" s="110">
        <f t="shared" si="54"/>
        <v>4</v>
      </c>
      <c r="R278" s="110">
        <v>3</v>
      </c>
    </row>
    <row r="279" spans="2:18" x14ac:dyDescent="0.2">
      <c r="B279" s="57" t="str">
        <f t="shared" si="52"/>
        <v/>
      </c>
      <c r="D279" s="57" t="str">
        <f t="shared" si="53"/>
        <v/>
      </c>
      <c r="F279" s="57" t="str">
        <f t="shared" si="49"/>
        <v/>
      </c>
      <c r="G279" s="102" t="str">
        <f t="shared" si="55"/>
        <v/>
      </c>
      <c r="I279" s="102" t="e">
        <f>VLOOKUP(P279&amp;"_"&amp;Q279,活动关卡!$A$4:$Z$27,3+5*MonsterWaveCallRuleCfg!R279,FALSE)</f>
        <v>#N/A</v>
      </c>
      <c r="J279" s="102" t="e">
        <f>VLOOKUP(P279&amp;"_"&amp;Q279,活动关卡!$A$4:$Z$27,4+5*MonsterWaveCallRuleCfg!R279,FALSE)</f>
        <v>#N/A</v>
      </c>
      <c r="K279" s="102" t="e">
        <f t="shared" si="50"/>
        <v>#N/A</v>
      </c>
      <c r="L279" s="102" t="e">
        <f>IF(VLOOKUP(P279&amp;"_"&amp;Q279,活动关卡!$A$4:$Z$27,2+5*R279,FALSE)="","","Monster_Challenge"&amp;P279&amp;"_"&amp;Q279&amp;"_"&amp;R279)</f>
        <v>#N/A</v>
      </c>
      <c r="M279" s="57" t="e">
        <f t="shared" si="51"/>
        <v>#N/A</v>
      </c>
      <c r="O279" s="102" t="e">
        <f>VLOOKUP(P279&amp;"_"&amp;Q279,活动关卡!$A$4:$Z$27,6+5*MonsterWaveCallRuleCfg!R279,FALSE)</f>
        <v>#N/A</v>
      </c>
      <c r="P279" s="110">
        <f t="shared" si="56"/>
        <v>9</v>
      </c>
      <c r="Q279" s="110">
        <f t="shared" si="54"/>
        <v>4</v>
      </c>
      <c r="R279" s="110">
        <v>4</v>
      </c>
    </row>
    <row r="280" spans="2:18" x14ac:dyDescent="0.2">
      <c r="B280" s="57" t="str">
        <f t="shared" si="52"/>
        <v>MonsterWaveCallRule_Challenge9</v>
      </c>
      <c r="C280" s="57">
        <v>5</v>
      </c>
      <c r="D280" s="57" t="str">
        <f t="shared" si="53"/>
        <v>挑战关卡9第5波</v>
      </c>
      <c r="F280" s="57">
        <f t="shared" ref="F280:F303" si="57">IF(C280="","",0)</f>
        <v>0</v>
      </c>
      <c r="G280" s="102">
        <f t="shared" si="55"/>
        <v>180</v>
      </c>
      <c r="I280" s="102" t="e">
        <f>VLOOKUP(P280&amp;"_"&amp;Q280,活动关卡!$A$4:$Z$27,3+5*MonsterWaveCallRuleCfg!R280,FALSE)</f>
        <v>#N/A</v>
      </c>
      <c r="J280" s="102" t="e">
        <f>VLOOKUP(P280&amp;"_"&amp;Q280,活动关卡!$A$4:$Z$27,4+5*MonsterWaveCallRuleCfg!R280,FALSE)</f>
        <v>#N/A</v>
      </c>
      <c r="K280" s="102" t="e">
        <f t="shared" ref="K280:K303" si="58">IF(I280="","",1)</f>
        <v>#N/A</v>
      </c>
      <c r="L280" s="102" t="e">
        <f>IF(VLOOKUP(P280&amp;"_"&amp;Q280,活动关卡!$A$4:$Z$27,2+5*R280,FALSE)="","","Monster_Challenge"&amp;P280&amp;"_"&amp;Q280&amp;"_"&amp;R280)</f>
        <v>#N/A</v>
      </c>
      <c r="M280" s="57" t="e">
        <f t="shared" ref="M280:M303" si="59">IF(I280="","",1)</f>
        <v>#N/A</v>
      </c>
      <c r="O280" s="102" t="e">
        <f>VLOOKUP(P280&amp;"_"&amp;Q280,活动关卡!$A$4:$Z$27,6+5*MonsterWaveCallRuleCfg!R280,FALSE)</f>
        <v>#N/A</v>
      </c>
      <c r="P280" s="110">
        <f t="shared" si="56"/>
        <v>9</v>
      </c>
      <c r="Q280" s="110">
        <f t="shared" si="54"/>
        <v>5</v>
      </c>
      <c r="R280" s="110">
        <v>1</v>
      </c>
    </row>
    <row r="281" spans="2:18" x14ac:dyDescent="0.2">
      <c r="B281" s="57" t="str">
        <f t="shared" si="52"/>
        <v/>
      </c>
      <c r="D281" s="57" t="str">
        <f t="shared" si="53"/>
        <v/>
      </c>
      <c r="F281" s="57" t="str">
        <f t="shared" si="57"/>
        <v/>
      </c>
      <c r="G281" s="102" t="str">
        <f t="shared" si="55"/>
        <v/>
      </c>
      <c r="I281" s="102" t="e">
        <f>VLOOKUP(P281&amp;"_"&amp;Q281,活动关卡!$A$4:$Z$27,3+5*MonsterWaveCallRuleCfg!R281,FALSE)</f>
        <v>#N/A</v>
      </c>
      <c r="J281" s="102" t="e">
        <f>VLOOKUP(P281&amp;"_"&amp;Q281,活动关卡!$A$4:$Z$27,4+5*MonsterWaveCallRuleCfg!R281,FALSE)</f>
        <v>#N/A</v>
      </c>
      <c r="K281" s="102" t="e">
        <f t="shared" si="58"/>
        <v>#N/A</v>
      </c>
      <c r="L281" s="102" t="e">
        <f>IF(VLOOKUP(P281&amp;"_"&amp;Q281,活动关卡!$A$4:$Z$27,2+5*R281,FALSE)="","","Monster_Challenge"&amp;P281&amp;"_"&amp;Q281&amp;"_"&amp;R281)</f>
        <v>#N/A</v>
      </c>
      <c r="M281" s="57" t="e">
        <f t="shared" si="59"/>
        <v>#N/A</v>
      </c>
      <c r="O281" s="102" t="e">
        <f>VLOOKUP(P281&amp;"_"&amp;Q281,活动关卡!$A$4:$Z$27,6+5*MonsterWaveCallRuleCfg!R281,FALSE)</f>
        <v>#N/A</v>
      </c>
      <c r="P281" s="110">
        <f t="shared" si="56"/>
        <v>9</v>
      </c>
      <c r="Q281" s="110">
        <f t="shared" si="54"/>
        <v>5</v>
      </c>
      <c r="R281" s="110">
        <v>2</v>
      </c>
    </row>
    <row r="282" spans="2:18" x14ac:dyDescent="0.2">
      <c r="B282" s="57" t="str">
        <f t="shared" si="52"/>
        <v/>
      </c>
      <c r="D282" s="57" t="str">
        <f t="shared" si="53"/>
        <v/>
      </c>
      <c r="F282" s="57" t="str">
        <f t="shared" si="57"/>
        <v/>
      </c>
      <c r="G282" s="102" t="str">
        <f t="shared" si="55"/>
        <v/>
      </c>
      <c r="I282" s="102" t="e">
        <f>VLOOKUP(P282&amp;"_"&amp;Q282,活动关卡!$A$4:$Z$27,3+5*MonsterWaveCallRuleCfg!R282,FALSE)</f>
        <v>#N/A</v>
      </c>
      <c r="J282" s="102" t="e">
        <f>VLOOKUP(P282&amp;"_"&amp;Q282,活动关卡!$A$4:$Z$27,4+5*MonsterWaveCallRuleCfg!R282,FALSE)</f>
        <v>#N/A</v>
      </c>
      <c r="K282" s="102" t="e">
        <f t="shared" si="58"/>
        <v>#N/A</v>
      </c>
      <c r="L282" s="102" t="e">
        <f>IF(VLOOKUP(P282&amp;"_"&amp;Q282,活动关卡!$A$4:$Z$27,2+5*R282,FALSE)="","","Monster_Challenge"&amp;P282&amp;"_"&amp;Q282&amp;"_"&amp;R282)</f>
        <v>#N/A</v>
      </c>
      <c r="M282" s="57" t="e">
        <f t="shared" si="59"/>
        <v>#N/A</v>
      </c>
      <c r="O282" s="102" t="e">
        <f>VLOOKUP(P282&amp;"_"&amp;Q282,活动关卡!$A$4:$Z$27,6+5*MonsterWaveCallRuleCfg!R282,FALSE)</f>
        <v>#N/A</v>
      </c>
      <c r="P282" s="110">
        <f t="shared" si="56"/>
        <v>9</v>
      </c>
      <c r="Q282" s="110">
        <f t="shared" si="54"/>
        <v>5</v>
      </c>
      <c r="R282" s="110">
        <v>3</v>
      </c>
    </row>
    <row r="283" spans="2:18" x14ac:dyDescent="0.2">
      <c r="B283" s="57" t="str">
        <f t="shared" si="52"/>
        <v/>
      </c>
      <c r="D283" s="57" t="str">
        <f t="shared" si="53"/>
        <v/>
      </c>
      <c r="F283" s="57" t="str">
        <f t="shared" si="57"/>
        <v/>
      </c>
      <c r="G283" s="102" t="str">
        <f t="shared" si="55"/>
        <v/>
      </c>
      <c r="I283" s="102" t="e">
        <f>VLOOKUP(P283&amp;"_"&amp;Q283,活动关卡!$A$4:$Z$27,3+5*MonsterWaveCallRuleCfg!R283,FALSE)</f>
        <v>#N/A</v>
      </c>
      <c r="J283" s="102" t="e">
        <f>VLOOKUP(P283&amp;"_"&amp;Q283,活动关卡!$A$4:$Z$27,4+5*MonsterWaveCallRuleCfg!R283,FALSE)</f>
        <v>#N/A</v>
      </c>
      <c r="K283" s="102" t="e">
        <f t="shared" si="58"/>
        <v>#N/A</v>
      </c>
      <c r="L283" s="102" t="e">
        <f>IF(VLOOKUP(P283&amp;"_"&amp;Q283,活动关卡!$A$4:$Z$27,2+5*R283,FALSE)="","","Monster_Challenge"&amp;P283&amp;"_"&amp;Q283&amp;"_"&amp;R283)</f>
        <v>#N/A</v>
      </c>
      <c r="M283" s="57" t="e">
        <f t="shared" si="59"/>
        <v>#N/A</v>
      </c>
      <c r="O283" s="102" t="e">
        <f>VLOOKUP(P283&amp;"_"&amp;Q283,活动关卡!$A$4:$Z$27,6+5*MonsterWaveCallRuleCfg!R283,FALSE)</f>
        <v>#N/A</v>
      </c>
      <c r="P283" s="110">
        <f t="shared" si="56"/>
        <v>9</v>
      </c>
      <c r="Q283" s="110">
        <f t="shared" si="54"/>
        <v>5</v>
      </c>
      <c r="R283" s="110">
        <v>4</v>
      </c>
    </row>
    <row r="284" spans="2:18" x14ac:dyDescent="0.2">
      <c r="B284" s="57" t="str">
        <f t="shared" si="52"/>
        <v>MonsterWaveCallRule_Challenge10</v>
      </c>
      <c r="C284" s="57">
        <v>1</v>
      </c>
      <c r="D284" s="57" t="str">
        <f t="shared" si="53"/>
        <v>挑战关卡10第1波</v>
      </c>
      <c r="F284" s="57">
        <f t="shared" si="57"/>
        <v>0</v>
      </c>
      <c r="G284" s="102">
        <f>IF(C284="","",180)</f>
        <v>180</v>
      </c>
      <c r="I284" s="102" t="e">
        <f>VLOOKUP(P284&amp;"_"&amp;Q284,活动关卡!$A$4:$Z$27,3+5*MonsterWaveCallRuleCfg!R284,FALSE)</f>
        <v>#N/A</v>
      </c>
      <c r="J284" s="102" t="e">
        <f>VLOOKUP(P284&amp;"_"&amp;Q284,活动关卡!$A$4:$Z$27,4+5*MonsterWaveCallRuleCfg!R284,FALSE)</f>
        <v>#N/A</v>
      </c>
      <c r="K284" s="102" t="e">
        <f t="shared" si="58"/>
        <v>#N/A</v>
      </c>
      <c r="L284" s="102" t="e">
        <f>IF(VLOOKUP(P284&amp;"_"&amp;Q284,活动关卡!$A$4:$Z$27,2+5*R284,FALSE)="","","Monster_Challenge"&amp;P284&amp;"_"&amp;Q284&amp;"_"&amp;R284)</f>
        <v>#N/A</v>
      </c>
      <c r="M284" s="57" t="e">
        <f t="shared" si="59"/>
        <v>#N/A</v>
      </c>
      <c r="O284" s="102" t="e">
        <f>VLOOKUP(P284&amp;"_"&amp;Q284,活动关卡!$A$4:$Z$27,6+5*MonsterWaveCallRuleCfg!R284,FALSE)</f>
        <v>#N/A</v>
      </c>
      <c r="P284" s="110">
        <f t="shared" si="56"/>
        <v>10</v>
      </c>
      <c r="Q284" s="110">
        <f t="shared" si="54"/>
        <v>1</v>
      </c>
      <c r="R284" s="110">
        <v>1</v>
      </c>
    </row>
    <row r="285" spans="2:18" x14ac:dyDescent="0.2">
      <c r="B285" s="57" t="str">
        <f t="shared" si="52"/>
        <v/>
      </c>
      <c r="D285" s="57" t="str">
        <f t="shared" si="53"/>
        <v/>
      </c>
      <c r="F285" s="57" t="str">
        <f t="shared" si="57"/>
        <v/>
      </c>
      <c r="G285" s="102" t="str">
        <f t="shared" ref="G285:G303" si="60">IF(C285="","",180)</f>
        <v/>
      </c>
      <c r="I285" s="102" t="e">
        <f>VLOOKUP(P285&amp;"_"&amp;Q285,活动关卡!$A$4:$Z$27,3+5*MonsterWaveCallRuleCfg!R285,FALSE)</f>
        <v>#N/A</v>
      </c>
      <c r="J285" s="102" t="e">
        <f>VLOOKUP(P285&amp;"_"&amp;Q285,活动关卡!$A$4:$Z$27,4+5*MonsterWaveCallRuleCfg!R285,FALSE)</f>
        <v>#N/A</v>
      </c>
      <c r="K285" s="102" t="e">
        <f t="shared" si="58"/>
        <v>#N/A</v>
      </c>
      <c r="L285" s="102" t="e">
        <f>IF(VLOOKUP(P285&amp;"_"&amp;Q285,活动关卡!$A$4:$Z$27,2+5*R285,FALSE)="","","Monster_Challenge"&amp;P285&amp;"_"&amp;Q285&amp;"_"&amp;R285)</f>
        <v>#N/A</v>
      </c>
      <c r="M285" s="57" t="e">
        <f t="shared" si="59"/>
        <v>#N/A</v>
      </c>
      <c r="O285" s="102" t="e">
        <f>VLOOKUP(P285&amp;"_"&amp;Q285,活动关卡!$A$4:$Z$27,6+5*MonsterWaveCallRuleCfg!R285,FALSE)</f>
        <v>#N/A</v>
      </c>
      <c r="P285" s="110">
        <f t="shared" si="56"/>
        <v>10</v>
      </c>
      <c r="Q285" s="110">
        <f t="shared" si="54"/>
        <v>1</v>
      </c>
      <c r="R285" s="110">
        <v>2</v>
      </c>
    </row>
    <row r="286" spans="2:18" x14ac:dyDescent="0.2">
      <c r="B286" s="57" t="str">
        <f t="shared" si="52"/>
        <v/>
      </c>
      <c r="D286" s="57" t="str">
        <f t="shared" si="53"/>
        <v/>
      </c>
      <c r="F286" s="57" t="str">
        <f t="shared" si="57"/>
        <v/>
      </c>
      <c r="G286" s="102" t="str">
        <f t="shared" si="60"/>
        <v/>
      </c>
      <c r="I286" s="102" t="e">
        <f>VLOOKUP(P286&amp;"_"&amp;Q286,活动关卡!$A$4:$Z$27,3+5*MonsterWaveCallRuleCfg!R286,FALSE)</f>
        <v>#N/A</v>
      </c>
      <c r="J286" s="102" t="e">
        <f>VLOOKUP(P286&amp;"_"&amp;Q286,活动关卡!$A$4:$Z$27,4+5*MonsterWaveCallRuleCfg!R286,FALSE)</f>
        <v>#N/A</v>
      </c>
      <c r="K286" s="102" t="e">
        <f t="shared" si="58"/>
        <v>#N/A</v>
      </c>
      <c r="L286" s="102" t="e">
        <f>IF(VLOOKUP(P286&amp;"_"&amp;Q286,活动关卡!$A$4:$Z$27,2+5*R286,FALSE)="","","Monster_Challenge"&amp;P286&amp;"_"&amp;Q286&amp;"_"&amp;R286)</f>
        <v>#N/A</v>
      </c>
      <c r="M286" s="57" t="e">
        <f t="shared" si="59"/>
        <v>#N/A</v>
      </c>
      <c r="O286" s="102" t="e">
        <f>VLOOKUP(P286&amp;"_"&amp;Q286,活动关卡!$A$4:$Z$27,6+5*MonsterWaveCallRuleCfg!R286,FALSE)</f>
        <v>#N/A</v>
      </c>
      <c r="P286" s="110">
        <f t="shared" si="56"/>
        <v>10</v>
      </c>
      <c r="Q286" s="110">
        <f t="shared" si="54"/>
        <v>1</v>
      </c>
      <c r="R286" s="110">
        <v>3</v>
      </c>
    </row>
    <row r="287" spans="2:18" x14ac:dyDescent="0.2">
      <c r="B287" s="57" t="str">
        <f t="shared" si="52"/>
        <v/>
      </c>
      <c r="D287" s="57" t="str">
        <f t="shared" si="53"/>
        <v/>
      </c>
      <c r="F287" s="57" t="str">
        <f t="shared" si="57"/>
        <v/>
      </c>
      <c r="G287" s="102" t="str">
        <f t="shared" si="60"/>
        <v/>
      </c>
      <c r="I287" s="102" t="e">
        <f>VLOOKUP(P287&amp;"_"&amp;Q287,活动关卡!$A$4:$Z$27,3+5*MonsterWaveCallRuleCfg!R287,FALSE)</f>
        <v>#N/A</v>
      </c>
      <c r="J287" s="102" t="e">
        <f>VLOOKUP(P287&amp;"_"&amp;Q287,活动关卡!$A$4:$Z$27,4+5*MonsterWaveCallRuleCfg!R287,FALSE)</f>
        <v>#N/A</v>
      </c>
      <c r="K287" s="102" t="e">
        <f t="shared" si="58"/>
        <v>#N/A</v>
      </c>
      <c r="L287" s="102" t="e">
        <f>IF(VLOOKUP(P287&amp;"_"&amp;Q287,活动关卡!$A$4:$Z$27,2+5*R287,FALSE)="","","Monster_Challenge"&amp;P287&amp;"_"&amp;Q287&amp;"_"&amp;R287)</f>
        <v>#N/A</v>
      </c>
      <c r="M287" s="57" t="e">
        <f t="shared" si="59"/>
        <v>#N/A</v>
      </c>
      <c r="O287" s="102" t="e">
        <f>VLOOKUP(P287&amp;"_"&amp;Q287,活动关卡!$A$4:$Z$27,6+5*MonsterWaveCallRuleCfg!R287,FALSE)</f>
        <v>#N/A</v>
      </c>
      <c r="P287" s="110">
        <f t="shared" si="56"/>
        <v>10</v>
      </c>
      <c r="Q287" s="110">
        <f t="shared" si="54"/>
        <v>1</v>
      </c>
      <c r="R287" s="110">
        <v>4</v>
      </c>
    </row>
    <row r="288" spans="2:18" x14ac:dyDescent="0.2">
      <c r="B288" s="57" t="str">
        <f t="shared" si="52"/>
        <v>MonsterWaveCallRule_Challenge10</v>
      </c>
      <c r="C288" s="57">
        <v>2</v>
      </c>
      <c r="D288" s="57" t="str">
        <f t="shared" si="53"/>
        <v>挑战关卡10第2波</v>
      </c>
      <c r="F288" s="57">
        <f t="shared" si="57"/>
        <v>0</v>
      </c>
      <c r="G288" s="102">
        <f t="shared" si="60"/>
        <v>180</v>
      </c>
      <c r="I288" s="102" t="e">
        <f>VLOOKUP(P288&amp;"_"&amp;Q288,活动关卡!$A$4:$Z$27,3+5*MonsterWaveCallRuleCfg!R288,FALSE)</f>
        <v>#N/A</v>
      </c>
      <c r="J288" s="102" t="e">
        <f>VLOOKUP(P288&amp;"_"&amp;Q288,活动关卡!$A$4:$Z$27,4+5*MonsterWaveCallRuleCfg!R288,FALSE)</f>
        <v>#N/A</v>
      </c>
      <c r="K288" s="102" t="e">
        <f t="shared" si="58"/>
        <v>#N/A</v>
      </c>
      <c r="L288" s="102" t="e">
        <f>IF(VLOOKUP(P288&amp;"_"&amp;Q288,活动关卡!$A$4:$Z$27,2+5*R288,FALSE)="","","Monster_Challenge"&amp;P288&amp;"_"&amp;Q288&amp;"_"&amp;R288)</f>
        <v>#N/A</v>
      </c>
      <c r="M288" s="57" t="e">
        <f t="shared" si="59"/>
        <v>#N/A</v>
      </c>
      <c r="O288" s="102" t="e">
        <f>VLOOKUP(P288&amp;"_"&amp;Q288,活动关卡!$A$4:$Z$27,6+5*MonsterWaveCallRuleCfg!R288,FALSE)</f>
        <v>#N/A</v>
      </c>
      <c r="P288" s="110">
        <f t="shared" si="56"/>
        <v>10</v>
      </c>
      <c r="Q288" s="110">
        <f t="shared" si="54"/>
        <v>2</v>
      </c>
      <c r="R288" s="110">
        <v>1</v>
      </c>
    </row>
    <row r="289" spans="2:18" x14ac:dyDescent="0.2">
      <c r="B289" s="57" t="str">
        <f t="shared" si="52"/>
        <v/>
      </c>
      <c r="D289" s="57" t="str">
        <f t="shared" si="53"/>
        <v/>
      </c>
      <c r="F289" s="57" t="str">
        <f t="shared" si="57"/>
        <v/>
      </c>
      <c r="G289" s="102" t="str">
        <f t="shared" si="60"/>
        <v/>
      </c>
      <c r="I289" s="102" t="e">
        <f>VLOOKUP(P289&amp;"_"&amp;Q289,活动关卡!$A$4:$Z$27,3+5*MonsterWaveCallRuleCfg!R289,FALSE)</f>
        <v>#N/A</v>
      </c>
      <c r="J289" s="102" t="e">
        <f>VLOOKUP(P289&amp;"_"&amp;Q289,活动关卡!$A$4:$Z$27,4+5*MonsterWaveCallRuleCfg!R289,FALSE)</f>
        <v>#N/A</v>
      </c>
      <c r="K289" s="102" t="e">
        <f t="shared" si="58"/>
        <v>#N/A</v>
      </c>
      <c r="L289" s="102" t="e">
        <f>IF(VLOOKUP(P289&amp;"_"&amp;Q289,活动关卡!$A$4:$Z$27,2+5*R289,FALSE)="","","Monster_Challenge"&amp;P289&amp;"_"&amp;Q289&amp;"_"&amp;R289)</f>
        <v>#N/A</v>
      </c>
      <c r="M289" s="57" t="e">
        <f t="shared" si="59"/>
        <v>#N/A</v>
      </c>
      <c r="O289" s="102" t="e">
        <f>VLOOKUP(P289&amp;"_"&amp;Q289,活动关卡!$A$4:$Z$27,6+5*MonsterWaveCallRuleCfg!R289,FALSE)</f>
        <v>#N/A</v>
      </c>
      <c r="P289" s="110">
        <f t="shared" si="56"/>
        <v>10</v>
      </c>
      <c r="Q289" s="110">
        <f t="shared" si="54"/>
        <v>2</v>
      </c>
      <c r="R289" s="110">
        <v>2</v>
      </c>
    </row>
    <row r="290" spans="2:18" x14ac:dyDescent="0.2">
      <c r="B290" s="57" t="str">
        <f t="shared" si="52"/>
        <v/>
      </c>
      <c r="D290" s="57" t="str">
        <f t="shared" si="53"/>
        <v/>
      </c>
      <c r="F290" s="57" t="str">
        <f t="shared" si="57"/>
        <v/>
      </c>
      <c r="G290" s="102" t="str">
        <f t="shared" si="60"/>
        <v/>
      </c>
      <c r="I290" s="102" t="e">
        <f>VLOOKUP(P290&amp;"_"&amp;Q290,活动关卡!$A$4:$Z$27,3+5*MonsterWaveCallRuleCfg!R290,FALSE)</f>
        <v>#N/A</v>
      </c>
      <c r="J290" s="102" t="e">
        <f>VLOOKUP(P290&amp;"_"&amp;Q290,活动关卡!$A$4:$Z$27,4+5*MonsterWaveCallRuleCfg!R290,FALSE)</f>
        <v>#N/A</v>
      </c>
      <c r="K290" s="102" t="e">
        <f t="shared" si="58"/>
        <v>#N/A</v>
      </c>
      <c r="L290" s="102" t="e">
        <f>IF(VLOOKUP(P290&amp;"_"&amp;Q290,活动关卡!$A$4:$Z$27,2+5*R290,FALSE)="","","Monster_Challenge"&amp;P290&amp;"_"&amp;Q290&amp;"_"&amp;R290)</f>
        <v>#N/A</v>
      </c>
      <c r="M290" s="57" t="e">
        <f t="shared" si="59"/>
        <v>#N/A</v>
      </c>
      <c r="O290" s="102" t="e">
        <f>VLOOKUP(P290&amp;"_"&amp;Q290,活动关卡!$A$4:$Z$27,6+5*MonsterWaveCallRuleCfg!R290,FALSE)</f>
        <v>#N/A</v>
      </c>
      <c r="P290" s="110">
        <f t="shared" si="56"/>
        <v>10</v>
      </c>
      <c r="Q290" s="110">
        <f t="shared" si="54"/>
        <v>2</v>
      </c>
      <c r="R290" s="110">
        <v>3</v>
      </c>
    </row>
    <row r="291" spans="2:18" x14ac:dyDescent="0.2">
      <c r="B291" s="57" t="str">
        <f t="shared" si="52"/>
        <v/>
      </c>
      <c r="D291" s="57" t="str">
        <f t="shared" si="53"/>
        <v/>
      </c>
      <c r="F291" s="57" t="str">
        <f t="shared" si="57"/>
        <v/>
      </c>
      <c r="G291" s="102" t="str">
        <f t="shared" si="60"/>
        <v/>
      </c>
      <c r="I291" s="102" t="e">
        <f>VLOOKUP(P291&amp;"_"&amp;Q291,活动关卡!$A$4:$Z$27,3+5*MonsterWaveCallRuleCfg!R291,FALSE)</f>
        <v>#N/A</v>
      </c>
      <c r="J291" s="102" t="e">
        <f>VLOOKUP(P291&amp;"_"&amp;Q291,活动关卡!$A$4:$Z$27,4+5*MonsterWaveCallRuleCfg!R291,FALSE)</f>
        <v>#N/A</v>
      </c>
      <c r="K291" s="102" t="e">
        <f t="shared" si="58"/>
        <v>#N/A</v>
      </c>
      <c r="L291" s="102" t="e">
        <f>IF(VLOOKUP(P291&amp;"_"&amp;Q291,活动关卡!$A$4:$Z$27,2+5*R291,FALSE)="","","Monster_Challenge"&amp;P291&amp;"_"&amp;Q291&amp;"_"&amp;R291)</f>
        <v>#N/A</v>
      </c>
      <c r="M291" s="57" t="e">
        <f t="shared" si="59"/>
        <v>#N/A</v>
      </c>
      <c r="O291" s="102" t="e">
        <f>VLOOKUP(P291&amp;"_"&amp;Q291,活动关卡!$A$4:$Z$27,6+5*MonsterWaveCallRuleCfg!R291,FALSE)</f>
        <v>#N/A</v>
      </c>
      <c r="P291" s="110">
        <f t="shared" si="56"/>
        <v>10</v>
      </c>
      <c r="Q291" s="110">
        <f t="shared" si="54"/>
        <v>2</v>
      </c>
      <c r="R291" s="110">
        <v>4</v>
      </c>
    </row>
    <row r="292" spans="2:18" x14ac:dyDescent="0.2">
      <c r="B292" s="57" t="str">
        <f t="shared" si="52"/>
        <v>MonsterWaveCallRule_Challenge10</v>
      </c>
      <c r="C292" s="57">
        <v>3</v>
      </c>
      <c r="D292" s="57" t="str">
        <f t="shared" si="53"/>
        <v>挑战关卡10第3波</v>
      </c>
      <c r="F292" s="57">
        <f t="shared" si="57"/>
        <v>0</v>
      </c>
      <c r="G292" s="102">
        <f t="shared" si="60"/>
        <v>180</v>
      </c>
      <c r="I292" s="102" t="e">
        <f>VLOOKUP(P292&amp;"_"&amp;Q292,活动关卡!$A$4:$Z$27,3+5*MonsterWaveCallRuleCfg!R292,FALSE)</f>
        <v>#N/A</v>
      </c>
      <c r="J292" s="102" t="e">
        <f>VLOOKUP(P292&amp;"_"&amp;Q292,活动关卡!$A$4:$Z$27,4+5*MonsterWaveCallRuleCfg!R292,FALSE)</f>
        <v>#N/A</v>
      </c>
      <c r="K292" s="102" t="e">
        <f t="shared" si="58"/>
        <v>#N/A</v>
      </c>
      <c r="L292" s="102" t="e">
        <f>IF(VLOOKUP(P292&amp;"_"&amp;Q292,活动关卡!$A$4:$Z$27,2+5*R292,FALSE)="","","Monster_Challenge"&amp;P292&amp;"_"&amp;Q292&amp;"_"&amp;R292)</f>
        <v>#N/A</v>
      </c>
      <c r="M292" s="57" t="e">
        <f t="shared" si="59"/>
        <v>#N/A</v>
      </c>
      <c r="O292" s="102" t="e">
        <f>VLOOKUP(P292&amp;"_"&amp;Q292,活动关卡!$A$4:$Z$27,6+5*MonsterWaveCallRuleCfg!R292,FALSE)</f>
        <v>#N/A</v>
      </c>
      <c r="P292" s="110">
        <f t="shared" si="56"/>
        <v>10</v>
      </c>
      <c r="Q292" s="110">
        <f t="shared" si="54"/>
        <v>3</v>
      </c>
      <c r="R292" s="110">
        <v>1</v>
      </c>
    </row>
    <row r="293" spans="2:18" x14ac:dyDescent="0.2">
      <c r="B293" s="57" t="str">
        <f t="shared" si="52"/>
        <v/>
      </c>
      <c r="D293" s="57" t="str">
        <f t="shared" si="53"/>
        <v/>
      </c>
      <c r="F293" s="57" t="str">
        <f t="shared" si="57"/>
        <v/>
      </c>
      <c r="G293" s="102" t="str">
        <f t="shared" si="60"/>
        <v/>
      </c>
      <c r="I293" s="102" t="e">
        <f>VLOOKUP(P293&amp;"_"&amp;Q293,活动关卡!$A$4:$Z$27,3+5*MonsterWaveCallRuleCfg!R293,FALSE)</f>
        <v>#N/A</v>
      </c>
      <c r="J293" s="102" t="e">
        <f>VLOOKUP(P293&amp;"_"&amp;Q293,活动关卡!$A$4:$Z$27,4+5*MonsterWaveCallRuleCfg!R293,FALSE)</f>
        <v>#N/A</v>
      </c>
      <c r="K293" s="102" t="e">
        <f t="shared" si="58"/>
        <v>#N/A</v>
      </c>
      <c r="L293" s="102" t="e">
        <f>IF(VLOOKUP(P293&amp;"_"&amp;Q293,活动关卡!$A$4:$Z$27,2+5*R293,FALSE)="","","Monster_Challenge"&amp;P293&amp;"_"&amp;Q293&amp;"_"&amp;R293)</f>
        <v>#N/A</v>
      </c>
      <c r="M293" s="57" t="e">
        <f t="shared" si="59"/>
        <v>#N/A</v>
      </c>
      <c r="O293" s="102" t="e">
        <f>VLOOKUP(P293&amp;"_"&amp;Q293,活动关卡!$A$4:$Z$27,6+5*MonsterWaveCallRuleCfg!R293,FALSE)</f>
        <v>#N/A</v>
      </c>
      <c r="P293" s="110">
        <f t="shared" si="56"/>
        <v>10</v>
      </c>
      <c r="Q293" s="110">
        <f t="shared" si="54"/>
        <v>3</v>
      </c>
      <c r="R293" s="110">
        <v>2</v>
      </c>
    </row>
    <row r="294" spans="2:18" x14ac:dyDescent="0.2">
      <c r="B294" s="57" t="str">
        <f t="shared" si="52"/>
        <v/>
      </c>
      <c r="D294" s="57" t="str">
        <f t="shared" si="53"/>
        <v/>
      </c>
      <c r="F294" s="57" t="str">
        <f t="shared" si="57"/>
        <v/>
      </c>
      <c r="G294" s="102" t="str">
        <f t="shared" si="60"/>
        <v/>
      </c>
      <c r="I294" s="102" t="e">
        <f>VLOOKUP(P294&amp;"_"&amp;Q294,活动关卡!$A$4:$Z$27,3+5*MonsterWaveCallRuleCfg!R294,FALSE)</f>
        <v>#N/A</v>
      </c>
      <c r="J294" s="102" t="e">
        <f>VLOOKUP(P294&amp;"_"&amp;Q294,活动关卡!$A$4:$Z$27,4+5*MonsterWaveCallRuleCfg!R294,FALSE)</f>
        <v>#N/A</v>
      </c>
      <c r="K294" s="102" t="e">
        <f t="shared" si="58"/>
        <v>#N/A</v>
      </c>
      <c r="L294" s="102" t="e">
        <f>IF(VLOOKUP(P294&amp;"_"&amp;Q294,活动关卡!$A$4:$Z$27,2+5*R294,FALSE)="","","Monster_Challenge"&amp;P294&amp;"_"&amp;Q294&amp;"_"&amp;R294)</f>
        <v>#N/A</v>
      </c>
      <c r="M294" s="57" t="e">
        <f t="shared" si="59"/>
        <v>#N/A</v>
      </c>
      <c r="O294" s="102" t="e">
        <f>VLOOKUP(P294&amp;"_"&amp;Q294,活动关卡!$A$4:$Z$27,6+5*MonsterWaveCallRuleCfg!R294,FALSE)</f>
        <v>#N/A</v>
      </c>
      <c r="P294" s="110">
        <f t="shared" si="56"/>
        <v>10</v>
      </c>
      <c r="Q294" s="110">
        <f t="shared" si="54"/>
        <v>3</v>
      </c>
      <c r="R294" s="110">
        <v>3</v>
      </c>
    </row>
    <row r="295" spans="2:18" x14ac:dyDescent="0.2">
      <c r="B295" s="57" t="str">
        <f t="shared" si="52"/>
        <v/>
      </c>
      <c r="D295" s="57" t="str">
        <f t="shared" si="53"/>
        <v/>
      </c>
      <c r="F295" s="57" t="str">
        <f t="shared" si="57"/>
        <v/>
      </c>
      <c r="G295" s="102" t="str">
        <f t="shared" si="60"/>
        <v/>
      </c>
      <c r="I295" s="102" t="e">
        <f>VLOOKUP(P295&amp;"_"&amp;Q295,活动关卡!$A$4:$Z$27,3+5*MonsterWaveCallRuleCfg!R295,FALSE)</f>
        <v>#N/A</v>
      </c>
      <c r="J295" s="102" t="e">
        <f>VLOOKUP(P295&amp;"_"&amp;Q295,活动关卡!$A$4:$Z$27,4+5*MonsterWaveCallRuleCfg!R295,FALSE)</f>
        <v>#N/A</v>
      </c>
      <c r="K295" s="102" t="e">
        <f t="shared" si="58"/>
        <v>#N/A</v>
      </c>
      <c r="L295" s="102" t="e">
        <f>IF(VLOOKUP(P295&amp;"_"&amp;Q295,活动关卡!$A$4:$Z$27,2+5*R295,FALSE)="","","Monster_Challenge"&amp;P295&amp;"_"&amp;Q295&amp;"_"&amp;R295)</f>
        <v>#N/A</v>
      </c>
      <c r="M295" s="57" t="e">
        <f t="shared" si="59"/>
        <v>#N/A</v>
      </c>
      <c r="O295" s="102" t="e">
        <f>VLOOKUP(P295&amp;"_"&amp;Q295,活动关卡!$A$4:$Z$27,6+5*MonsterWaveCallRuleCfg!R295,FALSE)</f>
        <v>#N/A</v>
      </c>
      <c r="P295" s="110">
        <f t="shared" si="56"/>
        <v>10</v>
      </c>
      <c r="Q295" s="110">
        <f t="shared" si="54"/>
        <v>3</v>
      </c>
      <c r="R295" s="110">
        <v>4</v>
      </c>
    </row>
    <row r="296" spans="2:18" x14ac:dyDescent="0.2">
      <c r="B296" s="57" t="str">
        <f t="shared" si="52"/>
        <v>MonsterWaveCallRule_Challenge10</v>
      </c>
      <c r="C296" s="57">
        <v>4</v>
      </c>
      <c r="D296" s="57" t="str">
        <f t="shared" si="53"/>
        <v>挑战关卡10第4波</v>
      </c>
      <c r="F296" s="57">
        <f t="shared" si="57"/>
        <v>0</v>
      </c>
      <c r="G296" s="102">
        <f t="shared" si="60"/>
        <v>180</v>
      </c>
      <c r="I296" s="102" t="e">
        <f>VLOOKUP(P296&amp;"_"&amp;Q296,活动关卡!$A$4:$Z$27,3+5*MonsterWaveCallRuleCfg!R296,FALSE)</f>
        <v>#N/A</v>
      </c>
      <c r="J296" s="102" t="e">
        <f>VLOOKUP(P296&amp;"_"&amp;Q296,活动关卡!$A$4:$Z$27,4+5*MonsterWaveCallRuleCfg!R296,FALSE)</f>
        <v>#N/A</v>
      </c>
      <c r="K296" s="102" t="e">
        <f t="shared" si="58"/>
        <v>#N/A</v>
      </c>
      <c r="L296" s="102" t="e">
        <f>IF(VLOOKUP(P296&amp;"_"&amp;Q296,活动关卡!$A$4:$Z$27,2+5*R296,FALSE)="","","Monster_Challenge"&amp;P296&amp;"_"&amp;Q296&amp;"_"&amp;R296)</f>
        <v>#N/A</v>
      </c>
      <c r="M296" s="57" t="e">
        <f t="shared" si="59"/>
        <v>#N/A</v>
      </c>
      <c r="O296" s="102" t="e">
        <f>VLOOKUP(P296&amp;"_"&amp;Q296,活动关卡!$A$4:$Z$27,6+5*MonsterWaveCallRuleCfg!R296,FALSE)</f>
        <v>#N/A</v>
      </c>
      <c r="P296" s="110">
        <f t="shared" si="56"/>
        <v>10</v>
      </c>
      <c r="Q296" s="110">
        <f t="shared" si="54"/>
        <v>4</v>
      </c>
      <c r="R296" s="110">
        <v>1</v>
      </c>
    </row>
    <row r="297" spans="2:18" x14ac:dyDescent="0.2">
      <c r="B297" s="57" t="str">
        <f t="shared" ref="B297:B303" si="61">IF(C297="","","MonsterWaveCallRule_Challenge"&amp;P297)</f>
        <v/>
      </c>
      <c r="D297" s="57" t="str">
        <f t="shared" ref="D297:D303" si="62">IF(C297="","","挑战关卡"&amp;P297&amp;"第"&amp;C297&amp;"波")</f>
        <v/>
      </c>
      <c r="F297" s="57" t="str">
        <f t="shared" si="57"/>
        <v/>
      </c>
      <c r="G297" s="102" t="str">
        <f t="shared" si="60"/>
        <v/>
      </c>
      <c r="I297" s="102" t="e">
        <f>VLOOKUP(P297&amp;"_"&amp;Q297,活动关卡!$A$4:$Z$27,3+5*MonsterWaveCallRuleCfg!R297,FALSE)</f>
        <v>#N/A</v>
      </c>
      <c r="J297" s="102" t="e">
        <f>VLOOKUP(P297&amp;"_"&amp;Q297,活动关卡!$A$4:$Z$27,4+5*MonsterWaveCallRuleCfg!R297,FALSE)</f>
        <v>#N/A</v>
      </c>
      <c r="K297" s="102" t="e">
        <f t="shared" si="58"/>
        <v>#N/A</v>
      </c>
      <c r="L297" s="102" t="e">
        <f>IF(VLOOKUP(P297&amp;"_"&amp;Q297,活动关卡!$A$4:$Z$27,2+5*R297,FALSE)="","","Monster_Challenge"&amp;P297&amp;"_"&amp;Q297&amp;"_"&amp;R297)</f>
        <v>#N/A</v>
      </c>
      <c r="M297" s="57" t="e">
        <f t="shared" si="59"/>
        <v>#N/A</v>
      </c>
      <c r="O297" s="102" t="e">
        <f>VLOOKUP(P297&amp;"_"&amp;Q297,活动关卡!$A$4:$Z$27,6+5*MonsterWaveCallRuleCfg!R297,FALSE)</f>
        <v>#N/A</v>
      </c>
      <c r="P297" s="110">
        <f t="shared" si="56"/>
        <v>10</v>
      </c>
      <c r="Q297" s="110">
        <f t="shared" si="54"/>
        <v>4</v>
      </c>
      <c r="R297" s="110">
        <v>2</v>
      </c>
    </row>
    <row r="298" spans="2:18" x14ac:dyDescent="0.2">
      <c r="B298" s="57" t="str">
        <f t="shared" si="61"/>
        <v/>
      </c>
      <c r="D298" s="57" t="str">
        <f t="shared" si="62"/>
        <v/>
      </c>
      <c r="F298" s="57" t="str">
        <f t="shared" si="57"/>
        <v/>
      </c>
      <c r="G298" s="102" t="str">
        <f t="shared" si="60"/>
        <v/>
      </c>
      <c r="I298" s="102" t="e">
        <f>VLOOKUP(P298&amp;"_"&amp;Q298,活动关卡!$A$4:$Z$27,3+5*MonsterWaveCallRuleCfg!R298,FALSE)</f>
        <v>#N/A</v>
      </c>
      <c r="J298" s="102" t="e">
        <f>VLOOKUP(P298&amp;"_"&amp;Q298,活动关卡!$A$4:$Z$27,4+5*MonsterWaveCallRuleCfg!R298,FALSE)</f>
        <v>#N/A</v>
      </c>
      <c r="K298" s="102" t="e">
        <f t="shared" si="58"/>
        <v>#N/A</v>
      </c>
      <c r="L298" s="102" t="e">
        <f>IF(VLOOKUP(P298&amp;"_"&amp;Q298,活动关卡!$A$4:$Z$27,2+5*R298,FALSE)="","","Monster_Challenge"&amp;P298&amp;"_"&amp;Q298&amp;"_"&amp;R298)</f>
        <v>#N/A</v>
      </c>
      <c r="M298" s="57" t="e">
        <f t="shared" si="59"/>
        <v>#N/A</v>
      </c>
      <c r="O298" s="102" t="e">
        <f>VLOOKUP(P298&amp;"_"&amp;Q298,活动关卡!$A$4:$Z$27,6+5*MonsterWaveCallRuleCfg!R298,FALSE)</f>
        <v>#N/A</v>
      </c>
      <c r="P298" s="110">
        <f t="shared" si="56"/>
        <v>10</v>
      </c>
      <c r="Q298" s="110">
        <f t="shared" ref="Q298:Q303" si="63">IF(C298="",Q297,C298)</f>
        <v>4</v>
      </c>
      <c r="R298" s="110">
        <v>3</v>
      </c>
    </row>
    <row r="299" spans="2:18" x14ac:dyDescent="0.2">
      <c r="B299" s="57" t="str">
        <f t="shared" si="61"/>
        <v/>
      </c>
      <c r="D299" s="57" t="str">
        <f t="shared" si="62"/>
        <v/>
      </c>
      <c r="F299" s="57" t="str">
        <f t="shared" si="57"/>
        <v/>
      </c>
      <c r="G299" s="102" t="str">
        <f t="shared" si="60"/>
        <v/>
      </c>
      <c r="I299" s="102" t="e">
        <f>VLOOKUP(P299&amp;"_"&amp;Q299,活动关卡!$A$4:$Z$27,3+5*MonsterWaveCallRuleCfg!R299,FALSE)</f>
        <v>#N/A</v>
      </c>
      <c r="J299" s="102" t="e">
        <f>VLOOKUP(P299&amp;"_"&amp;Q299,活动关卡!$A$4:$Z$27,4+5*MonsterWaveCallRuleCfg!R299,FALSE)</f>
        <v>#N/A</v>
      </c>
      <c r="K299" s="102" t="e">
        <f t="shared" si="58"/>
        <v>#N/A</v>
      </c>
      <c r="L299" s="102" t="e">
        <f>IF(VLOOKUP(P299&amp;"_"&amp;Q299,活动关卡!$A$4:$Z$27,2+5*R299,FALSE)="","","Monster_Challenge"&amp;P299&amp;"_"&amp;Q299&amp;"_"&amp;R299)</f>
        <v>#N/A</v>
      </c>
      <c r="M299" s="57" t="e">
        <f t="shared" si="59"/>
        <v>#N/A</v>
      </c>
      <c r="O299" s="102" t="e">
        <f>VLOOKUP(P299&amp;"_"&amp;Q299,活动关卡!$A$4:$Z$27,6+5*MonsterWaveCallRuleCfg!R299,FALSE)</f>
        <v>#N/A</v>
      </c>
      <c r="P299" s="110">
        <f t="shared" si="56"/>
        <v>10</v>
      </c>
      <c r="Q299" s="110">
        <f t="shared" si="63"/>
        <v>4</v>
      </c>
      <c r="R299" s="110">
        <v>4</v>
      </c>
    </row>
    <row r="300" spans="2:18" x14ac:dyDescent="0.2">
      <c r="B300" s="57" t="str">
        <f t="shared" si="61"/>
        <v>MonsterWaveCallRule_Challenge10</v>
      </c>
      <c r="C300" s="57">
        <v>5</v>
      </c>
      <c r="D300" s="57" t="str">
        <f t="shared" si="62"/>
        <v>挑战关卡10第5波</v>
      </c>
      <c r="F300" s="57">
        <f t="shared" si="57"/>
        <v>0</v>
      </c>
      <c r="G300" s="102">
        <f t="shared" si="60"/>
        <v>180</v>
      </c>
      <c r="I300" s="102" t="e">
        <f>VLOOKUP(P300&amp;"_"&amp;Q300,活动关卡!$A$4:$Z$27,3+5*MonsterWaveCallRuleCfg!R300,FALSE)</f>
        <v>#N/A</v>
      </c>
      <c r="J300" s="102" t="e">
        <f>VLOOKUP(P300&amp;"_"&amp;Q300,活动关卡!$A$4:$Z$27,4+5*MonsterWaveCallRuleCfg!R300,FALSE)</f>
        <v>#N/A</v>
      </c>
      <c r="K300" s="102" t="e">
        <f t="shared" si="58"/>
        <v>#N/A</v>
      </c>
      <c r="L300" s="102" t="e">
        <f>IF(VLOOKUP(P300&amp;"_"&amp;Q300,活动关卡!$A$4:$Z$27,2+5*R300,FALSE)="","","Monster_Challenge"&amp;P300&amp;"_"&amp;Q300&amp;"_"&amp;R300)</f>
        <v>#N/A</v>
      </c>
      <c r="M300" s="57" t="e">
        <f t="shared" si="59"/>
        <v>#N/A</v>
      </c>
      <c r="O300" s="102" t="e">
        <f>VLOOKUP(P300&amp;"_"&amp;Q300,活动关卡!$A$4:$Z$27,6+5*MonsterWaveCallRuleCfg!R300,FALSE)</f>
        <v>#N/A</v>
      </c>
      <c r="P300" s="110">
        <f t="shared" si="56"/>
        <v>10</v>
      </c>
      <c r="Q300" s="110">
        <f t="shared" si="63"/>
        <v>5</v>
      </c>
      <c r="R300" s="110">
        <v>1</v>
      </c>
    </row>
    <row r="301" spans="2:18" x14ac:dyDescent="0.2">
      <c r="B301" s="57" t="str">
        <f t="shared" si="61"/>
        <v/>
      </c>
      <c r="D301" s="57" t="str">
        <f t="shared" si="62"/>
        <v/>
      </c>
      <c r="F301" s="57" t="str">
        <f t="shared" si="57"/>
        <v/>
      </c>
      <c r="G301" s="102" t="str">
        <f t="shared" si="60"/>
        <v/>
      </c>
      <c r="I301" s="102" t="e">
        <f>VLOOKUP(P301&amp;"_"&amp;Q301,活动关卡!$A$4:$Z$27,3+5*MonsterWaveCallRuleCfg!R301,FALSE)</f>
        <v>#N/A</v>
      </c>
      <c r="J301" s="102" t="e">
        <f>VLOOKUP(P301&amp;"_"&amp;Q301,活动关卡!$A$4:$Z$27,4+5*MonsterWaveCallRuleCfg!R301,FALSE)</f>
        <v>#N/A</v>
      </c>
      <c r="K301" s="102" t="e">
        <f t="shared" si="58"/>
        <v>#N/A</v>
      </c>
      <c r="L301" s="102" t="e">
        <f>IF(VLOOKUP(P301&amp;"_"&amp;Q301,活动关卡!$A$4:$Z$27,2+5*R301,FALSE)="","","Monster_Challenge"&amp;P301&amp;"_"&amp;Q301&amp;"_"&amp;R301)</f>
        <v>#N/A</v>
      </c>
      <c r="M301" s="57" t="e">
        <f t="shared" si="59"/>
        <v>#N/A</v>
      </c>
      <c r="O301" s="102" t="e">
        <f>VLOOKUP(P301&amp;"_"&amp;Q301,活动关卡!$A$4:$Z$27,6+5*MonsterWaveCallRuleCfg!R301,FALSE)</f>
        <v>#N/A</v>
      </c>
      <c r="P301" s="110">
        <f t="shared" si="56"/>
        <v>10</v>
      </c>
      <c r="Q301" s="110">
        <f t="shared" si="63"/>
        <v>5</v>
      </c>
      <c r="R301" s="110">
        <v>2</v>
      </c>
    </row>
    <row r="302" spans="2:18" x14ac:dyDescent="0.2">
      <c r="B302" s="57" t="str">
        <f t="shared" si="61"/>
        <v/>
      </c>
      <c r="D302" s="57" t="str">
        <f t="shared" si="62"/>
        <v/>
      </c>
      <c r="F302" s="57" t="str">
        <f t="shared" si="57"/>
        <v/>
      </c>
      <c r="G302" s="102" t="str">
        <f t="shared" si="60"/>
        <v/>
      </c>
      <c r="I302" s="102" t="e">
        <f>VLOOKUP(P302&amp;"_"&amp;Q302,活动关卡!$A$4:$Z$27,3+5*MonsterWaveCallRuleCfg!R302,FALSE)</f>
        <v>#N/A</v>
      </c>
      <c r="J302" s="102" t="e">
        <f>VLOOKUP(P302&amp;"_"&amp;Q302,活动关卡!$A$4:$Z$27,4+5*MonsterWaveCallRuleCfg!R302,FALSE)</f>
        <v>#N/A</v>
      </c>
      <c r="K302" s="102" t="e">
        <f t="shared" si="58"/>
        <v>#N/A</v>
      </c>
      <c r="L302" s="102" t="e">
        <f>IF(VLOOKUP(P302&amp;"_"&amp;Q302,活动关卡!$A$4:$Z$27,2+5*R302,FALSE)="","","Monster_Challenge"&amp;P302&amp;"_"&amp;Q302&amp;"_"&amp;R302)</f>
        <v>#N/A</v>
      </c>
      <c r="M302" s="57" t="e">
        <f t="shared" si="59"/>
        <v>#N/A</v>
      </c>
      <c r="O302" s="102" t="e">
        <f>VLOOKUP(P302&amp;"_"&amp;Q302,活动关卡!$A$4:$Z$27,6+5*MonsterWaveCallRuleCfg!R302,FALSE)</f>
        <v>#N/A</v>
      </c>
      <c r="P302" s="110">
        <f t="shared" si="56"/>
        <v>10</v>
      </c>
      <c r="Q302" s="110">
        <f t="shared" si="63"/>
        <v>5</v>
      </c>
      <c r="R302" s="110">
        <v>3</v>
      </c>
    </row>
    <row r="303" spans="2:18" x14ac:dyDescent="0.2">
      <c r="B303" s="57" t="str">
        <f t="shared" si="61"/>
        <v/>
      </c>
      <c r="D303" s="57" t="str">
        <f t="shared" si="62"/>
        <v/>
      </c>
      <c r="F303" s="57" t="str">
        <f t="shared" si="57"/>
        <v/>
      </c>
      <c r="G303" s="102" t="str">
        <f t="shared" si="60"/>
        <v/>
      </c>
      <c r="I303" s="102" t="e">
        <f>VLOOKUP(P303&amp;"_"&amp;Q303,活动关卡!$A$4:$Z$27,3+5*MonsterWaveCallRuleCfg!R303,FALSE)</f>
        <v>#N/A</v>
      </c>
      <c r="J303" s="102" t="e">
        <f>VLOOKUP(P303&amp;"_"&amp;Q303,活动关卡!$A$4:$Z$27,4+5*MonsterWaveCallRuleCfg!R303,FALSE)</f>
        <v>#N/A</v>
      </c>
      <c r="K303" s="102" t="e">
        <f t="shared" si="58"/>
        <v>#N/A</v>
      </c>
      <c r="L303" s="102" t="e">
        <f>IF(VLOOKUP(P303&amp;"_"&amp;Q303,活动关卡!$A$4:$Z$27,2+5*R303,FALSE)="","","Monster_Challenge"&amp;P303&amp;"_"&amp;Q303&amp;"_"&amp;R303)</f>
        <v>#N/A</v>
      </c>
      <c r="M303" s="57" t="e">
        <f t="shared" si="59"/>
        <v>#N/A</v>
      </c>
      <c r="O303" s="102" t="e">
        <f>VLOOKUP(P303&amp;"_"&amp;Q303,活动关卡!$A$4:$Z$27,6+5*MonsterWaveCallRuleCfg!R303,FALSE)</f>
        <v>#N/A</v>
      </c>
      <c r="P303" s="110">
        <f t="shared" si="56"/>
        <v>10</v>
      </c>
      <c r="Q303" s="110">
        <f t="shared" si="63"/>
        <v>5</v>
      </c>
      <c r="R303" s="110">
        <v>4</v>
      </c>
    </row>
    <row r="306" spans="2:17" x14ac:dyDescent="0.2">
      <c r="B306" s="57" t="s">
        <v>1762</v>
      </c>
      <c r="C306" s="57">
        <v>1</v>
      </c>
      <c r="D306" s="57" t="str">
        <f t="shared" ref="D306:D337" si="64">IF(C306="","","线下模式第"&amp;C306&amp;"波")</f>
        <v>线下模式第1波</v>
      </c>
      <c r="F306" s="57">
        <f>IF(C306="","",0)</f>
        <v>0</v>
      </c>
      <c r="G306" s="102">
        <f>IF(C306="","",180)</f>
        <v>180</v>
      </c>
      <c r="H306" s="57">
        <f>IF(I306="","",0)</f>
        <v>0</v>
      </c>
      <c r="I306" s="102">
        <f>IF(VLOOKUP($P306,线下模式!$A$3:$X$22,5,FALSE)="","",VLOOKUP($P306,线下模式!$A$3:$X$22,6,FALSE))</f>
        <v>13</v>
      </c>
      <c r="J306" s="102">
        <f>IF(VLOOKUP($P306,线下模式!$A$3:$X$22,5,FALSE)="","",VLOOKUP($P306,线下模式!$A$3:$X$22,7,FALSE))</f>
        <v>0.75</v>
      </c>
      <c r="K306" s="102">
        <f>IF(I306="","",1)</f>
        <v>1</v>
      </c>
      <c r="L306" s="102" t="str">
        <f>IF(VLOOKUP($P306,线下模式!$A$3:$X$22,5,FALSE)="","","Monster_Offline_"&amp;P306&amp;"_1")</f>
        <v>Monster_Offline_1_1</v>
      </c>
      <c r="M306" s="57">
        <f>IF(I306="","",1)</f>
        <v>1</v>
      </c>
      <c r="O306" s="102">
        <f>IF(VLOOKUP($P306,线下模式!$A$3:$X$22,5,FALSE)="","",VLOOKUP($P306,线下模式!$A$3:$X$22,9,FALSE))</f>
        <v>46</v>
      </c>
      <c r="P306" s="110">
        <f>IF(C306="",P289,C306)</f>
        <v>1</v>
      </c>
      <c r="Q306" s="110">
        <v>1</v>
      </c>
    </row>
    <row r="307" spans="2:17" x14ac:dyDescent="0.2">
      <c r="D307" s="57" t="str">
        <f t="shared" si="64"/>
        <v/>
      </c>
      <c r="F307" s="57" t="str">
        <f t="shared" ref="F307:F370" si="65">IF(C307="","",0)</f>
        <v/>
      </c>
      <c r="G307" s="102" t="str">
        <f t="shared" ref="G307:G370" si="66">IF(C307="","",180)</f>
        <v/>
      </c>
      <c r="H307" s="57" t="str">
        <f t="shared" ref="H307:H370" si="67">IF(I307="","",0)</f>
        <v/>
      </c>
      <c r="I307" s="102" t="str">
        <f>IF(VLOOKUP($P307,线下模式!$A$3:$X$22,10,FALSE)="","",VLOOKUP($P307,线下模式!$A$3:$X$22,11,FALSE))</f>
        <v/>
      </c>
      <c r="J307" s="102" t="str">
        <f>IF(VLOOKUP($P307,线下模式!$A$3:$X$22,10,FALSE)="","",VLOOKUP($P307,线下模式!$A$3:$X$22,12,FALSE))</f>
        <v/>
      </c>
      <c r="K307" s="102" t="str">
        <f t="shared" ref="K307:K370" si="68">IF(I307="","",1)</f>
        <v/>
      </c>
      <c r="L307" s="102" t="str">
        <f>IF(VLOOKUP($P307,线下模式!$A$3:$X$22,10,FALSE)="","","Monster_Offline_"&amp;P307&amp;"_2")</f>
        <v/>
      </c>
      <c r="M307" s="57" t="str">
        <f t="shared" ref="M307:M370" si="69">IF(I307="","",1)</f>
        <v/>
      </c>
      <c r="O307" s="102" t="str">
        <f>IF(VLOOKUP($P307,线下模式!$A$3:$X$22,10,FALSE)="","",VLOOKUP($P307,线下模式!$A$3:$X$22,14,FALSE))</f>
        <v/>
      </c>
      <c r="P307" s="110">
        <f t="shared" ref="P307:P370" si="70">IF(C307="",P306,C307)</f>
        <v>1</v>
      </c>
      <c r="Q307" s="110">
        <v>2</v>
      </c>
    </row>
    <row r="308" spans="2:17" x14ac:dyDescent="0.2">
      <c r="D308" s="57" t="str">
        <f t="shared" si="64"/>
        <v/>
      </c>
      <c r="F308" s="57" t="str">
        <f t="shared" si="65"/>
        <v/>
      </c>
      <c r="G308" s="102" t="str">
        <f t="shared" si="66"/>
        <v/>
      </c>
      <c r="H308" s="57" t="str">
        <f t="shared" si="67"/>
        <v/>
      </c>
      <c r="I308" s="102" t="str">
        <f>IF(VLOOKUP($P308,线下模式!$A$3:$X$22,15,FALSE)="","",VLOOKUP($P308,线下模式!$A$3:$X$22,16,FALSE))</f>
        <v/>
      </c>
      <c r="J308" s="102" t="str">
        <f>IF(VLOOKUP($P308,线下模式!$A$3:$X$22,15,FALSE)="","",VLOOKUP($P308,线下模式!$A$3:$X$22,17,FALSE))</f>
        <v/>
      </c>
      <c r="K308" s="102" t="str">
        <f t="shared" si="68"/>
        <v/>
      </c>
      <c r="L308" s="102" t="str">
        <f>IF(VLOOKUP($P308,线下模式!$A$3:$X$22,15,FALSE)="","","Monster_Offline_"&amp;P308&amp;"_3")</f>
        <v/>
      </c>
      <c r="M308" s="57" t="str">
        <f t="shared" si="69"/>
        <v/>
      </c>
      <c r="O308" s="102" t="str">
        <f>IF(VLOOKUP($P308,线下模式!$A$3:$X$22,15,FALSE)="","",VLOOKUP($P308,线下模式!$A$3:$X$22,19,FALSE))</f>
        <v/>
      </c>
      <c r="P308" s="110">
        <f t="shared" si="70"/>
        <v>1</v>
      </c>
      <c r="Q308" s="110">
        <v>3</v>
      </c>
    </row>
    <row r="309" spans="2:17" x14ac:dyDescent="0.2">
      <c r="D309" s="57" t="str">
        <f t="shared" si="64"/>
        <v/>
      </c>
      <c r="F309" s="57" t="str">
        <f t="shared" si="65"/>
        <v/>
      </c>
      <c r="G309" s="102" t="str">
        <f t="shared" si="66"/>
        <v/>
      </c>
      <c r="H309" s="57" t="str">
        <f t="shared" si="67"/>
        <v/>
      </c>
      <c r="I309" s="102" t="str">
        <f>IF(VLOOKUP($P309,线下模式!$A$3:$X$22,20,FALSE)="","",VLOOKUP($P309,线下模式!$A$3:$X$22,21,FALSE))</f>
        <v/>
      </c>
      <c r="J309" s="102" t="str">
        <f>IF(VLOOKUP($P309,线下模式!$A$3:$X$22,20,FALSE)="","",VLOOKUP($P309,线下模式!$A$3:$X$22,22,FALSE))</f>
        <v/>
      </c>
      <c r="K309" s="102" t="str">
        <f t="shared" si="68"/>
        <v/>
      </c>
      <c r="L309" s="102" t="str">
        <f>IF(VLOOKUP($P309,线下模式!$A$3:$X$22,20,FALSE)="","","Monster_Offline_"&amp;P309&amp;"_4")</f>
        <v/>
      </c>
      <c r="M309" s="57" t="str">
        <f t="shared" si="69"/>
        <v/>
      </c>
      <c r="O309" s="102" t="str">
        <f>IF(VLOOKUP($P309,线下模式!$A$3:$X$22,20,FALSE)="","",VLOOKUP($P309,线下模式!$A$3:$X$22,24,FALSE))</f>
        <v/>
      </c>
      <c r="P309" s="110">
        <f t="shared" si="70"/>
        <v>1</v>
      </c>
      <c r="Q309" s="110">
        <v>4</v>
      </c>
    </row>
    <row r="310" spans="2:17" x14ac:dyDescent="0.2">
      <c r="B310" s="57" t="s">
        <v>1762</v>
      </c>
      <c r="C310" s="57">
        <v>2</v>
      </c>
      <c r="D310" s="57" t="str">
        <f t="shared" si="64"/>
        <v>线下模式第2波</v>
      </c>
      <c r="F310" s="57">
        <f t="shared" si="65"/>
        <v>0</v>
      </c>
      <c r="G310" s="102">
        <f t="shared" si="66"/>
        <v>180</v>
      </c>
      <c r="H310" s="57">
        <f t="shared" si="67"/>
        <v>0</v>
      </c>
      <c r="I310" s="102">
        <f>IF(VLOOKUP($P310,线下模式!$A$3:$X$22,5,FALSE)="","",VLOOKUP($P310,线下模式!$A$3:$X$22,6,FALSE))</f>
        <v>15</v>
      </c>
      <c r="J310" s="102">
        <f>IF(VLOOKUP($P310,线下模式!$A$3:$X$22,5,FALSE)="","",VLOOKUP($P310,线下模式!$A$3:$X$22,7,FALSE))</f>
        <v>0.75</v>
      </c>
      <c r="K310" s="102">
        <f t="shared" si="68"/>
        <v>1</v>
      </c>
      <c r="L310" s="102" t="str">
        <f>IF(VLOOKUP($P310,线下模式!$A$3:$X$22,5,FALSE)="","","Monster_Offline_"&amp;P310&amp;"_1")</f>
        <v>Monster_Offline_2_1</v>
      </c>
      <c r="M310" s="57">
        <f t="shared" si="69"/>
        <v>1</v>
      </c>
      <c r="O310" s="102">
        <f>IF(VLOOKUP($P310,线下模式!$A$3:$X$22,5,FALSE)="","",VLOOKUP($P310,线下模式!$A$3:$X$22,9,FALSE))</f>
        <v>14</v>
      </c>
      <c r="P310" s="110">
        <f t="shared" si="70"/>
        <v>2</v>
      </c>
      <c r="Q310" s="110">
        <v>1</v>
      </c>
    </row>
    <row r="311" spans="2:17" x14ac:dyDescent="0.2">
      <c r="D311" s="57" t="str">
        <f t="shared" si="64"/>
        <v/>
      </c>
      <c r="F311" s="57" t="str">
        <f t="shared" si="65"/>
        <v/>
      </c>
      <c r="G311" s="102" t="str">
        <f t="shared" si="66"/>
        <v/>
      </c>
      <c r="H311" s="57">
        <f t="shared" si="67"/>
        <v>0</v>
      </c>
      <c r="I311" s="102">
        <f>IF(VLOOKUP($P311,线下模式!$A$3:$X$22,10,FALSE)="","",VLOOKUP($P311,线下模式!$A$3:$X$22,11,FALSE))</f>
        <v>7</v>
      </c>
      <c r="J311" s="102">
        <f>IF(VLOOKUP($P311,线下模式!$A$3:$X$22,10,FALSE)="","",VLOOKUP($P311,线下模式!$A$3:$X$22,12,FALSE))</f>
        <v>1.5</v>
      </c>
      <c r="K311" s="102">
        <f t="shared" si="68"/>
        <v>1</v>
      </c>
      <c r="L311" s="102" t="str">
        <f>IF(VLOOKUP($P311,线下模式!$A$3:$X$22,10,FALSE)="","","Monster_Offline_"&amp;P311&amp;"_2")</f>
        <v>Monster_Offline_2_2</v>
      </c>
      <c r="M311" s="57">
        <f t="shared" si="69"/>
        <v>1</v>
      </c>
      <c r="O311" s="102">
        <f>IF(VLOOKUP($P311,线下模式!$A$3:$X$22,10,FALSE)="","",VLOOKUP($P311,线下模式!$A$3:$X$22,14,FALSE))</f>
        <v>56</v>
      </c>
      <c r="P311" s="110">
        <f t="shared" si="70"/>
        <v>2</v>
      </c>
      <c r="Q311" s="110">
        <v>2</v>
      </c>
    </row>
    <row r="312" spans="2:17" x14ac:dyDescent="0.2">
      <c r="D312" s="57" t="str">
        <f t="shared" si="64"/>
        <v/>
      </c>
      <c r="F312" s="57" t="str">
        <f t="shared" si="65"/>
        <v/>
      </c>
      <c r="G312" s="102" t="str">
        <f t="shared" si="66"/>
        <v/>
      </c>
      <c r="H312" s="57" t="str">
        <f t="shared" si="67"/>
        <v/>
      </c>
      <c r="I312" s="102" t="str">
        <f>IF(VLOOKUP($P312,线下模式!$A$3:$X$22,15,FALSE)="","",VLOOKUP(P312,线下模式!$A$3:$X$22,16,FALSE))</f>
        <v/>
      </c>
      <c r="J312" s="102" t="str">
        <f>IF(VLOOKUP($P312,线下模式!$A$3:$X$22,15,FALSE)="","",VLOOKUP($P312,线下模式!$A$3:$X$22,17,FALSE))</f>
        <v/>
      </c>
      <c r="K312" s="102" t="str">
        <f t="shared" si="68"/>
        <v/>
      </c>
      <c r="L312" s="102" t="str">
        <f>IF(VLOOKUP($P312,线下模式!$A$3:$X$22,15,FALSE)="","","Monster_Offline_"&amp;P312&amp;"_3")</f>
        <v/>
      </c>
      <c r="M312" s="57" t="str">
        <f t="shared" si="69"/>
        <v/>
      </c>
      <c r="O312" s="102" t="str">
        <f>IF(VLOOKUP($P312,线下模式!$A$3:$X$22,15,FALSE)="","",VLOOKUP($P312,线下模式!$A$3:$X$22,19,FALSE))</f>
        <v/>
      </c>
      <c r="P312" s="110">
        <f t="shared" si="70"/>
        <v>2</v>
      </c>
      <c r="Q312" s="110">
        <v>3</v>
      </c>
    </row>
    <row r="313" spans="2:17" x14ac:dyDescent="0.2">
      <c r="D313" s="57" t="str">
        <f t="shared" si="64"/>
        <v/>
      </c>
      <c r="F313" s="57" t="str">
        <f t="shared" si="65"/>
        <v/>
      </c>
      <c r="G313" s="102" t="str">
        <f t="shared" si="66"/>
        <v/>
      </c>
      <c r="H313" s="57" t="str">
        <f t="shared" si="67"/>
        <v/>
      </c>
      <c r="I313" s="102" t="str">
        <f>IF(VLOOKUP($P313,线下模式!$A$3:$X$22,20,FALSE)="","",VLOOKUP($P313,线下模式!$A$3:$X$22,21,FALSE))</f>
        <v/>
      </c>
      <c r="J313" s="102" t="str">
        <f>IF(VLOOKUP($P313,线下模式!$A$3:$X$22,20,FALSE)="","",VLOOKUP($P313,线下模式!$A$3:$X$22,22,FALSE))</f>
        <v/>
      </c>
      <c r="K313" s="102" t="str">
        <f t="shared" si="68"/>
        <v/>
      </c>
      <c r="L313" s="102" t="str">
        <f>IF(VLOOKUP($P313,线下模式!$A$3:$X$22,20,FALSE)="","","Monster_Offline_"&amp;P313&amp;"_4")</f>
        <v/>
      </c>
      <c r="M313" s="57" t="str">
        <f t="shared" si="69"/>
        <v/>
      </c>
      <c r="O313" s="102" t="str">
        <f>IF(VLOOKUP($P313,线下模式!$A$3:$X$22,20,FALSE)="","",VLOOKUP($P313,线下模式!$A$3:$X$22,24,FALSE))</f>
        <v/>
      </c>
      <c r="P313" s="110">
        <f t="shared" si="70"/>
        <v>2</v>
      </c>
      <c r="Q313" s="110">
        <v>4</v>
      </c>
    </row>
    <row r="314" spans="2:17" x14ac:dyDescent="0.2">
      <c r="B314" s="57" t="s">
        <v>1762</v>
      </c>
      <c r="C314" s="57">
        <v>3</v>
      </c>
      <c r="D314" s="57" t="str">
        <f t="shared" si="64"/>
        <v>线下模式第3波</v>
      </c>
      <c r="F314" s="57">
        <f t="shared" si="65"/>
        <v>0</v>
      </c>
      <c r="G314" s="102">
        <f t="shared" si="66"/>
        <v>180</v>
      </c>
      <c r="H314" s="57">
        <f t="shared" si="67"/>
        <v>0</v>
      </c>
      <c r="I314" s="102">
        <f>IF(VLOOKUP($P314,线下模式!$A$3:$X$22,5,FALSE)="","",VLOOKUP($P314,线下模式!$A$3:$X$22,6,FALSE))</f>
        <v>8</v>
      </c>
      <c r="J314" s="102">
        <f>IF(VLOOKUP($P314,线下模式!$A$3:$X$22,5,FALSE)="","",VLOOKUP($P314,线下模式!$A$3:$X$22,7,FALSE))</f>
        <v>1.5</v>
      </c>
      <c r="K314" s="102">
        <f t="shared" si="68"/>
        <v>1</v>
      </c>
      <c r="L314" s="102" t="str">
        <f>IF(VLOOKUP($P314,线下模式!$A$3:$X$22,5,FALSE)="","","Monster_Offline_"&amp;P314&amp;"_1")</f>
        <v>Monster_Offline_3_1</v>
      </c>
      <c r="M314" s="57">
        <f t="shared" si="69"/>
        <v>1</v>
      </c>
      <c r="O314" s="102">
        <f>IF(VLOOKUP($P314,线下模式!$A$3:$X$22,5,FALSE)="","",VLOOKUP($P314,线下模式!$A$3:$X$22,9,FALSE))</f>
        <v>26</v>
      </c>
      <c r="P314" s="110">
        <f t="shared" si="70"/>
        <v>3</v>
      </c>
      <c r="Q314" s="110">
        <v>1</v>
      </c>
    </row>
    <row r="315" spans="2:17" x14ac:dyDescent="0.2">
      <c r="D315" s="57" t="str">
        <f t="shared" si="64"/>
        <v/>
      </c>
      <c r="F315" s="57" t="str">
        <f t="shared" si="65"/>
        <v/>
      </c>
      <c r="G315" s="102" t="str">
        <f t="shared" si="66"/>
        <v/>
      </c>
      <c r="H315" s="57">
        <f t="shared" si="67"/>
        <v>0</v>
      </c>
      <c r="I315" s="102">
        <f>IF(VLOOKUP($P315,线下模式!$A$3:$X$22,10,FALSE)="","",VLOOKUP($P315,线下模式!$A$3:$X$22,11,FALSE))</f>
        <v>60</v>
      </c>
      <c r="J315" s="102">
        <f>IF(VLOOKUP($P315,线下模式!$A$3:$X$22,10,FALSE)="","",VLOOKUP($P315,线下模式!$A$3:$X$22,12,FALSE))</f>
        <v>0.2</v>
      </c>
      <c r="K315" s="102">
        <f t="shared" si="68"/>
        <v>1</v>
      </c>
      <c r="L315" s="102" t="str">
        <f>IF(VLOOKUP($P315,线下模式!$A$3:$X$22,10,FALSE)="","","Monster_Offline_"&amp;P315&amp;"_2")</f>
        <v>Monster_Offline_3_2</v>
      </c>
      <c r="M315" s="57">
        <f t="shared" si="69"/>
        <v>1</v>
      </c>
      <c r="O315" s="102">
        <f>IF(VLOOKUP($P315,线下模式!$A$3:$X$22,10,FALSE)="","",VLOOKUP($P315,线下模式!$A$3:$X$22,14,FALSE))</f>
        <v>7</v>
      </c>
      <c r="P315" s="110">
        <f t="shared" si="70"/>
        <v>3</v>
      </c>
      <c r="Q315" s="110">
        <v>2</v>
      </c>
    </row>
    <row r="316" spans="2:17" x14ac:dyDescent="0.2">
      <c r="D316" s="57" t="str">
        <f t="shared" si="64"/>
        <v/>
      </c>
      <c r="F316" s="57" t="str">
        <f t="shared" si="65"/>
        <v/>
      </c>
      <c r="G316" s="102" t="str">
        <f t="shared" si="66"/>
        <v/>
      </c>
      <c r="H316" s="57" t="str">
        <f t="shared" si="67"/>
        <v/>
      </c>
      <c r="I316" s="102" t="str">
        <f>IF(VLOOKUP($P316,线下模式!$A$3:$X$22,15,FALSE)="","",VLOOKUP(P316,线下模式!$A$3:$X$22,16,FALSE))</f>
        <v/>
      </c>
      <c r="J316" s="102" t="str">
        <f>IF(VLOOKUP($P316,线下模式!$A$3:$X$22,15,FALSE)="","",VLOOKUP($P316,线下模式!$A$3:$X$22,17,FALSE))</f>
        <v/>
      </c>
      <c r="K316" s="102" t="str">
        <f t="shared" si="68"/>
        <v/>
      </c>
      <c r="L316" s="102" t="str">
        <f>IF(VLOOKUP($P316,线下模式!$A$3:$X$22,15,FALSE)="","","Monster_Offline_"&amp;P316&amp;"_3")</f>
        <v/>
      </c>
      <c r="M316" s="57" t="str">
        <f t="shared" si="69"/>
        <v/>
      </c>
      <c r="O316" s="102" t="str">
        <f>IF(VLOOKUP($P316,线下模式!$A$3:$X$22,15,FALSE)="","",VLOOKUP($P316,线下模式!$A$3:$X$22,19,FALSE))</f>
        <v/>
      </c>
      <c r="P316" s="110">
        <f t="shared" si="70"/>
        <v>3</v>
      </c>
      <c r="Q316" s="110">
        <v>3</v>
      </c>
    </row>
    <row r="317" spans="2:17" x14ac:dyDescent="0.2">
      <c r="D317" s="57" t="str">
        <f t="shared" si="64"/>
        <v/>
      </c>
      <c r="F317" s="57" t="str">
        <f t="shared" si="65"/>
        <v/>
      </c>
      <c r="G317" s="102" t="str">
        <f t="shared" si="66"/>
        <v/>
      </c>
      <c r="H317" s="57" t="str">
        <f t="shared" si="67"/>
        <v/>
      </c>
      <c r="I317" s="102" t="str">
        <f>IF(VLOOKUP($P317,线下模式!$A$3:$X$22,20,FALSE)="","",VLOOKUP($P317,线下模式!$A$3:$X$22,21,FALSE))</f>
        <v/>
      </c>
      <c r="J317" s="102" t="str">
        <f>IF(VLOOKUP($P317,线下模式!$A$3:$X$22,20,FALSE)="","",VLOOKUP($P317,线下模式!$A$3:$X$22,22,FALSE))</f>
        <v/>
      </c>
      <c r="K317" s="102" t="str">
        <f t="shared" si="68"/>
        <v/>
      </c>
      <c r="L317" s="102" t="str">
        <f>IF(VLOOKUP($P317,线下模式!$A$3:$X$22,20,FALSE)="","","Monster_Offline_"&amp;P317&amp;"_4")</f>
        <v/>
      </c>
      <c r="M317" s="57" t="str">
        <f t="shared" si="69"/>
        <v/>
      </c>
      <c r="O317" s="102" t="str">
        <f>IF(VLOOKUP($P317,线下模式!$A$3:$X$22,20,FALSE)="","",VLOOKUP($P317,线下模式!$A$3:$X$22,24,FALSE))</f>
        <v/>
      </c>
      <c r="P317" s="110">
        <f t="shared" si="70"/>
        <v>3</v>
      </c>
      <c r="Q317" s="110">
        <v>4</v>
      </c>
    </row>
    <row r="318" spans="2:17" x14ac:dyDescent="0.2">
      <c r="B318" s="57" t="s">
        <v>1762</v>
      </c>
      <c r="C318" s="57">
        <v>4</v>
      </c>
      <c r="D318" s="57" t="str">
        <f t="shared" si="64"/>
        <v>线下模式第4波</v>
      </c>
      <c r="F318" s="57">
        <f t="shared" si="65"/>
        <v>0</v>
      </c>
      <c r="G318" s="102">
        <f t="shared" si="66"/>
        <v>180</v>
      </c>
      <c r="H318" s="57">
        <f t="shared" si="67"/>
        <v>0</v>
      </c>
      <c r="I318" s="102">
        <f>IF(VLOOKUP($P318,线下模式!$A$3:$X$22,5,FALSE)="","",VLOOKUP($P318,线下模式!$A$3:$X$22,6,FALSE))</f>
        <v>17</v>
      </c>
      <c r="J318" s="102">
        <f>IF(VLOOKUP($P318,线下模式!$A$3:$X$22,5,FALSE)="","",VLOOKUP($P318,线下模式!$A$3:$X$22,7,FALSE))</f>
        <v>0.75</v>
      </c>
      <c r="K318" s="102">
        <f t="shared" si="68"/>
        <v>1</v>
      </c>
      <c r="L318" s="102" t="str">
        <f>IF(VLOOKUP($P318,线下模式!$A$3:$X$22,5,FALSE)="","","Monster_Offline_"&amp;P318&amp;"_1")</f>
        <v>Monster_Offline_4_1</v>
      </c>
      <c r="M318" s="57">
        <f t="shared" si="69"/>
        <v>1</v>
      </c>
      <c r="O318" s="102">
        <f>IF(VLOOKUP($P318,线下模式!$A$3:$X$22,5,FALSE)="","",VLOOKUP($P318,线下模式!$A$3:$X$22,9,FALSE))</f>
        <v>14</v>
      </c>
      <c r="P318" s="110">
        <f t="shared" si="70"/>
        <v>4</v>
      </c>
      <c r="Q318" s="110">
        <v>1</v>
      </c>
    </row>
    <row r="319" spans="2:17" x14ac:dyDescent="0.2">
      <c r="D319" s="57" t="str">
        <f t="shared" si="64"/>
        <v/>
      </c>
      <c r="F319" s="57" t="str">
        <f t="shared" si="65"/>
        <v/>
      </c>
      <c r="G319" s="102" t="str">
        <f t="shared" si="66"/>
        <v/>
      </c>
      <c r="H319" s="57">
        <f t="shared" si="67"/>
        <v>0</v>
      </c>
      <c r="I319" s="102">
        <f>IF(VLOOKUP($P319,线下模式!$A$3:$X$22,10,FALSE)="","",VLOOKUP($P319,线下模式!$A$3:$X$22,11,FALSE))</f>
        <v>13</v>
      </c>
      <c r="J319" s="102">
        <f>IF(VLOOKUP($P319,线下模式!$A$3:$X$22,10,FALSE)="","",VLOOKUP($P319,线下模式!$A$3:$X$22,12,FALSE))</f>
        <v>1</v>
      </c>
      <c r="K319" s="102">
        <f t="shared" si="68"/>
        <v>1</v>
      </c>
      <c r="L319" s="102" t="str">
        <f>IF(VLOOKUP($P319,线下模式!$A$3:$X$22,10,FALSE)="","","Monster_Offline_"&amp;P319&amp;"_2")</f>
        <v>Monster_Offline_4_2</v>
      </c>
      <c r="M319" s="57">
        <f t="shared" si="69"/>
        <v>1</v>
      </c>
      <c r="O319" s="102">
        <f>IF(VLOOKUP($P319,线下模式!$A$3:$X$22,10,FALSE)="","",VLOOKUP($P319,线下模式!$A$3:$X$22,14,FALSE))</f>
        <v>28</v>
      </c>
      <c r="P319" s="110">
        <f t="shared" si="70"/>
        <v>4</v>
      </c>
      <c r="Q319" s="110">
        <v>2</v>
      </c>
    </row>
    <row r="320" spans="2:17" x14ac:dyDescent="0.2">
      <c r="D320" s="57" t="str">
        <f t="shared" si="64"/>
        <v/>
      </c>
      <c r="F320" s="57" t="str">
        <f t="shared" si="65"/>
        <v/>
      </c>
      <c r="G320" s="102" t="str">
        <f t="shared" si="66"/>
        <v/>
      </c>
      <c r="H320" s="57" t="str">
        <f t="shared" si="67"/>
        <v/>
      </c>
      <c r="I320" s="102" t="str">
        <f>IF(VLOOKUP($P320,线下模式!$A$3:$X$22,15,FALSE)="","",VLOOKUP(P320,线下模式!$A$3:$X$22,16,FALSE))</f>
        <v/>
      </c>
      <c r="J320" s="102" t="str">
        <f>IF(VLOOKUP($P320,线下模式!$A$3:$X$22,15,FALSE)="","",VLOOKUP($P320,线下模式!$A$3:$X$22,17,FALSE))</f>
        <v/>
      </c>
      <c r="K320" s="102" t="str">
        <f t="shared" si="68"/>
        <v/>
      </c>
      <c r="L320" s="102" t="str">
        <f>IF(VLOOKUP($P320,线下模式!$A$3:$X$22,15,FALSE)="","","Monster_Offline_"&amp;P320&amp;"_3")</f>
        <v/>
      </c>
      <c r="M320" s="57" t="str">
        <f t="shared" si="69"/>
        <v/>
      </c>
      <c r="O320" s="102" t="str">
        <f>IF(VLOOKUP($P320,线下模式!$A$3:$X$22,15,FALSE)="","",VLOOKUP($P320,线下模式!$A$3:$X$22,19,FALSE))</f>
        <v/>
      </c>
      <c r="P320" s="110">
        <f t="shared" si="70"/>
        <v>4</v>
      </c>
      <c r="Q320" s="110">
        <v>3</v>
      </c>
    </row>
    <row r="321" spans="2:17" x14ac:dyDescent="0.2">
      <c r="D321" s="57" t="str">
        <f t="shared" si="64"/>
        <v/>
      </c>
      <c r="F321" s="57" t="str">
        <f t="shared" si="65"/>
        <v/>
      </c>
      <c r="G321" s="102" t="str">
        <f t="shared" si="66"/>
        <v/>
      </c>
      <c r="H321" s="57" t="str">
        <f t="shared" si="67"/>
        <v/>
      </c>
      <c r="I321" s="102" t="str">
        <f>IF(VLOOKUP($P321,线下模式!$A$3:$X$22,20,FALSE)="","",VLOOKUP($P321,线下模式!$A$3:$X$22,21,FALSE))</f>
        <v/>
      </c>
      <c r="J321" s="102" t="str">
        <f>IF(VLOOKUP($P321,线下模式!$A$3:$X$22,20,FALSE)="","",VLOOKUP($P321,线下模式!$A$3:$X$22,22,FALSE))</f>
        <v/>
      </c>
      <c r="K321" s="102" t="str">
        <f t="shared" si="68"/>
        <v/>
      </c>
      <c r="L321" s="102" t="str">
        <f>IF(VLOOKUP($P321,线下模式!$A$3:$X$22,20,FALSE)="","","Monster_Offline_"&amp;P321&amp;"_4")</f>
        <v/>
      </c>
      <c r="M321" s="57" t="str">
        <f t="shared" si="69"/>
        <v/>
      </c>
      <c r="O321" s="102" t="str">
        <f>IF(VLOOKUP($P321,线下模式!$A$3:$X$22,20,FALSE)="","",VLOOKUP($P321,线下模式!$A$3:$X$22,24,FALSE))</f>
        <v/>
      </c>
      <c r="P321" s="110">
        <f t="shared" si="70"/>
        <v>4</v>
      </c>
      <c r="Q321" s="110">
        <v>4</v>
      </c>
    </row>
    <row r="322" spans="2:17" x14ac:dyDescent="0.2">
      <c r="B322" s="57" t="s">
        <v>1762</v>
      </c>
      <c r="C322" s="57">
        <v>5</v>
      </c>
      <c r="D322" s="57" t="str">
        <f t="shared" si="64"/>
        <v>线下模式第5波</v>
      </c>
      <c r="F322" s="57">
        <f t="shared" si="65"/>
        <v>0</v>
      </c>
      <c r="G322" s="102">
        <f t="shared" si="66"/>
        <v>180</v>
      </c>
      <c r="H322" s="57">
        <f t="shared" si="67"/>
        <v>0</v>
      </c>
      <c r="I322" s="102">
        <f>IF(VLOOKUP($P322,线下模式!$A$3:$X$22,5,FALSE)="","",VLOOKUP($P322,线下模式!$A$3:$X$22,6,FALSE))</f>
        <v>1</v>
      </c>
      <c r="J322" s="102">
        <f>IF(VLOOKUP($P322,线下模式!$A$3:$X$22,5,FALSE)="","",VLOOKUP($P322,线下模式!$A$3:$X$22,7,FALSE))</f>
        <v>0</v>
      </c>
      <c r="K322" s="102">
        <f t="shared" si="68"/>
        <v>1</v>
      </c>
      <c r="L322" s="102" t="str">
        <f>IF(VLOOKUP($P322,线下模式!$A$3:$X$22,5,FALSE)="","","Monster_Offline_"&amp;P322&amp;"_1")</f>
        <v>Monster_Offline_5_1</v>
      </c>
      <c r="M322" s="57">
        <f t="shared" si="69"/>
        <v>1</v>
      </c>
      <c r="O322" s="102">
        <f>IF(VLOOKUP($P322,线下模式!$A$3:$X$22,5,FALSE)="","",VLOOKUP($P322,线下模式!$A$3:$X$22,9,FALSE))</f>
        <v>417</v>
      </c>
      <c r="P322" s="110">
        <f t="shared" si="70"/>
        <v>5</v>
      </c>
      <c r="Q322" s="110">
        <v>1</v>
      </c>
    </row>
    <row r="323" spans="2:17" x14ac:dyDescent="0.2">
      <c r="D323" s="57" t="str">
        <f t="shared" si="64"/>
        <v/>
      </c>
      <c r="F323" s="57" t="str">
        <f t="shared" si="65"/>
        <v/>
      </c>
      <c r="G323" s="102" t="str">
        <f t="shared" si="66"/>
        <v/>
      </c>
      <c r="H323" s="57">
        <f t="shared" si="67"/>
        <v>0</v>
      </c>
      <c r="I323" s="102">
        <f>IF(VLOOKUP($P323,线下模式!$A$3:$X$22,10,FALSE)="","",VLOOKUP($P323,线下模式!$A$3:$X$22,11,FALSE))</f>
        <v>35</v>
      </c>
      <c r="J323" s="102">
        <f>IF(VLOOKUP($P323,线下模式!$A$3:$X$22,10,FALSE)="","",VLOOKUP($P323,线下模式!$A$3:$X$22,12,FALSE))</f>
        <v>0.4</v>
      </c>
      <c r="K323" s="102">
        <f t="shared" si="68"/>
        <v>1</v>
      </c>
      <c r="L323" s="102" t="str">
        <f>IF(VLOOKUP($P323,线下模式!$A$3:$X$22,10,FALSE)="","","Monster_Offline_"&amp;P323&amp;"_2")</f>
        <v>Monster_Offline_5_2</v>
      </c>
      <c r="M323" s="57">
        <f t="shared" si="69"/>
        <v>1</v>
      </c>
      <c r="O323" s="102">
        <f>IF(VLOOKUP($P323,线下模式!$A$3:$X$22,10,FALSE)="","",VLOOKUP($P323,线下模式!$A$3:$X$22,14,FALSE))</f>
        <v>5</v>
      </c>
      <c r="P323" s="110">
        <f t="shared" si="70"/>
        <v>5</v>
      </c>
      <c r="Q323" s="110">
        <v>2</v>
      </c>
    </row>
    <row r="324" spans="2:17" x14ac:dyDescent="0.2">
      <c r="D324" s="57" t="str">
        <f t="shared" si="64"/>
        <v/>
      </c>
      <c r="F324" s="57" t="str">
        <f t="shared" si="65"/>
        <v/>
      </c>
      <c r="G324" s="102" t="str">
        <f t="shared" si="66"/>
        <v/>
      </c>
      <c r="H324" s="57" t="str">
        <f t="shared" si="67"/>
        <v/>
      </c>
      <c r="I324" s="102" t="str">
        <f>IF(VLOOKUP($P324,线下模式!$A$3:$X$22,15,FALSE)="","",VLOOKUP(P324,线下模式!$A$3:$X$22,16,FALSE))</f>
        <v/>
      </c>
      <c r="J324" s="102" t="str">
        <f>IF(VLOOKUP($P324,线下模式!$A$3:$X$22,15,FALSE)="","",VLOOKUP($P324,线下模式!$A$3:$X$22,17,FALSE))</f>
        <v/>
      </c>
      <c r="K324" s="102" t="str">
        <f t="shared" si="68"/>
        <v/>
      </c>
      <c r="L324" s="102" t="str">
        <f>IF(VLOOKUP($P324,线下模式!$A$3:$X$22,15,FALSE)="","","Monster_Offline_"&amp;P324&amp;"_3")</f>
        <v/>
      </c>
      <c r="M324" s="57" t="str">
        <f t="shared" si="69"/>
        <v/>
      </c>
      <c r="O324" s="102" t="str">
        <f>IF(VLOOKUP($P324,线下模式!$A$3:$X$22,15,FALSE)="","",VLOOKUP($P324,线下模式!$A$3:$X$22,19,FALSE))</f>
        <v/>
      </c>
      <c r="P324" s="110">
        <f t="shared" si="70"/>
        <v>5</v>
      </c>
      <c r="Q324" s="110">
        <v>3</v>
      </c>
    </row>
    <row r="325" spans="2:17" x14ac:dyDescent="0.2">
      <c r="D325" s="57" t="str">
        <f t="shared" si="64"/>
        <v/>
      </c>
      <c r="F325" s="57" t="str">
        <f t="shared" si="65"/>
        <v/>
      </c>
      <c r="G325" s="102" t="str">
        <f t="shared" si="66"/>
        <v/>
      </c>
      <c r="H325" s="57" t="str">
        <f t="shared" si="67"/>
        <v/>
      </c>
      <c r="I325" s="102" t="str">
        <f>IF(VLOOKUP($P325,线下模式!$A$3:$X$22,20,FALSE)="","",VLOOKUP($P325,线下模式!$A$3:$X$22,21,FALSE))</f>
        <v/>
      </c>
      <c r="J325" s="102" t="str">
        <f>IF(VLOOKUP($P325,线下模式!$A$3:$X$22,20,FALSE)="","",VLOOKUP($P325,线下模式!$A$3:$X$22,22,FALSE))</f>
        <v/>
      </c>
      <c r="K325" s="102" t="str">
        <f t="shared" si="68"/>
        <v/>
      </c>
      <c r="L325" s="102" t="str">
        <f>IF(VLOOKUP($P325,线下模式!$A$3:$X$22,20,FALSE)="","","Monster_Offline_"&amp;P325&amp;"_4")</f>
        <v/>
      </c>
      <c r="M325" s="57" t="str">
        <f t="shared" si="69"/>
        <v/>
      </c>
      <c r="O325" s="102" t="str">
        <f>IF(VLOOKUP($P325,线下模式!$A$3:$X$22,20,FALSE)="","",VLOOKUP($P325,线下模式!$A$3:$X$22,24,FALSE))</f>
        <v/>
      </c>
      <c r="P325" s="110">
        <f t="shared" si="70"/>
        <v>5</v>
      </c>
      <c r="Q325" s="110">
        <v>4</v>
      </c>
    </row>
    <row r="326" spans="2:17" x14ac:dyDescent="0.2">
      <c r="B326" s="57" t="s">
        <v>1762</v>
      </c>
      <c r="C326" s="57">
        <v>6</v>
      </c>
      <c r="D326" s="57" t="str">
        <f t="shared" si="64"/>
        <v>线下模式第6波</v>
      </c>
      <c r="F326" s="57">
        <f t="shared" si="65"/>
        <v>0</v>
      </c>
      <c r="G326" s="102">
        <f t="shared" si="66"/>
        <v>180</v>
      </c>
      <c r="H326" s="57">
        <f t="shared" si="67"/>
        <v>0</v>
      </c>
      <c r="I326" s="102">
        <f>IF(VLOOKUP($P326,线下模式!$A$3:$X$22,5,FALSE)="","",VLOOKUP($P326,线下模式!$A$3:$X$22,6,FALSE))</f>
        <v>20</v>
      </c>
      <c r="J326" s="102">
        <f>IF(VLOOKUP($P326,线下模式!$A$3:$X$22,5,FALSE)="","",VLOOKUP($P326,线下模式!$A$3:$X$22,7,FALSE))</f>
        <v>0.75</v>
      </c>
      <c r="K326" s="102">
        <f t="shared" si="68"/>
        <v>1</v>
      </c>
      <c r="L326" s="102" t="str">
        <f>IF(VLOOKUP($P326,线下模式!$A$3:$X$22,5,FALSE)="","","Monster_Offline_"&amp;P326&amp;"_1")</f>
        <v>Monster_Offline_6_1</v>
      </c>
      <c r="M326" s="57">
        <f t="shared" si="69"/>
        <v>1</v>
      </c>
      <c r="O326" s="102">
        <f>IF(VLOOKUP($P326,线下模式!$A$3:$X$22,5,FALSE)="","",VLOOKUP($P326,线下模式!$A$3:$X$22,9,FALSE))</f>
        <v>20</v>
      </c>
      <c r="P326" s="110">
        <f t="shared" si="70"/>
        <v>6</v>
      </c>
      <c r="Q326" s="110">
        <v>1</v>
      </c>
    </row>
    <row r="327" spans="2:17" x14ac:dyDescent="0.2">
      <c r="D327" s="57" t="str">
        <f t="shared" si="64"/>
        <v/>
      </c>
      <c r="F327" s="57" t="str">
        <f t="shared" si="65"/>
        <v/>
      </c>
      <c r="G327" s="102" t="str">
        <f t="shared" si="66"/>
        <v/>
      </c>
      <c r="H327" s="57">
        <f t="shared" si="67"/>
        <v>0</v>
      </c>
      <c r="I327" s="102">
        <f>IF(VLOOKUP($P327,线下模式!$A$3:$X$22,10,FALSE)="","",VLOOKUP($P327,线下模式!$A$3:$X$22,11,FALSE))</f>
        <v>20</v>
      </c>
      <c r="J327" s="102">
        <f>IF(VLOOKUP($P327,线下模式!$A$3:$X$22,10,FALSE)="","",VLOOKUP($P327,线下模式!$A$3:$X$22,12,FALSE))</f>
        <v>0.75</v>
      </c>
      <c r="K327" s="102">
        <f t="shared" si="68"/>
        <v>1</v>
      </c>
      <c r="L327" s="102" t="str">
        <f>IF(VLOOKUP($P327,线下模式!$A$3:$X$22,10,FALSE)="","","Monster_Offline_"&amp;P327&amp;"_2")</f>
        <v>Monster_Offline_6_2</v>
      </c>
      <c r="M327" s="57">
        <f t="shared" si="69"/>
        <v>1</v>
      </c>
      <c r="O327" s="102">
        <f>IF(VLOOKUP($P327,线下模式!$A$3:$X$22,10,FALSE)="","",VLOOKUP($P327,线下模式!$A$3:$X$22,14,FALSE))</f>
        <v>10</v>
      </c>
      <c r="P327" s="110">
        <f t="shared" si="70"/>
        <v>6</v>
      </c>
      <c r="Q327" s="110">
        <v>2</v>
      </c>
    </row>
    <row r="328" spans="2:17" x14ac:dyDescent="0.2">
      <c r="D328" s="57" t="str">
        <f t="shared" si="64"/>
        <v/>
      </c>
      <c r="F328" s="57" t="str">
        <f t="shared" si="65"/>
        <v/>
      </c>
      <c r="G328" s="102" t="str">
        <f t="shared" si="66"/>
        <v/>
      </c>
      <c r="H328" s="57" t="str">
        <f t="shared" si="67"/>
        <v/>
      </c>
      <c r="I328" s="102" t="str">
        <f>IF(VLOOKUP($P328,线下模式!$A$3:$X$22,15,FALSE)="","",VLOOKUP(P328,线下模式!$A$3:$X$22,16,FALSE))</f>
        <v/>
      </c>
      <c r="J328" s="102" t="str">
        <f>IF(VLOOKUP($P328,线下模式!$A$3:$X$22,15,FALSE)="","",VLOOKUP($P328,线下模式!$A$3:$X$22,17,FALSE))</f>
        <v/>
      </c>
      <c r="K328" s="102" t="str">
        <f t="shared" si="68"/>
        <v/>
      </c>
      <c r="L328" s="102" t="str">
        <f>IF(VLOOKUP($P328,线下模式!$A$3:$X$22,15,FALSE)="","","Monster_Offline_"&amp;P328&amp;"_3")</f>
        <v/>
      </c>
      <c r="M328" s="57" t="str">
        <f t="shared" si="69"/>
        <v/>
      </c>
      <c r="O328" s="102" t="str">
        <f>IF(VLOOKUP($P328,线下模式!$A$3:$X$22,15,FALSE)="","",VLOOKUP($P328,线下模式!$A$3:$X$22,19,FALSE))</f>
        <v/>
      </c>
      <c r="P328" s="110">
        <f t="shared" si="70"/>
        <v>6</v>
      </c>
      <c r="Q328" s="110">
        <v>3</v>
      </c>
    </row>
    <row r="329" spans="2:17" x14ac:dyDescent="0.2">
      <c r="D329" s="57" t="str">
        <f t="shared" si="64"/>
        <v/>
      </c>
      <c r="F329" s="57" t="str">
        <f t="shared" si="65"/>
        <v/>
      </c>
      <c r="G329" s="102" t="str">
        <f t="shared" si="66"/>
        <v/>
      </c>
      <c r="H329" s="57" t="str">
        <f t="shared" si="67"/>
        <v/>
      </c>
      <c r="I329" s="102" t="str">
        <f>IF(VLOOKUP($P329,线下模式!$A$3:$X$22,20,FALSE)="","",VLOOKUP($P329,线下模式!$A$3:$X$22,21,FALSE))</f>
        <v/>
      </c>
      <c r="J329" s="102" t="str">
        <f>IF(VLOOKUP($P329,线下模式!$A$3:$X$22,20,FALSE)="","",VLOOKUP($P329,线下模式!$A$3:$X$22,22,FALSE))</f>
        <v/>
      </c>
      <c r="K329" s="102" t="str">
        <f t="shared" si="68"/>
        <v/>
      </c>
      <c r="L329" s="102" t="str">
        <f>IF(VLOOKUP($P329,线下模式!$A$3:$X$22,20,FALSE)="","","Monster_Offline_"&amp;P329&amp;"_4")</f>
        <v/>
      </c>
      <c r="M329" s="57" t="str">
        <f t="shared" si="69"/>
        <v/>
      </c>
      <c r="O329" s="102" t="str">
        <f>IF(VLOOKUP($P329,线下模式!$A$3:$X$22,20,FALSE)="","",VLOOKUP($P329,线下模式!$A$3:$X$22,24,FALSE))</f>
        <v/>
      </c>
      <c r="P329" s="110">
        <f t="shared" si="70"/>
        <v>6</v>
      </c>
      <c r="Q329" s="110">
        <v>4</v>
      </c>
    </row>
    <row r="330" spans="2:17" x14ac:dyDescent="0.2">
      <c r="B330" s="57" t="s">
        <v>1762</v>
      </c>
      <c r="C330" s="57">
        <v>7</v>
      </c>
      <c r="D330" s="57" t="str">
        <f t="shared" si="64"/>
        <v>线下模式第7波</v>
      </c>
      <c r="F330" s="57">
        <f t="shared" si="65"/>
        <v>0</v>
      </c>
      <c r="G330" s="102">
        <f t="shared" si="66"/>
        <v>180</v>
      </c>
      <c r="H330" s="57">
        <f t="shared" si="67"/>
        <v>0</v>
      </c>
      <c r="I330" s="102">
        <f>IF(VLOOKUP($P330,线下模式!$A$3:$X$22,5,FALSE)="","",VLOOKUP($P330,线下模式!$A$3:$X$22,6,FALSE))</f>
        <v>32</v>
      </c>
      <c r="J330" s="102">
        <f>IF(VLOOKUP($P330,线下模式!$A$3:$X$22,5,FALSE)="","",VLOOKUP($P330,线下模式!$A$3:$X$22,7,FALSE))</f>
        <v>0.5</v>
      </c>
      <c r="K330" s="102">
        <f t="shared" si="68"/>
        <v>1</v>
      </c>
      <c r="L330" s="102" t="str">
        <f>IF(VLOOKUP($P330,线下模式!$A$3:$X$22,5,FALSE)="","","Monster_Offline_"&amp;P330&amp;"_1")</f>
        <v>Monster_Offline_7_1</v>
      </c>
      <c r="M330" s="57">
        <f t="shared" si="69"/>
        <v>1</v>
      </c>
      <c r="O330" s="102">
        <f>IF(VLOOKUP($P330,线下模式!$A$3:$X$22,5,FALSE)="","",VLOOKUP($P330,线下模式!$A$3:$X$22,9,FALSE))</f>
        <v>14</v>
      </c>
      <c r="P330" s="110">
        <f t="shared" si="70"/>
        <v>7</v>
      </c>
      <c r="Q330" s="110">
        <v>1</v>
      </c>
    </row>
    <row r="331" spans="2:17" x14ac:dyDescent="0.2">
      <c r="D331" s="57" t="str">
        <f t="shared" si="64"/>
        <v/>
      </c>
      <c r="F331" s="57" t="str">
        <f t="shared" si="65"/>
        <v/>
      </c>
      <c r="G331" s="102" t="str">
        <f t="shared" si="66"/>
        <v/>
      </c>
      <c r="H331" s="57">
        <f t="shared" si="67"/>
        <v>0</v>
      </c>
      <c r="I331" s="102">
        <f>IF(VLOOKUP($P331,线下模式!$A$3:$X$22,10,FALSE)="","",VLOOKUP($P331,线下模式!$A$3:$X$22,11,FALSE))</f>
        <v>21</v>
      </c>
      <c r="J331" s="102">
        <f>IF(VLOOKUP($P331,线下模式!$A$3:$X$22,10,FALSE)="","",VLOOKUP($P331,线下模式!$A$3:$X$22,12,FALSE))</f>
        <v>0.75</v>
      </c>
      <c r="K331" s="102">
        <f t="shared" si="68"/>
        <v>1</v>
      </c>
      <c r="L331" s="102" t="str">
        <f>IF(VLOOKUP($P331,线下模式!$A$3:$X$22,10,FALSE)="","","Monster_Offline_"&amp;P331&amp;"_2")</f>
        <v>Monster_Offline_7_2</v>
      </c>
      <c r="M331" s="57">
        <f t="shared" si="69"/>
        <v>1</v>
      </c>
      <c r="O331" s="102">
        <f>IF(VLOOKUP($P331,线下模式!$A$3:$X$22,10,FALSE)="","",VLOOKUP($P331,线下模式!$A$3:$X$22,14,FALSE))</f>
        <v>7</v>
      </c>
      <c r="P331" s="110">
        <f t="shared" si="70"/>
        <v>7</v>
      </c>
      <c r="Q331" s="110">
        <v>2</v>
      </c>
    </row>
    <row r="332" spans="2:17" x14ac:dyDescent="0.2">
      <c r="D332" s="57" t="str">
        <f t="shared" si="64"/>
        <v/>
      </c>
      <c r="F332" s="57" t="str">
        <f t="shared" si="65"/>
        <v/>
      </c>
      <c r="G332" s="102" t="str">
        <f t="shared" si="66"/>
        <v/>
      </c>
      <c r="H332" s="57" t="str">
        <f t="shared" si="67"/>
        <v/>
      </c>
      <c r="I332" s="102" t="str">
        <f>IF(VLOOKUP($P332,线下模式!$A$3:$X$22,15,FALSE)="","",VLOOKUP(P332,线下模式!$A$3:$X$22,16,FALSE))</f>
        <v/>
      </c>
      <c r="J332" s="102" t="str">
        <f>IF(VLOOKUP($P332,线下模式!$A$3:$X$22,15,FALSE)="","",VLOOKUP($P332,线下模式!$A$3:$X$22,17,FALSE))</f>
        <v/>
      </c>
      <c r="K332" s="102" t="str">
        <f t="shared" si="68"/>
        <v/>
      </c>
      <c r="L332" s="102" t="str">
        <f>IF(VLOOKUP($P332,线下模式!$A$3:$X$22,15,FALSE)="","","Monster_Offline_"&amp;P332&amp;"_3")</f>
        <v/>
      </c>
      <c r="M332" s="57" t="str">
        <f t="shared" si="69"/>
        <v/>
      </c>
      <c r="O332" s="102" t="str">
        <f>IF(VLOOKUP($P332,线下模式!$A$3:$X$22,15,FALSE)="","",VLOOKUP($P332,线下模式!$A$3:$X$22,19,FALSE))</f>
        <v/>
      </c>
      <c r="P332" s="110">
        <f t="shared" si="70"/>
        <v>7</v>
      </c>
      <c r="Q332" s="110">
        <v>3</v>
      </c>
    </row>
    <row r="333" spans="2:17" x14ac:dyDescent="0.2">
      <c r="D333" s="57" t="str">
        <f t="shared" si="64"/>
        <v/>
      </c>
      <c r="F333" s="57" t="str">
        <f t="shared" si="65"/>
        <v/>
      </c>
      <c r="G333" s="102" t="str">
        <f t="shared" si="66"/>
        <v/>
      </c>
      <c r="H333" s="57" t="str">
        <f t="shared" si="67"/>
        <v/>
      </c>
      <c r="I333" s="102" t="str">
        <f>IF(VLOOKUP($P333,线下模式!$A$3:$X$22,20,FALSE)="","",VLOOKUP($P333,线下模式!$A$3:$X$22,21,FALSE))</f>
        <v/>
      </c>
      <c r="J333" s="102" t="str">
        <f>IF(VLOOKUP($P333,线下模式!$A$3:$X$22,20,FALSE)="","",VLOOKUP($P333,线下模式!$A$3:$X$22,22,FALSE))</f>
        <v/>
      </c>
      <c r="K333" s="102" t="str">
        <f t="shared" si="68"/>
        <v/>
      </c>
      <c r="L333" s="102" t="str">
        <f>IF(VLOOKUP($P333,线下模式!$A$3:$X$22,20,FALSE)="","","Monster_Offline_"&amp;P333&amp;"_4")</f>
        <v/>
      </c>
      <c r="M333" s="57" t="str">
        <f t="shared" si="69"/>
        <v/>
      </c>
      <c r="O333" s="102" t="str">
        <f>IF(VLOOKUP($P333,线下模式!$A$3:$X$22,20,FALSE)="","",VLOOKUP($P333,线下模式!$A$3:$X$22,24,FALSE))</f>
        <v/>
      </c>
      <c r="P333" s="110">
        <f t="shared" si="70"/>
        <v>7</v>
      </c>
      <c r="Q333" s="110">
        <v>4</v>
      </c>
    </row>
    <row r="334" spans="2:17" x14ac:dyDescent="0.2">
      <c r="B334" s="57" t="s">
        <v>1762</v>
      </c>
      <c r="C334" s="57">
        <v>8</v>
      </c>
      <c r="D334" s="57" t="str">
        <f t="shared" si="64"/>
        <v>线下模式第8波</v>
      </c>
      <c r="F334" s="57">
        <f t="shared" si="65"/>
        <v>0</v>
      </c>
      <c r="G334" s="102">
        <f t="shared" si="66"/>
        <v>180</v>
      </c>
      <c r="H334" s="57">
        <f t="shared" si="67"/>
        <v>0</v>
      </c>
      <c r="I334" s="102">
        <f>IF(VLOOKUP($P334,线下模式!$A$3:$X$22,5,FALSE)="","",VLOOKUP($P334,线下模式!$A$3:$X$22,6,FALSE))</f>
        <v>17</v>
      </c>
      <c r="J334" s="102">
        <f>IF(VLOOKUP($P334,线下模式!$A$3:$X$22,5,FALSE)="","",VLOOKUP($P334,线下模式!$A$3:$X$22,7,FALSE))</f>
        <v>1</v>
      </c>
      <c r="K334" s="102">
        <f t="shared" si="68"/>
        <v>1</v>
      </c>
      <c r="L334" s="102" t="str">
        <f>IF(VLOOKUP($P334,线下模式!$A$3:$X$22,5,FALSE)="","","Monster_Offline_"&amp;P334&amp;"_1")</f>
        <v>Monster_Offline_8_1</v>
      </c>
      <c r="M334" s="57">
        <f t="shared" si="69"/>
        <v>1</v>
      </c>
      <c r="O334" s="102">
        <f>IF(VLOOKUP($P334,线下模式!$A$3:$X$22,5,FALSE)="","",VLOOKUP($P334,线下模式!$A$3:$X$22,9,FALSE))</f>
        <v>26</v>
      </c>
      <c r="P334" s="110">
        <f t="shared" si="70"/>
        <v>8</v>
      </c>
      <c r="Q334" s="110">
        <v>1</v>
      </c>
    </row>
    <row r="335" spans="2:17" x14ac:dyDescent="0.2">
      <c r="D335" s="57" t="str">
        <f t="shared" si="64"/>
        <v/>
      </c>
      <c r="F335" s="57" t="str">
        <f t="shared" si="65"/>
        <v/>
      </c>
      <c r="G335" s="102" t="str">
        <f t="shared" si="66"/>
        <v/>
      </c>
      <c r="H335" s="57">
        <f t="shared" si="67"/>
        <v>0</v>
      </c>
      <c r="I335" s="102">
        <f>IF(VLOOKUP($P335,线下模式!$A$3:$X$22,10,FALSE)="","",VLOOKUP($P335,线下模式!$A$3:$X$22,11,FALSE))</f>
        <v>6</v>
      </c>
      <c r="J335" s="102">
        <f>IF(VLOOKUP($P335,线下模式!$A$3:$X$22,10,FALSE)="","",VLOOKUP($P335,线下模式!$A$3:$X$22,12,FALSE))</f>
        <v>3</v>
      </c>
      <c r="K335" s="102">
        <f t="shared" si="68"/>
        <v>1</v>
      </c>
      <c r="L335" s="102" t="str">
        <f>IF(VLOOKUP($P335,线下模式!$A$3:$X$22,10,FALSE)="","","Monster_Offline_"&amp;P335&amp;"_2")</f>
        <v>Monster_Offline_8_2</v>
      </c>
      <c r="M335" s="57">
        <f t="shared" si="69"/>
        <v>1</v>
      </c>
      <c r="O335" s="102">
        <f>IF(VLOOKUP($P335,线下模式!$A$3:$X$22,10,FALSE)="","",VLOOKUP($P335,线下模式!$A$3:$X$22,14,FALSE))</f>
        <v>26</v>
      </c>
      <c r="P335" s="110">
        <f t="shared" si="70"/>
        <v>8</v>
      </c>
      <c r="Q335" s="110">
        <v>2</v>
      </c>
    </row>
    <row r="336" spans="2:17" x14ac:dyDescent="0.2">
      <c r="D336" s="57" t="str">
        <f t="shared" si="64"/>
        <v/>
      </c>
      <c r="F336" s="57" t="str">
        <f t="shared" si="65"/>
        <v/>
      </c>
      <c r="G336" s="102" t="str">
        <f t="shared" si="66"/>
        <v/>
      </c>
      <c r="H336" s="57" t="str">
        <f t="shared" si="67"/>
        <v/>
      </c>
      <c r="I336" s="102" t="str">
        <f>IF(VLOOKUP($P336,线下模式!$A$3:$X$22,15,FALSE)="","",VLOOKUP(P336,线下模式!$A$3:$X$22,16,FALSE))</f>
        <v/>
      </c>
      <c r="J336" s="102" t="str">
        <f>IF(VLOOKUP($P336,线下模式!$A$3:$X$22,15,FALSE)="","",VLOOKUP($P336,线下模式!$A$3:$X$22,17,FALSE))</f>
        <v/>
      </c>
      <c r="K336" s="102" t="str">
        <f t="shared" si="68"/>
        <v/>
      </c>
      <c r="L336" s="102" t="str">
        <f>IF(VLOOKUP($P336,线下模式!$A$3:$X$22,15,FALSE)="","","Monster_Offline_"&amp;P336&amp;"_3")</f>
        <v/>
      </c>
      <c r="M336" s="57" t="str">
        <f t="shared" si="69"/>
        <v/>
      </c>
      <c r="O336" s="102" t="str">
        <f>IF(VLOOKUP($P336,线下模式!$A$3:$X$22,15,FALSE)="","",VLOOKUP($P336,线下模式!$A$3:$X$22,19,FALSE))</f>
        <v/>
      </c>
      <c r="P336" s="110">
        <f t="shared" si="70"/>
        <v>8</v>
      </c>
      <c r="Q336" s="110">
        <v>3</v>
      </c>
    </row>
    <row r="337" spans="2:17" x14ac:dyDescent="0.2">
      <c r="D337" s="57" t="str">
        <f t="shared" si="64"/>
        <v/>
      </c>
      <c r="F337" s="57" t="str">
        <f t="shared" si="65"/>
        <v/>
      </c>
      <c r="G337" s="102" t="str">
        <f t="shared" si="66"/>
        <v/>
      </c>
      <c r="H337" s="57" t="str">
        <f t="shared" si="67"/>
        <v/>
      </c>
      <c r="I337" s="102" t="str">
        <f>IF(VLOOKUP($P337,线下模式!$A$3:$X$22,20,FALSE)="","",VLOOKUP($P337,线下模式!$A$3:$X$22,21,FALSE))</f>
        <v/>
      </c>
      <c r="J337" s="102" t="str">
        <f>IF(VLOOKUP($P337,线下模式!$A$3:$X$22,20,FALSE)="","",VLOOKUP($P337,线下模式!$A$3:$X$22,22,FALSE))</f>
        <v/>
      </c>
      <c r="K337" s="102" t="str">
        <f t="shared" si="68"/>
        <v/>
      </c>
      <c r="L337" s="102" t="str">
        <f>IF(VLOOKUP($P337,线下模式!$A$3:$X$22,20,FALSE)="","","Monster_Offline_"&amp;P337&amp;"_4")</f>
        <v/>
      </c>
      <c r="M337" s="57" t="str">
        <f t="shared" si="69"/>
        <v/>
      </c>
      <c r="O337" s="102" t="str">
        <f>IF(VLOOKUP($P337,线下模式!$A$3:$X$22,20,FALSE)="","",VLOOKUP($P337,线下模式!$A$3:$X$22,24,FALSE))</f>
        <v/>
      </c>
      <c r="P337" s="110">
        <f t="shared" si="70"/>
        <v>8</v>
      </c>
      <c r="Q337" s="110">
        <v>4</v>
      </c>
    </row>
    <row r="338" spans="2:17" x14ac:dyDescent="0.2">
      <c r="B338" s="57" t="s">
        <v>1762</v>
      </c>
      <c r="C338" s="57">
        <v>9</v>
      </c>
      <c r="D338" s="57" t="str">
        <f t="shared" ref="D338:D369" si="71">IF(C338="","","线下模式第"&amp;C338&amp;"波")</f>
        <v>线下模式第9波</v>
      </c>
      <c r="F338" s="57">
        <f t="shared" si="65"/>
        <v>0</v>
      </c>
      <c r="G338" s="102">
        <f t="shared" si="66"/>
        <v>180</v>
      </c>
      <c r="H338" s="57">
        <f t="shared" si="67"/>
        <v>0</v>
      </c>
      <c r="I338" s="102">
        <f>IF(VLOOKUP($P338,线下模式!$A$3:$X$22,5,FALSE)="","",VLOOKUP($P338,线下模式!$A$3:$X$22,6,FALSE))</f>
        <v>90</v>
      </c>
      <c r="J338" s="102">
        <f>IF(VLOOKUP($P338,线下模式!$A$3:$X$22,5,FALSE)="","",VLOOKUP($P338,线下模式!$A$3:$X$22,7,FALSE))</f>
        <v>0.2</v>
      </c>
      <c r="K338" s="102">
        <f t="shared" si="68"/>
        <v>1</v>
      </c>
      <c r="L338" s="102" t="str">
        <f>IF(VLOOKUP($P338,线下模式!$A$3:$X$22,5,FALSE)="","","Monster_Offline_"&amp;P338&amp;"_1")</f>
        <v>Monster_Offline_9_1</v>
      </c>
      <c r="M338" s="57">
        <f t="shared" si="69"/>
        <v>1</v>
      </c>
      <c r="O338" s="102">
        <f>IF(VLOOKUP($P338,线下模式!$A$3:$X$22,5,FALSE)="","",VLOOKUP($P338,线下模式!$A$3:$X$22,9,FALSE))</f>
        <v>6</v>
      </c>
      <c r="P338" s="110">
        <f t="shared" si="70"/>
        <v>9</v>
      </c>
      <c r="Q338" s="110">
        <v>1</v>
      </c>
    </row>
    <row r="339" spans="2:17" x14ac:dyDescent="0.2">
      <c r="D339" s="57" t="str">
        <f t="shared" si="71"/>
        <v/>
      </c>
      <c r="F339" s="57" t="str">
        <f t="shared" si="65"/>
        <v/>
      </c>
      <c r="G339" s="102" t="str">
        <f t="shared" si="66"/>
        <v/>
      </c>
      <c r="H339" s="57">
        <f t="shared" si="67"/>
        <v>0</v>
      </c>
      <c r="I339" s="102">
        <f>IF(VLOOKUP($P339,线下模式!$A$3:$X$22,10,FALSE)="","",VLOOKUP($P339,线下模式!$A$3:$X$22,11,FALSE))</f>
        <v>6</v>
      </c>
      <c r="J339" s="102">
        <f>IF(VLOOKUP($P339,线下模式!$A$3:$X$22,10,FALSE)="","",VLOOKUP($P339,线下模式!$A$3:$X$22,12,FALSE))</f>
        <v>3</v>
      </c>
      <c r="K339" s="102">
        <f t="shared" si="68"/>
        <v>1</v>
      </c>
      <c r="L339" s="102" t="str">
        <f>IF(VLOOKUP($P339,线下模式!$A$3:$X$22,10,FALSE)="","","Monster_Offline_"&amp;P339&amp;"_2")</f>
        <v>Monster_Offline_9_2</v>
      </c>
      <c r="M339" s="57">
        <f t="shared" si="69"/>
        <v>1</v>
      </c>
      <c r="O339" s="102">
        <f>IF(VLOOKUP($P339,线下模式!$A$3:$X$22,10,FALSE)="","",VLOOKUP($P339,线下模式!$A$3:$X$22,14,FALSE))</f>
        <v>6</v>
      </c>
      <c r="P339" s="110">
        <f t="shared" si="70"/>
        <v>9</v>
      </c>
      <c r="Q339" s="110">
        <v>2</v>
      </c>
    </row>
    <row r="340" spans="2:17" x14ac:dyDescent="0.2">
      <c r="D340" s="57" t="str">
        <f t="shared" si="71"/>
        <v/>
      </c>
      <c r="F340" s="57" t="str">
        <f t="shared" si="65"/>
        <v/>
      </c>
      <c r="G340" s="102" t="str">
        <f t="shared" si="66"/>
        <v/>
      </c>
      <c r="H340" s="57" t="str">
        <f t="shared" si="67"/>
        <v/>
      </c>
      <c r="I340" s="102" t="str">
        <f>IF(VLOOKUP($P340,线下模式!$A$3:$X$22,15,FALSE)="","",VLOOKUP(P340,线下模式!$A$3:$X$22,16,FALSE))</f>
        <v/>
      </c>
      <c r="J340" s="102" t="str">
        <f>IF(VLOOKUP($P340,线下模式!$A$3:$X$22,15,FALSE)="","",VLOOKUP($P340,线下模式!$A$3:$X$22,17,FALSE))</f>
        <v/>
      </c>
      <c r="K340" s="102" t="str">
        <f t="shared" si="68"/>
        <v/>
      </c>
      <c r="L340" s="102" t="str">
        <f>IF(VLOOKUP($P340,线下模式!$A$3:$X$22,15,FALSE)="","","Monster_Offline_"&amp;P340&amp;"_3")</f>
        <v/>
      </c>
      <c r="M340" s="57" t="str">
        <f t="shared" si="69"/>
        <v/>
      </c>
      <c r="O340" s="102" t="str">
        <f>IF(VLOOKUP($P340,线下模式!$A$3:$X$22,15,FALSE)="","",VLOOKUP($P340,线下模式!$A$3:$X$22,19,FALSE))</f>
        <v/>
      </c>
      <c r="P340" s="110">
        <f t="shared" si="70"/>
        <v>9</v>
      </c>
      <c r="Q340" s="110">
        <v>3</v>
      </c>
    </row>
    <row r="341" spans="2:17" x14ac:dyDescent="0.2">
      <c r="D341" s="57" t="str">
        <f t="shared" si="71"/>
        <v/>
      </c>
      <c r="F341" s="57" t="str">
        <f t="shared" si="65"/>
        <v/>
      </c>
      <c r="G341" s="102" t="str">
        <f t="shared" si="66"/>
        <v/>
      </c>
      <c r="H341" s="57" t="str">
        <f t="shared" si="67"/>
        <v/>
      </c>
      <c r="I341" s="102" t="str">
        <f>IF(VLOOKUP($P341,线下模式!$A$3:$X$22,20,FALSE)="","",VLOOKUP($P341,线下模式!$A$3:$X$22,21,FALSE))</f>
        <v/>
      </c>
      <c r="J341" s="102" t="str">
        <f>IF(VLOOKUP($P341,线下模式!$A$3:$X$22,20,FALSE)="","",VLOOKUP($P341,线下模式!$A$3:$X$22,22,FALSE))</f>
        <v/>
      </c>
      <c r="K341" s="102" t="str">
        <f t="shared" si="68"/>
        <v/>
      </c>
      <c r="L341" s="102" t="str">
        <f>IF(VLOOKUP($P341,线下模式!$A$3:$X$22,20,FALSE)="","","Monster_Offline_"&amp;P341&amp;"_4")</f>
        <v/>
      </c>
      <c r="M341" s="57" t="str">
        <f t="shared" si="69"/>
        <v/>
      </c>
      <c r="O341" s="102" t="str">
        <f>IF(VLOOKUP($P341,线下模式!$A$3:$X$22,20,FALSE)="","",VLOOKUP($P341,线下模式!$A$3:$X$22,24,FALSE))</f>
        <v/>
      </c>
      <c r="P341" s="110">
        <f t="shared" si="70"/>
        <v>9</v>
      </c>
      <c r="Q341" s="110">
        <v>4</v>
      </c>
    </row>
    <row r="342" spans="2:17" x14ac:dyDescent="0.2">
      <c r="B342" s="57" t="s">
        <v>1762</v>
      </c>
      <c r="C342" s="57">
        <v>10</v>
      </c>
      <c r="D342" s="57" t="str">
        <f t="shared" si="71"/>
        <v>线下模式第10波</v>
      </c>
      <c r="F342" s="57">
        <f t="shared" si="65"/>
        <v>0</v>
      </c>
      <c r="G342" s="102">
        <f t="shared" si="66"/>
        <v>180</v>
      </c>
      <c r="H342" s="57">
        <f t="shared" si="67"/>
        <v>0</v>
      </c>
      <c r="I342" s="102">
        <f>IF(VLOOKUP($P342,线下模式!$A$3:$X$22,5,FALSE)="","",VLOOKUP($P342,线下模式!$A$3:$X$22,6,FALSE))</f>
        <v>6</v>
      </c>
      <c r="J342" s="102">
        <f>IF(VLOOKUP($P342,线下模式!$A$3:$X$22,5,FALSE)="","",VLOOKUP($P342,线下模式!$A$3:$X$22,7,FALSE))</f>
        <v>3</v>
      </c>
      <c r="K342" s="102">
        <f t="shared" si="68"/>
        <v>1</v>
      </c>
      <c r="L342" s="102" t="str">
        <f>IF(VLOOKUP($P342,线下模式!$A$3:$X$22,5,FALSE)="","","Monster_Offline_"&amp;P342&amp;"_1")</f>
        <v>Monster_Offline_10_1</v>
      </c>
      <c r="M342" s="57">
        <f t="shared" si="69"/>
        <v>1</v>
      </c>
      <c r="O342" s="102">
        <f>IF(VLOOKUP($P342,线下模式!$A$3:$X$22,5,FALSE)="","",VLOOKUP($P342,线下模式!$A$3:$X$22,9,FALSE))</f>
        <v>38</v>
      </c>
      <c r="P342" s="110">
        <f t="shared" si="70"/>
        <v>10</v>
      </c>
      <c r="Q342" s="110">
        <v>1</v>
      </c>
    </row>
    <row r="343" spans="2:17" x14ac:dyDescent="0.2">
      <c r="D343" s="57" t="str">
        <f t="shared" si="71"/>
        <v/>
      </c>
      <c r="F343" s="57" t="str">
        <f t="shared" si="65"/>
        <v/>
      </c>
      <c r="G343" s="102" t="str">
        <f t="shared" si="66"/>
        <v/>
      </c>
      <c r="H343" s="57">
        <f t="shared" si="67"/>
        <v>0</v>
      </c>
      <c r="I343" s="102">
        <f>IF(VLOOKUP($P343,线下模式!$A$3:$X$22,10,FALSE)="","",VLOOKUP($P343,线下模式!$A$3:$X$22,11,FALSE))</f>
        <v>1</v>
      </c>
      <c r="J343" s="102">
        <f>IF(VLOOKUP($P343,线下模式!$A$3:$X$22,10,FALSE)="","",VLOOKUP($P343,线下模式!$A$3:$X$22,12,FALSE))</f>
        <v>0</v>
      </c>
      <c r="K343" s="102">
        <f t="shared" si="68"/>
        <v>1</v>
      </c>
      <c r="L343" s="102" t="str">
        <f>IF(VLOOKUP($P343,线下模式!$A$3:$X$22,10,FALSE)="","","Monster_Offline_"&amp;P343&amp;"_2")</f>
        <v>Monster_Offline_10_2</v>
      </c>
      <c r="M343" s="57">
        <f t="shared" si="69"/>
        <v>1</v>
      </c>
      <c r="O343" s="102">
        <f>IF(VLOOKUP($P343,线下模式!$A$3:$X$22,10,FALSE)="","",VLOOKUP($P343,线下模式!$A$3:$X$22,14,FALSE))</f>
        <v>375</v>
      </c>
      <c r="P343" s="110">
        <f t="shared" si="70"/>
        <v>10</v>
      </c>
      <c r="Q343" s="110">
        <v>2</v>
      </c>
    </row>
    <row r="344" spans="2:17" x14ac:dyDescent="0.2">
      <c r="D344" s="57" t="str">
        <f t="shared" si="71"/>
        <v/>
      </c>
      <c r="F344" s="57" t="str">
        <f t="shared" si="65"/>
        <v/>
      </c>
      <c r="G344" s="102" t="str">
        <f t="shared" si="66"/>
        <v/>
      </c>
      <c r="H344" s="57" t="str">
        <f t="shared" si="67"/>
        <v/>
      </c>
      <c r="I344" s="102" t="str">
        <f>IF(VLOOKUP($P344,线下模式!$A$3:$X$22,15,FALSE)="","",VLOOKUP(P344,线下模式!$A$3:$X$22,16,FALSE))</f>
        <v/>
      </c>
      <c r="J344" s="102" t="str">
        <f>IF(VLOOKUP($P344,线下模式!$A$3:$X$22,15,FALSE)="","",VLOOKUP($P344,线下模式!$A$3:$X$22,17,FALSE))</f>
        <v/>
      </c>
      <c r="K344" s="102" t="str">
        <f t="shared" si="68"/>
        <v/>
      </c>
      <c r="L344" s="102" t="str">
        <f>IF(VLOOKUP($P344,线下模式!$A$3:$X$22,15,FALSE)="","","Monster_Offline_"&amp;P344&amp;"_3")</f>
        <v/>
      </c>
      <c r="M344" s="57" t="str">
        <f t="shared" si="69"/>
        <v/>
      </c>
      <c r="O344" s="102" t="str">
        <f>IF(VLOOKUP($P344,线下模式!$A$3:$X$22,15,FALSE)="","",VLOOKUP($P344,线下模式!$A$3:$X$22,19,FALSE))</f>
        <v/>
      </c>
      <c r="P344" s="110">
        <f t="shared" si="70"/>
        <v>10</v>
      </c>
      <c r="Q344" s="110">
        <v>3</v>
      </c>
    </row>
    <row r="345" spans="2:17" x14ac:dyDescent="0.2">
      <c r="D345" s="57" t="str">
        <f t="shared" si="71"/>
        <v/>
      </c>
      <c r="F345" s="57" t="str">
        <f t="shared" si="65"/>
        <v/>
      </c>
      <c r="G345" s="102" t="str">
        <f t="shared" si="66"/>
        <v/>
      </c>
      <c r="H345" s="57" t="str">
        <f t="shared" si="67"/>
        <v/>
      </c>
      <c r="I345" s="102" t="str">
        <f>IF(VLOOKUP($P345,线下模式!$A$3:$X$22,20,FALSE)="","",VLOOKUP($P345,线下模式!$A$3:$X$22,21,FALSE))</f>
        <v/>
      </c>
      <c r="J345" s="102" t="str">
        <f>IF(VLOOKUP($P345,线下模式!$A$3:$X$22,20,FALSE)="","",VLOOKUP($P345,线下模式!$A$3:$X$22,22,FALSE))</f>
        <v/>
      </c>
      <c r="K345" s="102" t="str">
        <f t="shared" si="68"/>
        <v/>
      </c>
      <c r="L345" s="102" t="str">
        <f>IF(VLOOKUP($P345,线下模式!$A$3:$X$22,20,FALSE)="","","Monster_Offline_"&amp;P345&amp;"_4")</f>
        <v/>
      </c>
      <c r="M345" s="57" t="str">
        <f t="shared" si="69"/>
        <v/>
      </c>
      <c r="O345" s="102" t="str">
        <f>IF(VLOOKUP($P345,线下模式!$A$3:$X$22,20,FALSE)="","",VLOOKUP($P345,线下模式!$A$3:$X$22,24,FALSE))</f>
        <v/>
      </c>
      <c r="P345" s="110">
        <f t="shared" si="70"/>
        <v>10</v>
      </c>
      <c r="Q345" s="110">
        <v>4</v>
      </c>
    </row>
    <row r="346" spans="2:17" x14ac:dyDescent="0.2">
      <c r="B346" s="57" t="s">
        <v>1762</v>
      </c>
      <c r="C346" s="57">
        <v>11</v>
      </c>
      <c r="D346" s="57" t="str">
        <f t="shared" si="71"/>
        <v>线下模式第11波</v>
      </c>
      <c r="F346" s="57">
        <f t="shared" si="65"/>
        <v>0</v>
      </c>
      <c r="G346" s="102">
        <f t="shared" si="66"/>
        <v>180</v>
      </c>
      <c r="H346" s="57">
        <f t="shared" si="67"/>
        <v>0</v>
      </c>
      <c r="I346" s="102">
        <f>IF(VLOOKUP($P346,线下模式!$A$3:$X$22,5,FALSE)="","",VLOOKUP($P346,线下模式!$A$3:$X$22,6,FALSE))</f>
        <v>10</v>
      </c>
      <c r="J346" s="102">
        <f>IF(VLOOKUP($P346,线下模式!$A$3:$X$22,5,FALSE)="","",VLOOKUP($P346,线下模式!$A$3:$X$22,7,FALSE))</f>
        <v>2</v>
      </c>
      <c r="K346" s="102">
        <f t="shared" si="68"/>
        <v>1</v>
      </c>
      <c r="L346" s="102" t="str">
        <f>IF(VLOOKUP($P346,线下模式!$A$3:$X$22,5,FALSE)="","","Monster_Offline_"&amp;P346&amp;"_1")</f>
        <v>Monster_Offline_11_1</v>
      </c>
      <c r="M346" s="57">
        <f t="shared" si="69"/>
        <v>1</v>
      </c>
      <c r="O346" s="102">
        <f>IF(VLOOKUP($P346,线下模式!$A$3:$X$22,5,FALSE)="","",VLOOKUP($P346,线下模式!$A$3:$X$22,9,FALSE))</f>
        <v>57</v>
      </c>
      <c r="P346" s="110">
        <f t="shared" si="70"/>
        <v>11</v>
      </c>
      <c r="Q346" s="110">
        <v>1</v>
      </c>
    </row>
    <row r="347" spans="2:17" x14ac:dyDescent="0.2">
      <c r="D347" s="57" t="str">
        <f t="shared" si="71"/>
        <v/>
      </c>
      <c r="F347" s="57" t="str">
        <f t="shared" si="65"/>
        <v/>
      </c>
      <c r="G347" s="102" t="str">
        <f t="shared" si="66"/>
        <v/>
      </c>
      <c r="H347" s="57">
        <f t="shared" si="67"/>
        <v>0</v>
      </c>
      <c r="I347" s="102">
        <f>IF(VLOOKUP($P347,线下模式!$A$3:$X$22,10,FALSE)="","",VLOOKUP($P347,线下模式!$A$3:$X$22,11,FALSE))</f>
        <v>1</v>
      </c>
      <c r="J347" s="102">
        <f>IF(VLOOKUP($P347,线下模式!$A$3:$X$22,10,FALSE)="","",VLOOKUP($P347,线下模式!$A$3:$X$22,12,FALSE))</f>
        <v>0</v>
      </c>
      <c r="K347" s="102">
        <f t="shared" si="68"/>
        <v>1</v>
      </c>
      <c r="L347" s="102" t="str">
        <f>IF(VLOOKUP($P347,线下模式!$A$3:$X$22,10,FALSE)="","","Monster_Offline_"&amp;P347&amp;"_2")</f>
        <v>Monster_Offline_11_2</v>
      </c>
      <c r="M347" s="57">
        <f t="shared" si="69"/>
        <v>1</v>
      </c>
      <c r="O347" s="102">
        <f>IF(VLOOKUP($P347,线下模式!$A$3:$X$22,10,FALSE)="","",VLOOKUP($P347,线下模式!$A$3:$X$22,14,FALSE))</f>
        <v>29</v>
      </c>
      <c r="P347" s="110">
        <f t="shared" si="70"/>
        <v>11</v>
      </c>
      <c r="Q347" s="110">
        <v>2</v>
      </c>
    </row>
    <row r="348" spans="2:17" x14ac:dyDescent="0.2">
      <c r="D348" s="57" t="str">
        <f t="shared" si="71"/>
        <v/>
      </c>
      <c r="F348" s="57" t="str">
        <f t="shared" si="65"/>
        <v/>
      </c>
      <c r="G348" s="102" t="str">
        <f t="shared" si="66"/>
        <v/>
      </c>
      <c r="H348" s="57" t="str">
        <f t="shared" si="67"/>
        <v/>
      </c>
      <c r="I348" s="102" t="str">
        <f>IF(VLOOKUP($P348,线下模式!$A$3:$X$22,15,FALSE)="","",VLOOKUP(P348,线下模式!$A$3:$X$22,16,FALSE))</f>
        <v/>
      </c>
      <c r="J348" s="102" t="str">
        <f>IF(VLOOKUP($P348,线下模式!$A$3:$X$22,15,FALSE)="","",VLOOKUP($P348,线下模式!$A$3:$X$22,17,FALSE))</f>
        <v/>
      </c>
      <c r="K348" s="102" t="str">
        <f t="shared" si="68"/>
        <v/>
      </c>
      <c r="L348" s="102" t="str">
        <f>IF(VLOOKUP($P348,线下模式!$A$3:$X$22,15,FALSE)="","","Monster_Offline_"&amp;P348&amp;"_3")</f>
        <v/>
      </c>
      <c r="M348" s="57" t="str">
        <f t="shared" si="69"/>
        <v/>
      </c>
      <c r="O348" s="102" t="str">
        <f>IF(VLOOKUP($P348,线下模式!$A$3:$X$22,15,FALSE)="","",VLOOKUP($P348,线下模式!$A$3:$X$22,19,FALSE))</f>
        <v/>
      </c>
      <c r="P348" s="110">
        <f t="shared" si="70"/>
        <v>11</v>
      </c>
      <c r="Q348" s="110">
        <v>3</v>
      </c>
    </row>
    <row r="349" spans="2:17" x14ac:dyDescent="0.2">
      <c r="D349" s="57" t="str">
        <f t="shared" si="71"/>
        <v/>
      </c>
      <c r="F349" s="57" t="str">
        <f t="shared" si="65"/>
        <v/>
      </c>
      <c r="G349" s="102" t="str">
        <f t="shared" si="66"/>
        <v/>
      </c>
      <c r="H349" s="57" t="str">
        <f t="shared" si="67"/>
        <v/>
      </c>
      <c r="I349" s="102" t="str">
        <f>IF(VLOOKUP($P349,线下模式!$A$3:$X$22,20,FALSE)="","",VLOOKUP($P349,线下模式!$A$3:$X$22,21,FALSE))</f>
        <v/>
      </c>
      <c r="J349" s="102" t="str">
        <f>IF(VLOOKUP($P349,线下模式!$A$3:$X$22,20,FALSE)="","",VLOOKUP($P349,线下模式!$A$3:$X$22,22,FALSE))</f>
        <v/>
      </c>
      <c r="K349" s="102" t="str">
        <f t="shared" si="68"/>
        <v/>
      </c>
      <c r="L349" s="102" t="str">
        <f>IF(VLOOKUP($P349,线下模式!$A$3:$X$22,20,FALSE)="","","Monster_Offline_"&amp;P349&amp;"_4")</f>
        <v/>
      </c>
      <c r="M349" s="57" t="str">
        <f t="shared" si="69"/>
        <v/>
      </c>
      <c r="O349" s="102" t="str">
        <f>IF(VLOOKUP($P349,线下模式!$A$3:$X$22,20,FALSE)="","",VLOOKUP($P349,线下模式!$A$3:$X$22,24,FALSE))</f>
        <v/>
      </c>
      <c r="P349" s="110">
        <f t="shared" si="70"/>
        <v>11</v>
      </c>
      <c r="Q349" s="110">
        <v>4</v>
      </c>
    </row>
    <row r="350" spans="2:17" x14ac:dyDescent="0.2">
      <c r="B350" s="57" t="s">
        <v>1762</v>
      </c>
      <c r="C350" s="57">
        <v>12</v>
      </c>
      <c r="D350" s="57" t="str">
        <f t="shared" si="71"/>
        <v>线下模式第12波</v>
      </c>
      <c r="F350" s="57">
        <f t="shared" si="65"/>
        <v>0</v>
      </c>
      <c r="G350" s="102">
        <f t="shared" si="66"/>
        <v>180</v>
      </c>
      <c r="H350" s="57">
        <f t="shared" si="67"/>
        <v>0</v>
      </c>
      <c r="I350" s="102">
        <f>IF(VLOOKUP($P350,线下模式!$A$3:$X$22,5,FALSE)="","",VLOOKUP($P350,线下模式!$A$3:$X$22,6,FALSE))</f>
        <v>14</v>
      </c>
      <c r="J350" s="102">
        <f>IF(VLOOKUP($P350,线下模式!$A$3:$X$22,5,FALSE)="","",VLOOKUP($P350,线下模式!$A$3:$X$22,7,FALSE))</f>
        <v>1.5</v>
      </c>
      <c r="K350" s="102">
        <f t="shared" si="68"/>
        <v>1</v>
      </c>
      <c r="L350" s="102" t="str">
        <f>IF(VLOOKUP($P350,线下模式!$A$3:$X$22,5,FALSE)="","","Monster_Offline_"&amp;P350&amp;"_1")</f>
        <v>Monster_Offline_12_1</v>
      </c>
      <c r="M350" s="57">
        <f t="shared" si="69"/>
        <v>1</v>
      </c>
      <c r="O350" s="102">
        <f>IF(VLOOKUP($P350,线下模式!$A$3:$X$22,5,FALSE)="","",VLOOKUP($P350,线下模式!$A$3:$X$22,9,FALSE))</f>
        <v>43</v>
      </c>
      <c r="P350" s="110">
        <f t="shared" si="70"/>
        <v>12</v>
      </c>
      <c r="Q350" s="110">
        <v>1</v>
      </c>
    </row>
    <row r="351" spans="2:17" x14ac:dyDescent="0.2">
      <c r="D351" s="57" t="str">
        <f t="shared" si="71"/>
        <v/>
      </c>
      <c r="F351" s="57" t="str">
        <f t="shared" si="65"/>
        <v/>
      </c>
      <c r="G351" s="102" t="str">
        <f t="shared" si="66"/>
        <v/>
      </c>
      <c r="H351" s="57" t="str">
        <f t="shared" si="67"/>
        <v/>
      </c>
      <c r="I351" s="102" t="str">
        <f>IF(VLOOKUP($P351,线下模式!$A$3:$X$22,10,FALSE)="","",VLOOKUP($P351,线下模式!$A$3:$X$22,11,FALSE))</f>
        <v/>
      </c>
      <c r="J351" s="102" t="str">
        <f>IF(VLOOKUP($P351,线下模式!$A$3:$X$22,10,FALSE)="","",VLOOKUP($P351,线下模式!$A$3:$X$22,12,FALSE))</f>
        <v/>
      </c>
      <c r="K351" s="102" t="str">
        <f t="shared" si="68"/>
        <v/>
      </c>
      <c r="L351" s="102" t="str">
        <f>IF(VLOOKUP($P351,线下模式!$A$3:$X$22,10,FALSE)="","","Monster_Offline_"&amp;P351&amp;"_2")</f>
        <v/>
      </c>
      <c r="M351" s="57" t="str">
        <f t="shared" si="69"/>
        <v/>
      </c>
      <c r="O351" s="102" t="str">
        <f>IF(VLOOKUP($P351,线下模式!$A$3:$X$22,10,FALSE)="","",VLOOKUP($P351,线下模式!$A$3:$X$22,14,FALSE))</f>
        <v/>
      </c>
      <c r="P351" s="110">
        <f t="shared" si="70"/>
        <v>12</v>
      </c>
      <c r="Q351" s="110">
        <v>2</v>
      </c>
    </row>
    <row r="352" spans="2:17" x14ac:dyDescent="0.2">
      <c r="D352" s="57" t="str">
        <f t="shared" si="71"/>
        <v/>
      </c>
      <c r="F352" s="57" t="str">
        <f t="shared" si="65"/>
        <v/>
      </c>
      <c r="G352" s="102" t="str">
        <f t="shared" si="66"/>
        <v/>
      </c>
      <c r="H352" s="57" t="str">
        <f t="shared" si="67"/>
        <v/>
      </c>
      <c r="I352" s="102" t="str">
        <f>IF(VLOOKUP($P352,线下模式!$A$3:$X$22,15,FALSE)="","",VLOOKUP(P352,线下模式!$A$3:$X$22,16,FALSE))</f>
        <v/>
      </c>
      <c r="J352" s="102" t="str">
        <f>IF(VLOOKUP($P352,线下模式!$A$3:$X$22,15,FALSE)="","",VLOOKUP($P352,线下模式!$A$3:$X$22,17,FALSE))</f>
        <v/>
      </c>
      <c r="K352" s="102" t="str">
        <f t="shared" si="68"/>
        <v/>
      </c>
      <c r="L352" s="102" t="str">
        <f>IF(VLOOKUP($P352,线下模式!$A$3:$X$22,15,FALSE)="","","Monster_Offline_"&amp;P352&amp;"_3")</f>
        <v/>
      </c>
      <c r="M352" s="57" t="str">
        <f t="shared" si="69"/>
        <v/>
      </c>
      <c r="O352" s="102" t="str">
        <f>IF(VLOOKUP($P352,线下模式!$A$3:$X$22,15,FALSE)="","",VLOOKUP($P352,线下模式!$A$3:$X$22,19,FALSE))</f>
        <v/>
      </c>
      <c r="P352" s="110">
        <f t="shared" si="70"/>
        <v>12</v>
      </c>
      <c r="Q352" s="110">
        <v>3</v>
      </c>
    </row>
    <row r="353" spans="2:17" x14ac:dyDescent="0.2">
      <c r="D353" s="57" t="str">
        <f t="shared" si="71"/>
        <v/>
      </c>
      <c r="F353" s="57" t="str">
        <f t="shared" si="65"/>
        <v/>
      </c>
      <c r="G353" s="102" t="str">
        <f t="shared" si="66"/>
        <v/>
      </c>
      <c r="H353" s="57" t="str">
        <f t="shared" si="67"/>
        <v/>
      </c>
      <c r="I353" s="102" t="str">
        <f>IF(VLOOKUP($P353,线下模式!$A$3:$X$22,20,FALSE)="","",VLOOKUP($P353,线下模式!$A$3:$X$22,21,FALSE))</f>
        <v/>
      </c>
      <c r="J353" s="102" t="str">
        <f>IF(VLOOKUP($P353,线下模式!$A$3:$X$22,20,FALSE)="","",VLOOKUP($P353,线下模式!$A$3:$X$22,22,FALSE))</f>
        <v/>
      </c>
      <c r="K353" s="102" t="str">
        <f t="shared" si="68"/>
        <v/>
      </c>
      <c r="L353" s="102" t="str">
        <f>IF(VLOOKUP($P353,线下模式!$A$3:$X$22,20,FALSE)="","","Monster_Offline_"&amp;P353&amp;"_4")</f>
        <v/>
      </c>
      <c r="M353" s="57" t="str">
        <f t="shared" si="69"/>
        <v/>
      </c>
      <c r="O353" s="102" t="str">
        <f>IF(VLOOKUP($P353,线下模式!$A$3:$X$22,20,FALSE)="","",VLOOKUP($P353,线下模式!$A$3:$X$22,24,FALSE))</f>
        <v/>
      </c>
      <c r="P353" s="110">
        <f t="shared" si="70"/>
        <v>12</v>
      </c>
      <c r="Q353" s="110">
        <v>4</v>
      </c>
    </row>
    <row r="354" spans="2:17" x14ac:dyDescent="0.2">
      <c r="B354" s="57" t="s">
        <v>1762</v>
      </c>
      <c r="C354" s="57">
        <v>13</v>
      </c>
      <c r="D354" s="57" t="str">
        <f t="shared" si="71"/>
        <v>线下模式第13波</v>
      </c>
      <c r="F354" s="57">
        <f t="shared" si="65"/>
        <v>0</v>
      </c>
      <c r="G354" s="102">
        <f t="shared" si="66"/>
        <v>180</v>
      </c>
      <c r="H354" s="57">
        <f t="shared" si="67"/>
        <v>0</v>
      </c>
      <c r="I354" s="102">
        <f>IF(VLOOKUP($P354,线下模式!$A$3:$X$22,5,FALSE)="","",VLOOKUP($P354,线下模式!$A$3:$X$22,6,FALSE))</f>
        <v>15</v>
      </c>
      <c r="J354" s="102">
        <f>IF(VLOOKUP($P354,线下模式!$A$3:$X$22,5,FALSE)="","",VLOOKUP($P354,线下模式!$A$3:$X$22,7,FALSE))</f>
        <v>1.5</v>
      </c>
      <c r="K354" s="102">
        <f t="shared" si="68"/>
        <v>1</v>
      </c>
      <c r="L354" s="102" t="str">
        <f>IF(VLOOKUP($P354,线下模式!$A$3:$X$22,5,FALSE)="","","Monster_Offline_"&amp;P354&amp;"_1")</f>
        <v>Monster_Offline_13_1</v>
      </c>
      <c r="M354" s="57">
        <f t="shared" si="69"/>
        <v>1</v>
      </c>
      <c r="O354" s="102">
        <f>IF(VLOOKUP($P354,线下模式!$A$3:$X$22,5,FALSE)="","",VLOOKUP($P354,线下模式!$A$3:$X$22,9,FALSE))</f>
        <v>20</v>
      </c>
      <c r="P354" s="110">
        <f t="shared" si="70"/>
        <v>13</v>
      </c>
      <c r="Q354" s="110">
        <v>1</v>
      </c>
    </row>
    <row r="355" spans="2:17" x14ac:dyDescent="0.2">
      <c r="D355" s="57" t="str">
        <f t="shared" si="71"/>
        <v/>
      </c>
      <c r="F355" s="57" t="str">
        <f t="shared" si="65"/>
        <v/>
      </c>
      <c r="G355" s="102" t="str">
        <f t="shared" si="66"/>
        <v/>
      </c>
      <c r="H355" s="57">
        <f t="shared" si="67"/>
        <v>0</v>
      </c>
      <c r="I355" s="102">
        <f>IF(VLOOKUP($P355,线下模式!$A$3:$X$22,10,FALSE)="","",VLOOKUP($P355,线下模式!$A$3:$X$22,11,FALSE))</f>
        <v>15</v>
      </c>
      <c r="J355" s="102">
        <f>IF(VLOOKUP($P355,线下模式!$A$3:$X$22,10,FALSE)="","",VLOOKUP($P355,线下模式!$A$3:$X$22,12,FALSE))</f>
        <v>1.5</v>
      </c>
      <c r="K355" s="102">
        <f t="shared" si="68"/>
        <v>1</v>
      </c>
      <c r="L355" s="102" t="str">
        <f>IF(VLOOKUP($P355,线下模式!$A$3:$X$22,10,FALSE)="","","Monster_Offline_"&amp;P355&amp;"_2")</f>
        <v>Monster_Offline_13_2</v>
      </c>
      <c r="M355" s="57">
        <f t="shared" si="69"/>
        <v>1</v>
      </c>
      <c r="O355" s="102">
        <f>IF(VLOOKUP($P355,线下模式!$A$3:$X$22,10,FALSE)="","",VLOOKUP($P355,线下模式!$A$3:$X$22,14,FALSE))</f>
        <v>20</v>
      </c>
      <c r="P355" s="110">
        <f t="shared" si="70"/>
        <v>13</v>
      </c>
      <c r="Q355" s="110">
        <v>2</v>
      </c>
    </row>
    <row r="356" spans="2:17" x14ac:dyDescent="0.2">
      <c r="D356" s="57" t="str">
        <f t="shared" si="71"/>
        <v/>
      </c>
      <c r="F356" s="57" t="str">
        <f t="shared" si="65"/>
        <v/>
      </c>
      <c r="G356" s="102" t="str">
        <f t="shared" si="66"/>
        <v/>
      </c>
      <c r="H356" s="57" t="str">
        <f t="shared" si="67"/>
        <v/>
      </c>
      <c r="I356" s="102" t="str">
        <f>IF(VLOOKUP($P356,线下模式!$A$3:$X$22,15,FALSE)="","",VLOOKUP(P356,线下模式!$A$3:$X$22,16,FALSE))</f>
        <v/>
      </c>
      <c r="J356" s="102" t="str">
        <f>IF(VLOOKUP($P356,线下模式!$A$3:$X$22,15,FALSE)="","",VLOOKUP($P356,线下模式!$A$3:$X$22,17,FALSE))</f>
        <v/>
      </c>
      <c r="K356" s="102" t="str">
        <f t="shared" si="68"/>
        <v/>
      </c>
      <c r="L356" s="102" t="str">
        <f>IF(VLOOKUP($P356,线下模式!$A$3:$X$22,15,FALSE)="","","Monster_Offline_"&amp;P356&amp;"_3")</f>
        <v/>
      </c>
      <c r="M356" s="57" t="str">
        <f t="shared" si="69"/>
        <v/>
      </c>
      <c r="O356" s="102" t="str">
        <f>IF(VLOOKUP($P356,线下模式!$A$3:$X$22,15,FALSE)="","",VLOOKUP($P356,线下模式!$A$3:$X$22,19,FALSE))</f>
        <v/>
      </c>
      <c r="P356" s="110">
        <f t="shared" si="70"/>
        <v>13</v>
      </c>
      <c r="Q356" s="110">
        <v>3</v>
      </c>
    </row>
    <row r="357" spans="2:17" x14ac:dyDescent="0.2">
      <c r="D357" s="57" t="str">
        <f t="shared" si="71"/>
        <v/>
      </c>
      <c r="F357" s="57" t="str">
        <f t="shared" si="65"/>
        <v/>
      </c>
      <c r="G357" s="102" t="str">
        <f t="shared" si="66"/>
        <v/>
      </c>
      <c r="H357" s="57" t="str">
        <f t="shared" si="67"/>
        <v/>
      </c>
      <c r="I357" s="102" t="str">
        <f>IF(VLOOKUP($P357,线下模式!$A$3:$X$22,20,FALSE)="","",VLOOKUP($P357,线下模式!$A$3:$X$22,21,FALSE))</f>
        <v/>
      </c>
      <c r="J357" s="102" t="str">
        <f>IF(VLOOKUP($P357,线下模式!$A$3:$X$22,20,FALSE)="","",VLOOKUP($P357,线下模式!$A$3:$X$22,22,FALSE))</f>
        <v/>
      </c>
      <c r="K357" s="102" t="str">
        <f t="shared" si="68"/>
        <v/>
      </c>
      <c r="L357" s="102" t="str">
        <f>IF(VLOOKUP($P357,线下模式!$A$3:$X$22,20,FALSE)="","","Monster_Offline_"&amp;P357&amp;"_4")</f>
        <v/>
      </c>
      <c r="M357" s="57" t="str">
        <f t="shared" si="69"/>
        <v/>
      </c>
      <c r="O357" s="102" t="str">
        <f>IF(VLOOKUP($P357,线下模式!$A$3:$X$22,20,FALSE)="","",VLOOKUP($P357,线下模式!$A$3:$X$22,24,FALSE))</f>
        <v/>
      </c>
      <c r="P357" s="110">
        <f t="shared" si="70"/>
        <v>13</v>
      </c>
      <c r="Q357" s="110">
        <v>4</v>
      </c>
    </row>
    <row r="358" spans="2:17" x14ac:dyDescent="0.2">
      <c r="B358" s="57" t="s">
        <v>1762</v>
      </c>
      <c r="C358" s="57">
        <v>14</v>
      </c>
      <c r="D358" s="57" t="str">
        <f t="shared" si="71"/>
        <v>线下模式第14波</v>
      </c>
      <c r="F358" s="57">
        <f t="shared" si="65"/>
        <v>0</v>
      </c>
      <c r="G358" s="102">
        <f t="shared" si="66"/>
        <v>180</v>
      </c>
      <c r="H358" s="57">
        <f t="shared" si="67"/>
        <v>0</v>
      </c>
      <c r="I358" s="102">
        <f>IF(VLOOKUP($P358,线下模式!$A$3:$X$22,5,FALSE)="","",VLOOKUP($P358,线下模式!$A$3:$X$22,6,FALSE))</f>
        <v>31</v>
      </c>
      <c r="J358" s="102">
        <f>IF(VLOOKUP($P358,线下模式!$A$3:$X$22,5,FALSE)="","",VLOOKUP($P358,线下模式!$A$3:$X$22,7,FALSE))</f>
        <v>0.75</v>
      </c>
      <c r="K358" s="102">
        <f t="shared" si="68"/>
        <v>1</v>
      </c>
      <c r="L358" s="102" t="str">
        <f>IF(VLOOKUP($P358,线下模式!$A$3:$X$22,5,FALSE)="","","Monster_Offline_"&amp;P358&amp;"_1")</f>
        <v>Monster_Offline_14_1</v>
      </c>
      <c r="M358" s="57">
        <f t="shared" si="69"/>
        <v>1</v>
      </c>
      <c r="O358" s="102">
        <f>IF(VLOOKUP($P358,线下模式!$A$3:$X$22,5,FALSE)="","",VLOOKUP($P358,线下模式!$A$3:$X$22,9,FALSE))</f>
        <v>13</v>
      </c>
      <c r="P358" s="110">
        <f t="shared" si="70"/>
        <v>14</v>
      </c>
      <c r="Q358" s="110">
        <v>1</v>
      </c>
    </row>
    <row r="359" spans="2:17" x14ac:dyDescent="0.2">
      <c r="D359" s="57" t="str">
        <f t="shared" si="71"/>
        <v/>
      </c>
      <c r="F359" s="57" t="str">
        <f t="shared" si="65"/>
        <v/>
      </c>
      <c r="G359" s="102" t="str">
        <f t="shared" si="66"/>
        <v/>
      </c>
      <c r="H359" s="57">
        <f t="shared" si="67"/>
        <v>0</v>
      </c>
      <c r="I359" s="102">
        <f>IF(VLOOKUP($P359,线下模式!$A$3:$X$22,10,FALSE)="","",VLOOKUP($P359,线下模式!$A$3:$X$22,11,FALSE))</f>
        <v>8</v>
      </c>
      <c r="J359" s="102">
        <f>IF(VLOOKUP($P359,线下模式!$A$3:$X$22,10,FALSE)="","",VLOOKUP($P359,线下模式!$A$3:$X$22,12,FALSE))</f>
        <v>3</v>
      </c>
      <c r="K359" s="102">
        <f t="shared" si="68"/>
        <v>1</v>
      </c>
      <c r="L359" s="102" t="str">
        <f>IF(VLOOKUP($P359,线下模式!$A$3:$X$22,10,FALSE)="","","Monster_Offline_"&amp;P359&amp;"_2")</f>
        <v>Monster_Offline_14_2</v>
      </c>
      <c r="M359" s="57">
        <f t="shared" si="69"/>
        <v>1</v>
      </c>
      <c r="O359" s="102">
        <f>IF(VLOOKUP($P359,线下模式!$A$3:$X$22,10,FALSE)="","",VLOOKUP($P359,线下模式!$A$3:$X$22,14,FALSE))</f>
        <v>26</v>
      </c>
      <c r="P359" s="110">
        <f t="shared" si="70"/>
        <v>14</v>
      </c>
      <c r="Q359" s="110">
        <v>2</v>
      </c>
    </row>
    <row r="360" spans="2:17" x14ac:dyDescent="0.2">
      <c r="D360" s="57" t="str">
        <f t="shared" si="71"/>
        <v/>
      </c>
      <c r="F360" s="57" t="str">
        <f t="shared" si="65"/>
        <v/>
      </c>
      <c r="G360" s="102" t="str">
        <f t="shared" si="66"/>
        <v/>
      </c>
      <c r="H360" s="57" t="str">
        <f t="shared" si="67"/>
        <v/>
      </c>
      <c r="I360" s="102" t="str">
        <f>IF(VLOOKUP($P360,线下模式!$A$3:$X$22,15,FALSE)="","",VLOOKUP(P360,线下模式!$A$3:$X$22,16,FALSE))</f>
        <v/>
      </c>
      <c r="J360" s="102" t="str">
        <f>IF(VLOOKUP($P360,线下模式!$A$3:$X$22,15,FALSE)="","",VLOOKUP($P360,线下模式!$A$3:$X$22,17,FALSE))</f>
        <v/>
      </c>
      <c r="K360" s="102" t="str">
        <f t="shared" si="68"/>
        <v/>
      </c>
      <c r="L360" s="102" t="str">
        <f>IF(VLOOKUP($P360,线下模式!$A$3:$X$22,15,FALSE)="","","Monster_Offline_"&amp;P360&amp;"_3")</f>
        <v/>
      </c>
      <c r="M360" s="57" t="str">
        <f t="shared" si="69"/>
        <v/>
      </c>
      <c r="O360" s="102" t="str">
        <f>IF(VLOOKUP($P360,线下模式!$A$3:$X$22,15,FALSE)="","",VLOOKUP($P360,线下模式!$A$3:$X$22,19,FALSE))</f>
        <v/>
      </c>
      <c r="P360" s="110">
        <f t="shared" si="70"/>
        <v>14</v>
      </c>
      <c r="Q360" s="110">
        <v>3</v>
      </c>
    </row>
    <row r="361" spans="2:17" x14ac:dyDescent="0.2">
      <c r="D361" s="57" t="str">
        <f t="shared" si="71"/>
        <v/>
      </c>
      <c r="F361" s="57" t="str">
        <f t="shared" si="65"/>
        <v/>
      </c>
      <c r="G361" s="102" t="str">
        <f t="shared" si="66"/>
        <v/>
      </c>
      <c r="H361" s="57" t="str">
        <f t="shared" si="67"/>
        <v/>
      </c>
      <c r="I361" s="102" t="str">
        <f>IF(VLOOKUP($P361,线下模式!$A$3:$X$22,20,FALSE)="","",VLOOKUP($P361,线下模式!$A$3:$X$22,21,FALSE))</f>
        <v/>
      </c>
      <c r="J361" s="102" t="str">
        <f>IF(VLOOKUP($P361,线下模式!$A$3:$X$22,20,FALSE)="","",VLOOKUP($P361,线下模式!$A$3:$X$22,22,FALSE))</f>
        <v/>
      </c>
      <c r="K361" s="102" t="str">
        <f t="shared" si="68"/>
        <v/>
      </c>
      <c r="L361" s="102" t="str">
        <f>IF(VLOOKUP($P361,线下模式!$A$3:$X$22,20,FALSE)="","","Monster_Offline_"&amp;P361&amp;"_4")</f>
        <v/>
      </c>
      <c r="M361" s="57" t="str">
        <f t="shared" si="69"/>
        <v/>
      </c>
      <c r="O361" s="102" t="str">
        <f>IF(VLOOKUP($P361,线下模式!$A$3:$X$22,20,FALSE)="","",VLOOKUP($P361,线下模式!$A$3:$X$22,24,FALSE))</f>
        <v/>
      </c>
      <c r="P361" s="110">
        <f t="shared" si="70"/>
        <v>14</v>
      </c>
      <c r="Q361" s="110">
        <v>4</v>
      </c>
    </row>
    <row r="362" spans="2:17" x14ac:dyDescent="0.2">
      <c r="B362" s="57" t="s">
        <v>1762</v>
      </c>
      <c r="C362" s="57">
        <v>15</v>
      </c>
      <c r="D362" s="57" t="str">
        <f t="shared" si="71"/>
        <v>线下模式第15波</v>
      </c>
      <c r="F362" s="57">
        <f t="shared" si="65"/>
        <v>0</v>
      </c>
      <c r="G362" s="102">
        <f t="shared" si="66"/>
        <v>180</v>
      </c>
      <c r="H362" s="57">
        <f t="shared" si="67"/>
        <v>0</v>
      </c>
      <c r="I362" s="102">
        <f>IF(VLOOKUP($P362,线下模式!$A$3:$X$22,5,FALSE)="","",VLOOKUP($P362,线下模式!$A$3:$X$22,6,FALSE))</f>
        <v>120</v>
      </c>
      <c r="J362" s="102">
        <f>IF(VLOOKUP($P362,线下模式!$A$3:$X$22,5,FALSE)="","",VLOOKUP($P362,线下模式!$A$3:$X$22,7,FALSE))</f>
        <v>0.2</v>
      </c>
      <c r="K362" s="102">
        <f t="shared" si="68"/>
        <v>1</v>
      </c>
      <c r="L362" s="102" t="str">
        <f>IF(VLOOKUP($P362,线下模式!$A$3:$X$22,5,FALSE)="","","Monster_Offline_"&amp;P362&amp;"_1")</f>
        <v>Monster_Offline_15_1</v>
      </c>
      <c r="M362" s="57">
        <f t="shared" si="69"/>
        <v>1</v>
      </c>
      <c r="O362" s="102">
        <f>IF(VLOOKUP($P362,线下模式!$A$3:$X$22,5,FALSE)="","",VLOOKUP($P362,线下模式!$A$3:$X$22,9,FALSE))</f>
        <v>4</v>
      </c>
      <c r="P362" s="110">
        <f t="shared" si="70"/>
        <v>15</v>
      </c>
      <c r="Q362" s="110">
        <v>1</v>
      </c>
    </row>
    <row r="363" spans="2:17" x14ac:dyDescent="0.2">
      <c r="D363" s="57" t="str">
        <f t="shared" si="71"/>
        <v/>
      </c>
      <c r="F363" s="57" t="str">
        <f t="shared" si="65"/>
        <v/>
      </c>
      <c r="G363" s="102" t="str">
        <f t="shared" si="66"/>
        <v/>
      </c>
      <c r="H363" s="57">
        <f t="shared" si="67"/>
        <v>0</v>
      </c>
      <c r="I363" s="102">
        <f>IF(VLOOKUP($P363,线下模式!$A$3:$X$22,10,FALSE)="","",VLOOKUP($P363,线下模式!$A$3:$X$22,11,FALSE))</f>
        <v>8</v>
      </c>
      <c r="J363" s="102">
        <f>IF(VLOOKUP($P363,线下模式!$A$3:$X$22,10,FALSE)="","",VLOOKUP($P363,线下模式!$A$3:$X$22,12,FALSE))</f>
        <v>3</v>
      </c>
      <c r="K363" s="102">
        <f t="shared" si="68"/>
        <v>1</v>
      </c>
      <c r="L363" s="102" t="str">
        <f>IF(VLOOKUP($P363,线下模式!$A$3:$X$22,10,FALSE)="","","Monster_Offline_"&amp;P363&amp;"_2")</f>
        <v>Monster_Offline_15_2</v>
      </c>
      <c r="M363" s="57">
        <f t="shared" si="69"/>
        <v>1</v>
      </c>
      <c r="O363" s="102">
        <f>IF(VLOOKUP($P363,线下模式!$A$3:$X$22,10,FALSE)="","",VLOOKUP($P363,线下模式!$A$3:$X$22,14,FALSE))</f>
        <v>4</v>
      </c>
      <c r="P363" s="110">
        <f t="shared" si="70"/>
        <v>15</v>
      </c>
      <c r="Q363" s="110">
        <v>2</v>
      </c>
    </row>
    <row r="364" spans="2:17" x14ac:dyDescent="0.2">
      <c r="D364" s="57" t="str">
        <f t="shared" si="71"/>
        <v/>
      </c>
      <c r="F364" s="57" t="str">
        <f t="shared" si="65"/>
        <v/>
      </c>
      <c r="G364" s="102" t="str">
        <f t="shared" si="66"/>
        <v/>
      </c>
      <c r="H364" s="57">
        <f t="shared" si="67"/>
        <v>0</v>
      </c>
      <c r="I364" s="102">
        <f>IF(VLOOKUP($P364,线下模式!$A$3:$X$22,15,FALSE)="","",VLOOKUP(P364,线下模式!$A$3:$X$22,16,FALSE))</f>
        <v>1</v>
      </c>
      <c r="J364" s="102">
        <f>IF(VLOOKUP($P364,线下模式!$A$3:$X$22,15,FALSE)="","",VLOOKUP($P364,线下模式!$A$3:$X$22,17,FALSE))</f>
        <v>0</v>
      </c>
      <c r="K364" s="102">
        <f t="shared" si="68"/>
        <v>1</v>
      </c>
      <c r="L364" s="102" t="str">
        <f>IF(VLOOKUP($P364,线下模式!$A$3:$X$22,15,FALSE)="","","Monster_Offline_"&amp;P364&amp;"_3")</f>
        <v>Monster_Offline_15_3</v>
      </c>
      <c r="M364" s="57">
        <f t="shared" si="69"/>
        <v>1</v>
      </c>
      <c r="O364" s="102">
        <f>IF(VLOOKUP($P364,线下模式!$A$3:$X$22,15,FALSE)="","",VLOOKUP($P364,线下模式!$A$3:$X$22,19,FALSE))</f>
        <v>81</v>
      </c>
      <c r="P364" s="110">
        <f t="shared" si="70"/>
        <v>15</v>
      </c>
      <c r="Q364" s="110">
        <v>3</v>
      </c>
    </row>
    <row r="365" spans="2:17" x14ac:dyDescent="0.2">
      <c r="D365" s="57" t="str">
        <f t="shared" si="71"/>
        <v/>
      </c>
      <c r="F365" s="57" t="str">
        <f t="shared" si="65"/>
        <v/>
      </c>
      <c r="G365" s="102" t="str">
        <f t="shared" si="66"/>
        <v/>
      </c>
      <c r="H365" s="57" t="str">
        <f t="shared" si="67"/>
        <v/>
      </c>
      <c r="I365" s="102" t="str">
        <f>IF(VLOOKUP($P365,线下模式!$A$3:$X$22,20,FALSE)="","",VLOOKUP($P365,线下模式!$A$3:$X$22,21,FALSE))</f>
        <v/>
      </c>
      <c r="J365" s="102" t="str">
        <f>IF(VLOOKUP($P365,线下模式!$A$3:$X$22,20,FALSE)="","",VLOOKUP($P365,线下模式!$A$3:$X$22,22,FALSE))</f>
        <v/>
      </c>
      <c r="K365" s="102" t="str">
        <f t="shared" si="68"/>
        <v/>
      </c>
      <c r="L365" s="102" t="str">
        <f>IF(VLOOKUP($P365,线下模式!$A$3:$X$22,20,FALSE)="","","Monster_Offline_"&amp;P365&amp;"_4")</f>
        <v/>
      </c>
      <c r="M365" s="57" t="str">
        <f t="shared" si="69"/>
        <v/>
      </c>
      <c r="O365" s="102" t="str">
        <f>IF(VLOOKUP($P365,线下模式!$A$3:$X$22,20,FALSE)="","",VLOOKUP($P365,线下模式!$A$3:$X$22,24,FALSE))</f>
        <v/>
      </c>
      <c r="P365" s="110">
        <f t="shared" si="70"/>
        <v>15</v>
      </c>
      <c r="Q365" s="110">
        <v>4</v>
      </c>
    </row>
    <row r="366" spans="2:17" x14ac:dyDescent="0.2">
      <c r="B366" s="57" t="s">
        <v>1762</v>
      </c>
      <c r="C366" s="57">
        <v>16</v>
      </c>
      <c r="D366" s="57" t="str">
        <f t="shared" si="71"/>
        <v>线下模式第16波</v>
      </c>
      <c r="F366" s="57">
        <f t="shared" si="65"/>
        <v>0</v>
      </c>
      <c r="G366" s="102">
        <f t="shared" si="66"/>
        <v>180</v>
      </c>
      <c r="H366" s="57">
        <f t="shared" si="67"/>
        <v>0</v>
      </c>
      <c r="I366" s="102">
        <f>IF(VLOOKUP($P366,线下模式!$A$3:$X$22,5,FALSE)="","",VLOOKUP($P366,线下模式!$A$3:$X$22,6,FALSE))</f>
        <v>33</v>
      </c>
      <c r="J366" s="102">
        <f>IF(VLOOKUP($P366,线下模式!$A$3:$X$22,5,FALSE)="","",VLOOKUP($P366,线下模式!$A$3:$X$22,7,FALSE))</f>
        <v>0.75</v>
      </c>
      <c r="K366" s="102">
        <f t="shared" si="68"/>
        <v>1</v>
      </c>
      <c r="L366" s="102" t="str">
        <f>IF(VLOOKUP($P366,线下模式!$A$3:$X$22,5,FALSE)="","","Monster_Offline_"&amp;P366&amp;"_1")</f>
        <v>Monster_Offline_16_1</v>
      </c>
      <c r="M366" s="57">
        <f t="shared" si="69"/>
        <v>1</v>
      </c>
      <c r="O366" s="102">
        <f>IF(VLOOKUP($P366,线下模式!$A$3:$X$22,5,FALSE)="","",VLOOKUP($P366,线下模式!$A$3:$X$22,9,FALSE))</f>
        <v>15</v>
      </c>
      <c r="P366" s="110">
        <f t="shared" si="70"/>
        <v>16</v>
      </c>
      <c r="Q366" s="110">
        <v>1</v>
      </c>
    </row>
    <row r="367" spans="2:17" x14ac:dyDescent="0.2">
      <c r="D367" s="57" t="str">
        <f t="shared" si="71"/>
        <v/>
      </c>
      <c r="F367" s="57" t="str">
        <f t="shared" si="65"/>
        <v/>
      </c>
      <c r="G367" s="102" t="str">
        <f t="shared" si="66"/>
        <v/>
      </c>
      <c r="H367" s="57">
        <f t="shared" si="67"/>
        <v>0</v>
      </c>
      <c r="I367" s="102">
        <f>IF(VLOOKUP($P367,线下模式!$A$3:$X$22,10,FALSE)="","",VLOOKUP($P367,线下模式!$A$3:$X$22,11,FALSE))</f>
        <v>8</v>
      </c>
      <c r="J367" s="102">
        <f>IF(VLOOKUP($P367,线下模式!$A$3:$X$22,10,FALSE)="","",VLOOKUP($P367,线下模式!$A$3:$X$22,12,FALSE))</f>
        <v>3</v>
      </c>
      <c r="K367" s="102">
        <f t="shared" si="68"/>
        <v>1</v>
      </c>
      <c r="L367" s="102" t="str">
        <f>IF(VLOOKUP($P367,线下模式!$A$3:$X$22,10,FALSE)="","","Monster_Offline_"&amp;P367&amp;"_2")</f>
        <v>Monster_Offline_16_2</v>
      </c>
      <c r="M367" s="57">
        <f t="shared" si="69"/>
        <v>1</v>
      </c>
      <c r="O367" s="102">
        <f>IF(VLOOKUP($P367,线下模式!$A$3:$X$22,10,FALSE)="","",VLOOKUP($P367,线下模式!$A$3:$X$22,14,FALSE))</f>
        <v>15</v>
      </c>
      <c r="P367" s="110">
        <f t="shared" si="70"/>
        <v>16</v>
      </c>
      <c r="Q367" s="110">
        <v>2</v>
      </c>
    </row>
    <row r="368" spans="2:17" x14ac:dyDescent="0.2">
      <c r="D368" s="57" t="str">
        <f t="shared" si="71"/>
        <v/>
      </c>
      <c r="F368" s="57" t="str">
        <f t="shared" si="65"/>
        <v/>
      </c>
      <c r="G368" s="102" t="str">
        <f t="shared" si="66"/>
        <v/>
      </c>
      <c r="H368" s="57" t="str">
        <f t="shared" si="67"/>
        <v/>
      </c>
      <c r="I368" s="102" t="str">
        <f>IF(VLOOKUP($P368,线下模式!$A$3:$X$22,15,FALSE)="","",VLOOKUP(P368,线下模式!$A$3:$X$22,16,FALSE))</f>
        <v/>
      </c>
      <c r="J368" s="102" t="str">
        <f>IF(VLOOKUP($P368,线下模式!$A$3:$X$22,15,FALSE)="","",VLOOKUP($P368,线下模式!$A$3:$X$22,17,FALSE))</f>
        <v/>
      </c>
      <c r="K368" s="102" t="str">
        <f t="shared" si="68"/>
        <v/>
      </c>
      <c r="L368" s="102" t="str">
        <f>IF(VLOOKUP($P368,线下模式!$A$3:$X$22,15,FALSE)="","","Monster_Offline_"&amp;P368&amp;"_3")</f>
        <v/>
      </c>
      <c r="M368" s="57" t="str">
        <f t="shared" si="69"/>
        <v/>
      </c>
      <c r="O368" s="102" t="str">
        <f>IF(VLOOKUP($P368,线下模式!$A$3:$X$22,15,FALSE)="","",VLOOKUP($P368,线下模式!$A$3:$X$22,19,FALSE))</f>
        <v/>
      </c>
      <c r="P368" s="110">
        <f t="shared" si="70"/>
        <v>16</v>
      </c>
      <c r="Q368" s="110">
        <v>3</v>
      </c>
    </row>
    <row r="369" spans="2:17" x14ac:dyDescent="0.2">
      <c r="D369" s="57" t="str">
        <f t="shared" si="71"/>
        <v/>
      </c>
      <c r="F369" s="57" t="str">
        <f t="shared" si="65"/>
        <v/>
      </c>
      <c r="G369" s="102" t="str">
        <f t="shared" si="66"/>
        <v/>
      </c>
      <c r="H369" s="57" t="str">
        <f t="shared" si="67"/>
        <v/>
      </c>
      <c r="I369" s="102" t="str">
        <f>IF(VLOOKUP($P369,线下模式!$A$3:$X$22,20,FALSE)="","",VLOOKUP($P369,线下模式!$A$3:$X$22,21,FALSE))</f>
        <v/>
      </c>
      <c r="J369" s="102" t="str">
        <f>IF(VLOOKUP($P369,线下模式!$A$3:$X$22,20,FALSE)="","",VLOOKUP($P369,线下模式!$A$3:$X$22,22,FALSE))</f>
        <v/>
      </c>
      <c r="K369" s="102" t="str">
        <f t="shared" si="68"/>
        <v/>
      </c>
      <c r="L369" s="102" t="str">
        <f>IF(VLOOKUP($P369,线下模式!$A$3:$X$22,20,FALSE)="","","Monster_Offline_"&amp;P369&amp;"_4")</f>
        <v/>
      </c>
      <c r="M369" s="57" t="str">
        <f t="shared" si="69"/>
        <v/>
      </c>
      <c r="O369" s="102" t="str">
        <f>IF(VLOOKUP($P369,线下模式!$A$3:$X$22,20,FALSE)="","",VLOOKUP($P369,线下模式!$A$3:$X$22,24,FALSE))</f>
        <v/>
      </c>
      <c r="P369" s="110">
        <f t="shared" si="70"/>
        <v>16</v>
      </c>
      <c r="Q369" s="110">
        <v>4</v>
      </c>
    </row>
    <row r="370" spans="2:17" x14ac:dyDescent="0.2">
      <c r="B370" s="57" t="s">
        <v>1762</v>
      </c>
      <c r="C370" s="57">
        <v>17</v>
      </c>
      <c r="D370" s="57" t="str">
        <f t="shared" ref="D370:D385" si="72">IF(C370="","","线下模式第"&amp;C370&amp;"波")</f>
        <v>线下模式第17波</v>
      </c>
      <c r="F370" s="57">
        <f t="shared" si="65"/>
        <v>0</v>
      </c>
      <c r="G370" s="102">
        <f t="shared" si="66"/>
        <v>180</v>
      </c>
      <c r="H370" s="57">
        <f t="shared" si="67"/>
        <v>0</v>
      </c>
      <c r="I370" s="102">
        <f>IF(VLOOKUP($P370,线下模式!$A$3:$X$22,5,FALSE)="","",VLOOKUP($P370,线下模式!$A$3:$X$22,6,FALSE))</f>
        <v>17</v>
      </c>
      <c r="J370" s="102">
        <f>IF(VLOOKUP($P370,线下模式!$A$3:$X$22,5,FALSE)="","",VLOOKUP($P370,线下模式!$A$3:$X$22,7,FALSE))</f>
        <v>1.5</v>
      </c>
      <c r="K370" s="102">
        <f t="shared" si="68"/>
        <v>1</v>
      </c>
      <c r="L370" s="102" t="str">
        <f>IF(VLOOKUP($P370,线下模式!$A$3:$X$22,5,FALSE)="","","Monster_Offline_"&amp;P370&amp;"_1")</f>
        <v>Monster_Offline_17_1</v>
      </c>
      <c r="M370" s="57">
        <f t="shared" si="69"/>
        <v>1</v>
      </c>
      <c r="O370" s="102">
        <f>IF(VLOOKUP($P370,线下模式!$A$3:$X$22,5,FALSE)="","",VLOOKUP($P370,线下模式!$A$3:$X$22,9,FALSE))</f>
        <v>17</v>
      </c>
      <c r="P370" s="110">
        <f t="shared" si="70"/>
        <v>17</v>
      </c>
      <c r="Q370" s="110">
        <v>1</v>
      </c>
    </row>
    <row r="371" spans="2:17" x14ac:dyDescent="0.2">
      <c r="D371" s="57" t="str">
        <f t="shared" si="72"/>
        <v/>
      </c>
      <c r="F371" s="57" t="str">
        <f t="shared" ref="F371:F385" si="73">IF(C371="","",0)</f>
        <v/>
      </c>
      <c r="G371" s="102" t="str">
        <f t="shared" ref="G371:G385" si="74">IF(C371="","",180)</f>
        <v/>
      </c>
      <c r="H371" s="57">
        <f t="shared" ref="H371:H385" si="75">IF(I371="","",0)</f>
        <v>0</v>
      </c>
      <c r="I371" s="102">
        <f>IF(VLOOKUP($P371,线下模式!$A$3:$X$22,10,FALSE)="","",VLOOKUP($P371,线下模式!$A$3:$X$22,11,FALSE))</f>
        <v>35</v>
      </c>
      <c r="J371" s="102">
        <f>IF(VLOOKUP($P371,线下模式!$A$3:$X$22,10,FALSE)="","",VLOOKUP($P371,线下模式!$A$3:$X$22,12,FALSE))</f>
        <v>0.75</v>
      </c>
      <c r="K371" s="102">
        <f t="shared" ref="K371:K385" si="76">IF(I371="","",1)</f>
        <v>1</v>
      </c>
      <c r="L371" s="102" t="str">
        <f>IF(VLOOKUP($P371,线下模式!$A$3:$X$22,10,FALSE)="","","Monster_Offline_"&amp;P371&amp;"_2")</f>
        <v>Monster_Offline_17_2</v>
      </c>
      <c r="M371" s="57">
        <f t="shared" ref="M371:M385" si="77">IF(I371="","",1)</f>
        <v>1</v>
      </c>
      <c r="O371" s="102">
        <f>IF(VLOOKUP($P371,线下模式!$A$3:$X$22,10,FALSE)="","",VLOOKUP($P371,线下模式!$A$3:$X$22,14,FALSE))</f>
        <v>9</v>
      </c>
      <c r="P371" s="110">
        <f t="shared" ref="P371:P385" si="78">IF(C371="",P370,C371)</f>
        <v>17</v>
      </c>
      <c r="Q371" s="110">
        <v>2</v>
      </c>
    </row>
    <row r="372" spans="2:17" x14ac:dyDescent="0.2">
      <c r="D372" s="57" t="str">
        <f t="shared" si="72"/>
        <v/>
      </c>
      <c r="F372" s="57" t="str">
        <f t="shared" si="73"/>
        <v/>
      </c>
      <c r="G372" s="102" t="str">
        <f t="shared" si="74"/>
        <v/>
      </c>
      <c r="H372" s="57" t="str">
        <f t="shared" si="75"/>
        <v/>
      </c>
      <c r="I372" s="102" t="str">
        <f>IF(VLOOKUP($P372,线下模式!$A$3:$X$22,15,FALSE)="","",VLOOKUP(P372,线下模式!$A$3:$X$22,16,FALSE))</f>
        <v/>
      </c>
      <c r="J372" s="102" t="str">
        <f>IF(VLOOKUP($P372,线下模式!$A$3:$X$22,15,FALSE)="","",VLOOKUP($P372,线下模式!$A$3:$X$22,17,FALSE))</f>
        <v/>
      </c>
      <c r="K372" s="102" t="str">
        <f t="shared" si="76"/>
        <v/>
      </c>
      <c r="L372" s="102" t="str">
        <f>IF(VLOOKUP($P372,线下模式!$A$3:$X$22,15,FALSE)="","","Monster_Offline_"&amp;P372&amp;"_3")</f>
        <v/>
      </c>
      <c r="M372" s="57" t="str">
        <f t="shared" si="77"/>
        <v/>
      </c>
      <c r="O372" s="102" t="str">
        <f>IF(VLOOKUP($P372,线下模式!$A$3:$X$22,15,FALSE)="","",VLOOKUP($P372,线下模式!$A$3:$X$22,19,FALSE))</f>
        <v/>
      </c>
      <c r="P372" s="110">
        <f t="shared" si="78"/>
        <v>17</v>
      </c>
      <c r="Q372" s="110">
        <v>3</v>
      </c>
    </row>
    <row r="373" spans="2:17" x14ac:dyDescent="0.2">
      <c r="D373" s="57" t="str">
        <f t="shared" si="72"/>
        <v/>
      </c>
      <c r="F373" s="57" t="str">
        <f t="shared" si="73"/>
        <v/>
      </c>
      <c r="G373" s="102" t="str">
        <f t="shared" si="74"/>
        <v/>
      </c>
      <c r="H373" s="57" t="str">
        <f t="shared" si="75"/>
        <v/>
      </c>
      <c r="I373" s="102" t="str">
        <f>IF(VLOOKUP($P373,线下模式!$A$3:$X$22,20,FALSE)="","",VLOOKUP($P373,线下模式!$A$3:$X$22,21,FALSE))</f>
        <v/>
      </c>
      <c r="J373" s="102" t="str">
        <f>IF(VLOOKUP($P373,线下模式!$A$3:$X$22,20,FALSE)="","",VLOOKUP($P373,线下模式!$A$3:$X$22,22,FALSE))</f>
        <v/>
      </c>
      <c r="K373" s="102" t="str">
        <f t="shared" si="76"/>
        <v/>
      </c>
      <c r="L373" s="102" t="str">
        <f>IF(VLOOKUP($P373,线下模式!$A$3:$X$22,20,FALSE)="","","Monster_Offline_"&amp;P373&amp;"_4")</f>
        <v/>
      </c>
      <c r="M373" s="57" t="str">
        <f t="shared" si="77"/>
        <v/>
      </c>
      <c r="O373" s="102" t="str">
        <f>IF(VLOOKUP($P373,线下模式!$A$3:$X$22,20,FALSE)="","",VLOOKUP($P373,线下模式!$A$3:$X$22,24,FALSE))</f>
        <v/>
      </c>
      <c r="P373" s="110">
        <f t="shared" si="78"/>
        <v>17</v>
      </c>
      <c r="Q373" s="110">
        <v>4</v>
      </c>
    </row>
    <row r="374" spans="2:17" x14ac:dyDescent="0.2">
      <c r="B374" s="57" t="s">
        <v>1762</v>
      </c>
      <c r="C374" s="57">
        <v>18</v>
      </c>
      <c r="D374" s="57" t="str">
        <f t="shared" si="72"/>
        <v>线下模式第18波</v>
      </c>
      <c r="F374" s="57">
        <f t="shared" si="73"/>
        <v>0</v>
      </c>
      <c r="G374" s="102">
        <f t="shared" si="74"/>
        <v>180</v>
      </c>
      <c r="H374" s="57">
        <f t="shared" si="75"/>
        <v>0</v>
      </c>
      <c r="I374" s="102">
        <f>IF(VLOOKUP($P374,线下模式!$A$3:$X$22,5,FALSE)="","",VLOOKUP($P374,线下模式!$A$3:$X$22,6,FALSE))</f>
        <v>18</v>
      </c>
      <c r="J374" s="102">
        <f>IF(VLOOKUP($P374,线下模式!$A$3:$X$22,5,FALSE)="","",VLOOKUP($P374,线下模式!$A$3:$X$22,7,FALSE))</f>
        <v>1.5</v>
      </c>
      <c r="K374" s="102">
        <f t="shared" si="76"/>
        <v>1</v>
      </c>
      <c r="L374" s="102" t="str">
        <f>IF(VLOOKUP($P374,线下模式!$A$3:$X$22,5,FALSE)="","","Monster_Offline_"&amp;P374&amp;"_1")</f>
        <v>Monster_Offline_18_1</v>
      </c>
      <c r="M374" s="57">
        <f t="shared" si="77"/>
        <v>1</v>
      </c>
      <c r="O374" s="102">
        <f>IF(VLOOKUP($P374,线下模式!$A$3:$X$22,5,FALSE)="","",VLOOKUP($P374,线下模式!$A$3:$X$22,9,FALSE))</f>
        <v>12</v>
      </c>
      <c r="P374" s="110">
        <f t="shared" si="78"/>
        <v>18</v>
      </c>
      <c r="Q374" s="110">
        <v>1</v>
      </c>
    </row>
    <row r="375" spans="2:17" x14ac:dyDescent="0.2">
      <c r="D375" s="57" t="str">
        <f t="shared" si="72"/>
        <v/>
      </c>
      <c r="F375" s="57" t="str">
        <f t="shared" si="73"/>
        <v/>
      </c>
      <c r="G375" s="102" t="str">
        <f t="shared" si="74"/>
        <v/>
      </c>
      <c r="H375" s="57">
        <f t="shared" si="75"/>
        <v>0</v>
      </c>
      <c r="I375" s="102">
        <f>IF(VLOOKUP($P375,线下模式!$A$3:$X$22,10,FALSE)="","",VLOOKUP($P375,线下模式!$A$3:$X$22,11,FALSE))</f>
        <v>36</v>
      </c>
      <c r="J375" s="102">
        <f>IF(VLOOKUP($P375,线下模式!$A$3:$X$22,10,FALSE)="","",VLOOKUP($P375,线下模式!$A$3:$X$22,12,FALSE))</f>
        <v>0.75</v>
      </c>
      <c r="K375" s="102">
        <f t="shared" si="76"/>
        <v>1</v>
      </c>
      <c r="L375" s="102" t="str">
        <f>IF(VLOOKUP($P375,线下模式!$A$3:$X$22,10,FALSE)="","","Monster_Offline_"&amp;P375&amp;"_2")</f>
        <v>Monster_Offline_18_2</v>
      </c>
      <c r="M375" s="57">
        <f t="shared" si="77"/>
        <v>1</v>
      </c>
      <c r="O375" s="102">
        <f>IF(VLOOKUP($P375,线下模式!$A$3:$X$22,10,FALSE)="","",VLOOKUP($P375,线下模式!$A$3:$X$22,14,FALSE))</f>
        <v>6</v>
      </c>
      <c r="P375" s="110">
        <f t="shared" si="78"/>
        <v>18</v>
      </c>
      <c r="Q375" s="110">
        <v>2</v>
      </c>
    </row>
    <row r="376" spans="2:17" x14ac:dyDescent="0.2">
      <c r="D376" s="57" t="str">
        <f t="shared" si="72"/>
        <v/>
      </c>
      <c r="F376" s="57" t="str">
        <f t="shared" si="73"/>
        <v/>
      </c>
      <c r="G376" s="102" t="str">
        <f t="shared" si="74"/>
        <v/>
      </c>
      <c r="H376" s="57">
        <f t="shared" si="75"/>
        <v>0</v>
      </c>
      <c r="I376" s="102">
        <f>IF(VLOOKUP($P376,线下模式!$A$3:$X$22,15,FALSE)="","",VLOOKUP(P376,线下模式!$A$3:$X$22,16,FALSE))</f>
        <v>14</v>
      </c>
      <c r="J376" s="102">
        <f>IF(VLOOKUP($P376,线下模式!$A$3:$X$22,15,FALSE)="","",VLOOKUP($P376,线下模式!$A$3:$X$22,17,FALSE))</f>
        <v>2</v>
      </c>
      <c r="K376" s="102">
        <f t="shared" si="76"/>
        <v>1</v>
      </c>
      <c r="L376" s="102" t="str">
        <f>IF(VLOOKUP($P376,线下模式!$A$3:$X$22,15,FALSE)="","","Monster_Offline_"&amp;P376&amp;"_3")</f>
        <v>Monster_Offline_18_3</v>
      </c>
      <c r="M376" s="57">
        <f t="shared" si="77"/>
        <v>1</v>
      </c>
      <c r="O376" s="102">
        <f>IF(VLOOKUP($P376,线下模式!$A$3:$X$22,15,FALSE)="","",VLOOKUP($P376,线下模式!$A$3:$X$22,19,FALSE))</f>
        <v>12</v>
      </c>
      <c r="P376" s="110">
        <f t="shared" si="78"/>
        <v>18</v>
      </c>
      <c r="Q376" s="110">
        <v>3</v>
      </c>
    </row>
    <row r="377" spans="2:17" x14ac:dyDescent="0.2">
      <c r="D377" s="57" t="str">
        <f t="shared" si="72"/>
        <v/>
      </c>
      <c r="F377" s="57" t="str">
        <f t="shared" si="73"/>
        <v/>
      </c>
      <c r="G377" s="102" t="str">
        <f t="shared" si="74"/>
        <v/>
      </c>
      <c r="H377" s="57" t="str">
        <f t="shared" si="75"/>
        <v/>
      </c>
      <c r="I377" s="102" t="str">
        <f>IF(VLOOKUP($P377,线下模式!$A$3:$X$22,20,FALSE)="","",VLOOKUP($P377,线下模式!$A$3:$X$22,21,FALSE))</f>
        <v/>
      </c>
      <c r="J377" s="102" t="str">
        <f>IF(VLOOKUP($P377,线下模式!$A$3:$X$22,20,FALSE)="","",VLOOKUP($P377,线下模式!$A$3:$X$22,22,FALSE))</f>
        <v/>
      </c>
      <c r="K377" s="102" t="str">
        <f t="shared" si="76"/>
        <v/>
      </c>
      <c r="L377" s="102" t="str">
        <f>IF(VLOOKUP($P377,线下模式!$A$3:$X$22,20,FALSE)="","","Monster_Offline_"&amp;P377&amp;"_4")</f>
        <v/>
      </c>
      <c r="M377" s="57" t="str">
        <f t="shared" si="77"/>
        <v/>
      </c>
      <c r="O377" s="102" t="str">
        <f>IF(VLOOKUP($P377,线下模式!$A$3:$X$22,20,FALSE)="","",VLOOKUP($P377,线下模式!$A$3:$X$22,24,FALSE))</f>
        <v/>
      </c>
      <c r="P377" s="110">
        <f t="shared" si="78"/>
        <v>18</v>
      </c>
      <c r="Q377" s="110">
        <v>4</v>
      </c>
    </row>
    <row r="378" spans="2:17" x14ac:dyDescent="0.2">
      <c r="B378" s="57" t="s">
        <v>1762</v>
      </c>
      <c r="C378" s="57">
        <v>19</v>
      </c>
      <c r="D378" s="57" t="str">
        <f t="shared" si="72"/>
        <v>线下模式第19波</v>
      </c>
      <c r="F378" s="57">
        <f t="shared" si="73"/>
        <v>0</v>
      </c>
      <c r="G378" s="102">
        <f t="shared" si="74"/>
        <v>180</v>
      </c>
      <c r="H378" s="57">
        <f t="shared" si="75"/>
        <v>0</v>
      </c>
      <c r="I378" s="102">
        <f>IF(VLOOKUP($P378,线下模式!$A$3:$X$22,5,FALSE)="","",VLOOKUP($P378,线下模式!$A$3:$X$22,6,FALSE))</f>
        <v>19</v>
      </c>
      <c r="J378" s="102">
        <f>IF(VLOOKUP($P378,线下模式!$A$3:$X$22,5,FALSE)="","",VLOOKUP($P378,线下模式!$A$3:$X$22,7,FALSE))</f>
        <v>1.5</v>
      </c>
      <c r="K378" s="102">
        <f t="shared" si="76"/>
        <v>1</v>
      </c>
      <c r="L378" s="102" t="str">
        <f>IF(VLOOKUP($P378,线下模式!$A$3:$X$22,5,FALSE)="","","Monster_Offline_"&amp;P378&amp;"_1")</f>
        <v>Monster_Offline_19_1</v>
      </c>
      <c r="M378" s="57">
        <f t="shared" si="77"/>
        <v>1</v>
      </c>
      <c r="O378" s="102">
        <f>IF(VLOOKUP($P378,线下模式!$A$3:$X$22,5,FALSE)="","",VLOOKUP($P378,线下模式!$A$3:$X$22,9,FALSE))</f>
        <v>9</v>
      </c>
      <c r="P378" s="110">
        <f t="shared" si="78"/>
        <v>19</v>
      </c>
      <c r="Q378" s="110">
        <v>1</v>
      </c>
    </row>
    <row r="379" spans="2:17" x14ac:dyDescent="0.2">
      <c r="D379" s="57" t="str">
        <f t="shared" si="72"/>
        <v/>
      </c>
      <c r="F379" s="57" t="str">
        <f t="shared" si="73"/>
        <v/>
      </c>
      <c r="G379" s="102" t="str">
        <f t="shared" si="74"/>
        <v/>
      </c>
      <c r="H379" s="57">
        <f t="shared" si="75"/>
        <v>0</v>
      </c>
      <c r="I379" s="102">
        <f>IF(VLOOKUP($P379,线下模式!$A$3:$X$22,10,FALSE)="","",VLOOKUP($P379,线下模式!$A$3:$X$22,11,FALSE))</f>
        <v>37</v>
      </c>
      <c r="J379" s="102">
        <f>IF(VLOOKUP($P379,线下模式!$A$3:$X$22,10,FALSE)="","",VLOOKUP($P379,线下模式!$A$3:$X$22,12,FALSE))</f>
        <v>0.75</v>
      </c>
      <c r="K379" s="102">
        <f t="shared" si="76"/>
        <v>1</v>
      </c>
      <c r="L379" s="102" t="str">
        <f>IF(VLOOKUP($P379,线下模式!$A$3:$X$22,10,FALSE)="","","Monster_Offline_"&amp;P379&amp;"_2")</f>
        <v>Monster_Offline_19_2</v>
      </c>
      <c r="M379" s="57">
        <f t="shared" si="77"/>
        <v>1</v>
      </c>
      <c r="O379" s="102">
        <f>IF(VLOOKUP($P379,线下模式!$A$3:$X$22,10,FALSE)="","",VLOOKUP($P379,线下模式!$A$3:$X$22,14,FALSE))</f>
        <v>5</v>
      </c>
      <c r="P379" s="110">
        <f t="shared" si="78"/>
        <v>19</v>
      </c>
      <c r="Q379" s="110">
        <v>2</v>
      </c>
    </row>
    <row r="380" spans="2:17" x14ac:dyDescent="0.2">
      <c r="D380" s="57" t="str">
        <f t="shared" si="72"/>
        <v/>
      </c>
      <c r="F380" s="57" t="str">
        <f t="shared" si="73"/>
        <v/>
      </c>
      <c r="G380" s="102" t="str">
        <f t="shared" si="74"/>
        <v/>
      </c>
      <c r="H380" s="57">
        <f t="shared" si="75"/>
        <v>0</v>
      </c>
      <c r="I380" s="102">
        <f>IF(VLOOKUP($P380,线下模式!$A$3:$X$22,15,FALSE)="","",VLOOKUP(P380,线下模式!$A$3:$X$22,16,FALSE))</f>
        <v>28</v>
      </c>
      <c r="J380" s="102">
        <f>IF(VLOOKUP($P380,线下模式!$A$3:$X$22,15,FALSE)="","",VLOOKUP($P380,线下模式!$A$3:$X$22,17,FALSE))</f>
        <v>1</v>
      </c>
      <c r="K380" s="102">
        <f t="shared" si="76"/>
        <v>1</v>
      </c>
      <c r="L380" s="102" t="str">
        <f>IF(VLOOKUP($P380,线下模式!$A$3:$X$22,15,FALSE)="","","Monster_Offline_"&amp;P380&amp;"_3")</f>
        <v>Monster_Offline_19_3</v>
      </c>
      <c r="M380" s="57">
        <f t="shared" si="77"/>
        <v>1</v>
      </c>
      <c r="O380" s="102">
        <f>IF(VLOOKUP($P380,线下模式!$A$3:$X$22,15,FALSE)="","",VLOOKUP($P380,线下模式!$A$3:$X$22,19,FALSE))</f>
        <v>9</v>
      </c>
      <c r="P380" s="110">
        <f t="shared" si="78"/>
        <v>19</v>
      </c>
      <c r="Q380" s="110">
        <v>3</v>
      </c>
    </row>
    <row r="381" spans="2:17" x14ac:dyDescent="0.2">
      <c r="D381" s="57" t="str">
        <f t="shared" si="72"/>
        <v/>
      </c>
      <c r="F381" s="57" t="str">
        <f t="shared" si="73"/>
        <v/>
      </c>
      <c r="G381" s="102" t="str">
        <f t="shared" si="74"/>
        <v/>
      </c>
      <c r="H381" s="57" t="str">
        <f t="shared" si="75"/>
        <v/>
      </c>
      <c r="I381" s="102" t="str">
        <f>IF(VLOOKUP($P381,线下模式!$A$3:$X$22,20,FALSE)="","",VLOOKUP($P381,线下模式!$A$3:$X$22,21,FALSE))</f>
        <v/>
      </c>
      <c r="J381" s="102" t="str">
        <f>IF(VLOOKUP($P381,线下模式!$A$3:$X$22,20,FALSE)="","",VLOOKUP($P381,线下模式!$A$3:$X$22,22,FALSE))</f>
        <v/>
      </c>
      <c r="K381" s="102" t="str">
        <f t="shared" si="76"/>
        <v/>
      </c>
      <c r="L381" s="102" t="str">
        <f>IF(VLOOKUP($P381,线下模式!$A$3:$X$22,20,FALSE)="","","Monster_Offline_"&amp;P381&amp;"_4")</f>
        <v/>
      </c>
      <c r="M381" s="57" t="str">
        <f t="shared" si="77"/>
        <v/>
      </c>
      <c r="O381" s="102" t="str">
        <f>IF(VLOOKUP($P381,线下模式!$A$3:$X$22,20,FALSE)="","",VLOOKUP($P381,线下模式!$A$3:$X$22,24,FALSE))</f>
        <v/>
      </c>
      <c r="P381" s="110">
        <f t="shared" si="78"/>
        <v>19</v>
      </c>
      <c r="Q381" s="110">
        <v>4</v>
      </c>
    </row>
    <row r="382" spans="2:17" x14ac:dyDescent="0.2">
      <c r="B382" s="57" t="s">
        <v>1762</v>
      </c>
      <c r="C382" s="57">
        <v>20</v>
      </c>
      <c r="D382" s="57" t="str">
        <f t="shared" si="72"/>
        <v>线下模式第20波</v>
      </c>
      <c r="F382" s="57">
        <f t="shared" si="73"/>
        <v>0</v>
      </c>
      <c r="G382" s="102">
        <f t="shared" si="74"/>
        <v>180</v>
      </c>
      <c r="H382" s="57">
        <f t="shared" si="75"/>
        <v>0</v>
      </c>
      <c r="I382" s="102">
        <f>IF(VLOOKUP($P382,线下模式!$A$3:$X$22,5,FALSE)="","",VLOOKUP($P382,线下模式!$A$3:$X$22,6,FALSE))</f>
        <v>145</v>
      </c>
      <c r="J382" s="102">
        <f>IF(VLOOKUP($P382,线下模式!$A$3:$X$22,5,FALSE)="","",VLOOKUP($P382,线下模式!$A$3:$X$22,7,FALSE))</f>
        <v>0.2</v>
      </c>
      <c r="K382" s="102">
        <f t="shared" si="76"/>
        <v>1</v>
      </c>
      <c r="L382" s="102" t="str">
        <f>IF(VLOOKUP($P382,线下模式!$A$3:$X$22,5,FALSE)="","","Monster_Offline_"&amp;P382&amp;"_1")</f>
        <v>Monster_Offline_20_1</v>
      </c>
      <c r="M382" s="57">
        <f t="shared" si="77"/>
        <v>1</v>
      </c>
      <c r="O382" s="102">
        <f>IF(VLOOKUP($P382,线下模式!$A$3:$X$22,5,FALSE)="","",VLOOKUP($P382,线下模式!$A$3:$X$22,9,FALSE))</f>
        <v>3</v>
      </c>
      <c r="P382" s="110">
        <f t="shared" si="78"/>
        <v>20</v>
      </c>
      <c r="Q382" s="110">
        <v>1</v>
      </c>
    </row>
    <row r="383" spans="2:17" x14ac:dyDescent="0.2">
      <c r="D383" s="57" t="str">
        <f t="shared" si="72"/>
        <v/>
      </c>
      <c r="F383" s="57" t="str">
        <f t="shared" si="73"/>
        <v/>
      </c>
      <c r="G383" s="102" t="str">
        <f t="shared" si="74"/>
        <v/>
      </c>
      <c r="H383" s="57">
        <f t="shared" si="75"/>
        <v>0</v>
      </c>
      <c r="I383" s="102">
        <f>IF(VLOOKUP($P383,线下模式!$A$3:$X$22,10,FALSE)="","",VLOOKUP($P383,线下模式!$A$3:$X$22,11,FALSE))</f>
        <v>1</v>
      </c>
      <c r="J383" s="102">
        <f>IF(VLOOKUP($P383,线下模式!$A$3:$X$22,10,FALSE)="","",VLOOKUP($P383,线下模式!$A$3:$X$22,12,FALSE))</f>
        <v>0</v>
      </c>
      <c r="K383" s="102">
        <f t="shared" si="76"/>
        <v>1</v>
      </c>
      <c r="L383" s="102" t="str">
        <f>IF(VLOOKUP($P383,线下模式!$A$3:$X$22,10,FALSE)="","","Monster_Offline_"&amp;P383&amp;"_2")</f>
        <v>Monster_Offline_20_2</v>
      </c>
      <c r="M383" s="57">
        <f t="shared" si="77"/>
        <v>1</v>
      </c>
      <c r="O383" s="102">
        <f>IF(VLOOKUP($P383,线下模式!$A$3:$X$22,10,FALSE)="","",VLOOKUP($P383,线下模式!$A$3:$X$22,14,FALSE))</f>
        <v>33</v>
      </c>
      <c r="P383" s="110">
        <f t="shared" si="78"/>
        <v>20</v>
      </c>
      <c r="Q383" s="110">
        <v>2</v>
      </c>
    </row>
    <row r="384" spans="2:17" x14ac:dyDescent="0.2">
      <c r="D384" s="57" t="str">
        <f t="shared" si="72"/>
        <v/>
      </c>
      <c r="F384" s="57" t="str">
        <f t="shared" si="73"/>
        <v/>
      </c>
      <c r="G384" s="102" t="str">
        <f t="shared" si="74"/>
        <v/>
      </c>
      <c r="H384" s="57">
        <f t="shared" si="75"/>
        <v>0</v>
      </c>
      <c r="I384" s="102">
        <f>IF(VLOOKUP($P384,线下模式!$A$3:$X$22,15,FALSE)="","",VLOOKUP(P384,线下模式!$A$3:$X$22,16,FALSE))</f>
        <v>29</v>
      </c>
      <c r="J384" s="102">
        <f>IF(VLOOKUP($P384,线下模式!$A$3:$X$22,15,FALSE)="","",VLOOKUP($P384,线下模式!$A$3:$X$22,17,FALSE))</f>
        <v>1</v>
      </c>
      <c r="K384" s="102">
        <f t="shared" si="76"/>
        <v>1</v>
      </c>
      <c r="L384" s="102" t="str">
        <f>IF(VLOOKUP($P384,线下模式!$A$3:$X$22,15,FALSE)="","","Monster_Offline_"&amp;P384&amp;"_3")</f>
        <v>Monster_Offline_20_3</v>
      </c>
      <c r="M384" s="57">
        <f t="shared" si="77"/>
        <v>1</v>
      </c>
      <c r="O384" s="102">
        <f>IF(VLOOKUP($P384,线下模式!$A$3:$X$22,15,FALSE)="","",VLOOKUP($P384,线下模式!$A$3:$X$22,19,FALSE))</f>
        <v>3</v>
      </c>
      <c r="P384" s="110">
        <f t="shared" si="78"/>
        <v>20</v>
      </c>
      <c r="Q384" s="110">
        <v>3</v>
      </c>
    </row>
    <row r="385" spans="2:18" x14ac:dyDescent="0.2">
      <c r="D385" s="57" t="str">
        <f t="shared" si="72"/>
        <v/>
      </c>
      <c r="F385" s="57" t="str">
        <f t="shared" si="73"/>
        <v/>
      </c>
      <c r="G385" s="102" t="str">
        <f t="shared" si="74"/>
        <v/>
      </c>
      <c r="H385" s="57" t="str">
        <f t="shared" si="75"/>
        <v/>
      </c>
      <c r="I385" s="102" t="str">
        <f>IF(VLOOKUP($P385,线下模式!$A$3:$X$22,20,FALSE)="","",VLOOKUP($P385,线下模式!$A$3:$X$22,21,FALSE))</f>
        <v/>
      </c>
      <c r="J385" s="102" t="str">
        <f>IF(VLOOKUP($P385,线下模式!$A$3:$X$22,20,FALSE)="","",VLOOKUP($P385,线下模式!$A$3:$X$22,22,FALSE))</f>
        <v/>
      </c>
      <c r="K385" s="102" t="str">
        <f t="shared" si="76"/>
        <v/>
      </c>
      <c r="L385" s="102" t="str">
        <f>IF(VLOOKUP($P385,线下模式!$A$3:$X$22,20,FALSE)="","","Monster_Offline_"&amp;P385&amp;"_4")</f>
        <v/>
      </c>
      <c r="M385" s="57" t="str">
        <f t="shared" si="77"/>
        <v/>
      </c>
      <c r="O385" s="102" t="str">
        <f>IF(VLOOKUP($P385,线下模式!$A$3:$X$22,20,FALSE)="","",VLOOKUP($P385,线下模式!$A$3:$X$22,24,FALSE))</f>
        <v/>
      </c>
      <c r="P385" s="110">
        <f t="shared" si="78"/>
        <v>20</v>
      </c>
      <c r="Q385" s="110">
        <v>4</v>
      </c>
    </row>
    <row r="388" spans="2:18" x14ac:dyDescent="0.2">
      <c r="B388" s="57" t="str">
        <f t="shared" ref="B388:B419" si="79">IF(C388="","","MonsterWaveCallRule_Season1_Challenge"&amp;P388)</f>
        <v>MonsterWaveCallRule_Season1_Challenge1</v>
      </c>
      <c r="C388" s="57">
        <v>1</v>
      </c>
      <c r="D388" s="57" t="str">
        <f t="shared" ref="D388:D419" si="80">IF(C388="","","赛季1关卡"&amp;P388&amp;"第"&amp;C388&amp;"波")</f>
        <v>赛季1关卡1第1波</v>
      </c>
      <c r="F388" s="57">
        <f t="shared" ref="F388:F451" si="81">IF(C388="","",0)</f>
        <v>0</v>
      </c>
      <c r="G388" s="102">
        <f>IF(C388="","",180)</f>
        <v>180</v>
      </c>
      <c r="H388" s="57">
        <f t="shared" ref="H388:H451" si="82">IF(I388="","",0)</f>
        <v>0</v>
      </c>
      <c r="I388" s="102">
        <f>VLOOKUP(P388&amp;"_"&amp;Q388,活动关卡!$A$4:$Z$27,3+5*MonsterWaveCallRuleCfg!R388,FALSE)</f>
        <v>5</v>
      </c>
      <c r="J388" s="102">
        <f>VLOOKUP(P388&amp;"_"&amp;Q388,活动关卡!$A$4:$Z$27,4+5*MonsterWaveCallRuleCfg!R388,FALSE)</f>
        <v>2</v>
      </c>
      <c r="K388" s="102">
        <f t="shared" ref="K388" si="83">IF(I388="","",1)</f>
        <v>1</v>
      </c>
      <c r="L388" s="102" t="str">
        <f>IF(VLOOKUP(P388&amp;"_"&amp;Q388,活动关卡!$A$4:$Z$27,2+5*R388,FALSE)="","","Monster_Season1_Challenge"&amp;P388&amp;"_"&amp;Q388&amp;"_"&amp;R388)</f>
        <v>Monster_Season1_Challenge1_1_1</v>
      </c>
      <c r="M388" s="57">
        <f t="shared" ref="M388" si="84">IF(I388="","",1)</f>
        <v>1</v>
      </c>
      <c r="O388" s="102">
        <f>VLOOKUP(P388&amp;"_"&amp;Q388,活动关卡!$A$4:$Z$27,6+5*MonsterWaveCallRuleCfg!R388,FALSE)</f>
        <v>35</v>
      </c>
      <c r="P388" s="110">
        <v>1</v>
      </c>
      <c r="Q388" s="110">
        <f>C388</f>
        <v>1</v>
      </c>
      <c r="R388" s="110">
        <v>1</v>
      </c>
    </row>
    <row r="389" spans="2:18" x14ac:dyDescent="0.2">
      <c r="B389" s="57" t="str">
        <f t="shared" si="79"/>
        <v/>
      </c>
      <c r="D389" s="57" t="str">
        <f t="shared" si="80"/>
        <v/>
      </c>
      <c r="F389" s="57" t="str">
        <f t="shared" si="81"/>
        <v/>
      </c>
      <c r="G389" s="102" t="str">
        <f t="shared" ref="G389:G452" si="85">IF(C389="","",180)</f>
        <v/>
      </c>
      <c r="H389" s="57">
        <f t="shared" si="82"/>
        <v>0</v>
      </c>
      <c r="I389" s="102">
        <f>VLOOKUP(P389&amp;"_"&amp;Q389,活动关卡!$A$4:$Z$27,3+5*MonsterWaveCallRuleCfg!R389,FALSE)</f>
        <v>3</v>
      </c>
      <c r="J389" s="102">
        <f>VLOOKUP(P389&amp;"_"&amp;Q389,活动关卡!$A$4:$Z$27,4+5*MonsterWaveCallRuleCfg!R389,FALSE)</f>
        <v>3</v>
      </c>
      <c r="K389" s="102">
        <f t="shared" ref="K389:K452" si="86">IF(I389="","",1)</f>
        <v>1</v>
      </c>
      <c r="L389" s="102" t="str">
        <f>IF(VLOOKUP(P389&amp;"_"&amp;Q389,活动关卡!$A$4:$Z$27,2+5*R389,FALSE)="","","Monster_Season1_Challenge"&amp;P389&amp;"_"&amp;Q389&amp;"_"&amp;R389)</f>
        <v>Monster_Season1_Challenge1_1_2</v>
      </c>
      <c r="M389" s="57">
        <f t="shared" ref="M389:M452" si="87">IF(I389="","",1)</f>
        <v>1</v>
      </c>
      <c r="O389" s="102">
        <f>VLOOKUP(P389&amp;"_"&amp;Q389,活动关卡!$A$4:$Z$27,6+5*MonsterWaveCallRuleCfg!R389,FALSE)</f>
        <v>141</v>
      </c>
      <c r="P389" s="110">
        <v>1</v>
      </c>
      <c r="Q389" s="110">
        <f>IF(C389="",Q388,C389)</f>
        <v>1</v>
      </c>
      <c r="R389" s="110">
        <v>2</v>
      </c>
    </row>
    <row r="390" spans="2:18" x14ac:dyDescent="0.2">
      <c r="B390" s="57" t="str">
        <f t="shared" si="79"/>
        <v/>
      </c>
      <c r="D390" s="57" t="str">
        <f t="shared" si="80"/>
        <v/>
      </c>
      <c r="F390" s="57" t="str">
        <f t="shared" si="81"/>
        <v/>
      </c>
      <c r="G390" s="102" t="str">
        <f t="shared" si="85"/>
        <v/>
      </c>
      <c r="H390" s="57" t="str">
        <f t="shared" si="82"/>
        <v/>
      </c>
      <c r="I390" s="102" t="str">
        <f>VLOOKUP(P390&amp;"_"&amp;Q390,活动关卡!$A$4:$Z$27,3+5*MonsterWaveCallRuleCfg!R390,FALSE)</f>
        <v/>
      </c>
      <c r="J390" s="102" t="str">
        <f>VLOOKUP(P390&amp;"_"&amp;Q390,活动关卡!$A$4:$Z$27,4+5*MonsterWaveCallRuleCfg!R390,FALSE)</f>
        <v/>
      </c>
      <c r="K390" s="102" t="str">
        <f t="shared" si="86"/>
        <v/>
      </c>
      <c r="L390" s="102" t="str">
        <f>IF(VLOOKUP(P390&amp;"_"&amp;Q390,活动关卡!$A$4:$Z$27,2+5*R390,FALSE)="","","Monster_Season1_Challenge"&amp;P390&amp;"_"&amp;Q390&amp;"_"&amp;R390)</f>
        <v/>
      </c>
      <c r="M390" s="57" t="str">
        <f t="shared" si="87"/>
        <v/>
      </c>
      <c r="O390" s="102" t="str">
        <f>VLOOKUP(P390&amp;"_"&amp;Q390,活动关卡!$A$4:$Z$27,6+5*MonsterWaveCallRuleCfg!R390,FALSE)</f>
        <v/>
      </c>
      <c r="P390" s="110">
        <v>1</v>
      </c>
      <c r="Q390" s="110">
        <f t="shared" ref="Q390:Q453" si="88">IF(C390="",Q389,C390)</f>
        <v>1</v>
      </c>
      <c r="R390" s="110">
        <v>3</v>
      </c>
    </row>
    <row r="391" spans="2:18" x14ac:dyDescent="0.2">
      <c r="B391" s="57" t="str">
        <f t="shared" si="79"/>
        <v/>
      </c>
      <c r="D391" s="57" t="str">
        <f t="shared" si="80"/>
        <v/>
      </c>
      <c r="F391" s="57" t="str">
        <f t="shared" si="81"/>
        <v/>
      </c>
      <c r="G391" s="102" t="str">
        <f t="shared" si="85"/>
        <v/>
      </c>
      <c r="H391" s="57" t="str">
        <f t="shared" si="82"/>
        <v/>
      </c>
      <c r="I391" s="102" t="str">
        <f>VLOOKUP(P391&amp;"_"&amp;Q391,活动关卡!$A$4:$Z$27,3+5*MonsterWaveCallRuleCfg!R391,FALSE)</f>
        <v/>
      </c>
      <c r="J391" s="102" t="str">
        <f>VLOOKUP(P391&amp;"_"&amp;Q391,活动关卡!$A$4:$Z$27,4+5*MonsterWaveCallRuleCfg!R391,FALSE)</f>
        <v/>
      </c>
      <c r="K391" s="102" t="str">
        <f t="shared" si="86"/>
        <v/>
      </c>
      <c r="L391" s="102" t="str">
        <f>IF(VLOOKUP(P391&amp;"_"&amp;Q391,活动关卡!$A$4:$Z$27,2+5*R391,FALSE)="","","Monster_Season1_Challenge"&amp;P391&amp;"_"&amp;Q391&amp;"_"&amp;R391)</f>
        <v/>
      </c>
      <c r="M391" s="57" t="str">
        <f t="shared" si="87"/>
        <v/>
      </c>
      <c r="O391" s="102" t="str">
        <f>VLOOKUP(P391&amp;"_"&amp;Q391,活动关卡!$A$4:$Z$27,6+5*MonsterWaveCallRuleCfg!R391,FALSE)</f>
        <v/>
      </c>
      <c r="P391" s="110">
        <v>1</v>
      </c>
      <c r="Q391" s="110">
        <f t="shared" si="88"/>
        <v>1</v>
      </c>
      <c r="R391" s="110">
        <v>4</v>
      </c>
    </row>
    <row r="392" spans="2:18" x14ac:dyDescent="0.2">
      <c r="B392" s="57" t="str">
        <f t="shared" si="79"/>
        <v>MonsterWaveCallRule_Season1_Challenge1</v>
      </c>
      <c r="C392" s="57">
        <v>2</v>
      </c>
      <c r="D392" s="57" t="str">
        <f t="shared" si="80"/>
        <v>赛季1关卡1第2波</v>
      </c>
      <c r="F392" s="57">
        <f t="shared" si="81"/>
        <v>0</v>
      </c>
      <c r="G392" s="102">
        <f t="shared" si="85"/>
        <v>180</v>
      </c>
      <c r="H392" s="57">
        <f t="shared" si="82"/>
        <v>0</v>
      </c>
      <c r="I392" s="102">
        <f>VLOOKUP(P392&amp;"_"&amp;Q392,活动关卡!$A$4:$Z$27,3+5*MonsterWaveCallRuleCfg!R392,FALSE)</f>
        <v>25</v>
      </c>
      <c r="J392" s="102">
        <f>VLOOKUP(P392&amp;"_"&amp;Q392,活动关卡!$A$4:$Z$27,4+5*MonsterWaveCallRuleCfg!R392,FALSE)</f>
        <v>0.5</v>
      </c>
      <c r="K392" s="102">
        <f t="shared" si="86"/>
        <v>1</v>
      </c>
      <c r="L392" s="102" t="str">
        <f>IF(VLOOKUP(P392&amp;"_"&amp;Q392,活动关卡!$A$4:$Z$27,2+5*R392,FALSE)="","","Monster_Season1_Challenge"&amp;P392&amp;"_"&amp;Q392&amp;"_"&amp;R392)</f>
        <v>Monster_Season1_Challenge1_2_1</v>
      </c>
      <c r="M392" s="57">
        <f t="shared" si="87"/>
        <v>1</v>
      </c>
      <c r="O392" s="102">
        <f>VLOOKUP(P392&amp;"_"&amp;Q392,活动关卡!$A$4:$Z$27,6+5*MonsterWaveCallRuleCfg!R392,FALSE)</f>
        <v>15</v>
      </c>
      <c r="P392" s="110">
        <v>1</v>
      </c>
      <c r="Q392" s="110">
        <f t="shared" si="88"/>
        <v>2</v>
      </c>
      <c r="R392" s="110">
        <v>1</v>
      </c>
    </row>
    <row r="393" spans="2:18" x14ac:dyDescent="0.2">
      <c r="B393" s="57" t="str">
        <f t="shared" si="79"/>
        <v/>
      </c>
      <c r="D393" s="57" t="str">
        <f t="shared" si="80"/>
        <v/>
      </c>
      <c r="F393" s="57" t="str">
        <f t="shared" si="81"/>
        <v/>
      </c>
      <c r="G393" s="102" t="str">
        <f t="shared" si="85"/>
        <v/>
      </c>
      <c r="H393" s="57">
        <f t="shared" si="82"/>
        <v>0</v>
      </c>
      <c r="I393" s="102">
        <f>VLOOKUP(P393&amp;"_"&amp;Q393,活动关卡!$A$4:$Z$27,3+5*MonsterWaveCallRuleCfg!R393,FALSE)</f>
        <v>4</v>
      </c>
      <c r="J393" s="102">
        <f>VLOOKUP(P393&amp;"_"&amp;Q393,活动关卡!$A$4:$Z$27,4+5*MonsterWaveCallRuleCfg!R393,FALSE)</f>
        <v>3</v>
      </c>
      <c r="K393" s="102">
        <f t="shared" si="86"/>
        <v>1</v>
      </c>
      <c r="L393" s="102" t="str">
        <f>IF(VLOOKUP(P393&amp;"_"&amp;Q393,活动关卡!$A$4:$Z$27,2+5*R393,FALSE)="","","Monster_Season1_Challenge"&amp;P393&amp;"_"&amp;Q393&amp;"_"&amp;R393)</f>
        <v>Monster_Season1_Challenge1_2_2</v>
      </c>
      <c r="M393" s="57">
        <f t="shared" si="87"/>
        <v>1</v>
      </c>
      <c r="O393" s="102">
        <f>VLOOKUP(P393&amp;"_"&amp;Q393,活动关卡!$A$4:$Z$27,6+5*MonsterWaveCallRuleCfg!R393,FALSE)</f>
        <v>59</v>
      </c>
      <c r="P393" s="110">
        <v>1</v>
      </c>
      <c r="Q393" s="110">
        <f t="shared" si="88"/>
        <v>2</v>
      </c>
      <c r="R393" s="110">
        <v>2</v>
      </c>
    </row>
    <row r="394" spans="2:18" x14ac:dyDescent="0.2">
      <c r="B394" s="57" t="str">
        <f t="shared" si="79"/>
        <v/>
      </c>
      <c r="D394" s="57" t="str">
        <f t="shared" si="80"/>
        <v/>
      </c>
      <c r="F394" s="57" t="str">
        <f t="shared" si="81"/>
        <v/>
      </c>
      <c r="G394" s="102" t="str">
        <f t="shared" si="85"/>
        <v/>
      </c>
      <c r="H394" s="57" t="str">
        <f t="shared" si="82"/>
        <v/>
      </c>
      <c r="I394" s="102" t="str">
        <f>VLOOKUP(P394&amp;"_"&amp;Q394,活动关卡!$A$4:$Z$27,3+5*MonsterWaveCallRuleCfg!R394,FALSE)</f>
        <v/>
      </c>
      <c r="J394" s="102" t="str">
        <f>VLOOKUP(P394&amp;"_"&amp;Q394,活动关卡!$A$4:$Z$27,4+5*MonsterWaveCallRuleCfg!R394,FALSE)</f>
        <v/>
      </c>
      <c r="K394" s="102" t="str">
        <f t="shared" si="86"/>
        <v/>
      </c>
      <c r="L394" s="102" t="str">
        <f>IF(VLOOKUP(P394&amp;"_"&amp;Q394,活动关卡!$A$4:$Z$27,2+5*R394,FALSE)="","","Monster_Season1_Challenge"&amp;P394&amp;"_"&amp;Q394&amp;"_"&amp;R394)</f>
        <v/>
      </c>
      <c r="M394" s="57" t="str">
        <f t="shared" si="87"/>
        <v/>
      </c>
      <c r="O394" s="102" t="str">
        <f>VLOOKUP(P394&amp;"_"&amp;Q394,活动关卡!$A$4:$Z$27,6+5*MonsterWaveCallRuleCfg!R394,FALSE)</f>
        <v/>
      </c>
      <c r="P394" s="110">
        <v>1</v>
      </c>
      <c r="Q394" s="110">
        <f t="shared" si="88"/>
        <v>2</v>
      </c>
      <c r="R394" s="110">
        <v>3</v>
      </c>
    </row>
    <row r="395" spans="2:18" x14ac:dyDescent="0.2">
      <c r="B395" s="57" t="str">
        <f t="shared" si="79"/>
        <v/>
      </c>
      <c r="D395" s="57" t="str">
        <f t="shared" si="80"/>
        <v/>
      </c>
      <c r="F395" s="57" t="str">
        <f t="shared" si="81"/>
        <v/>
      </c>
      <c r="G395" s="102" t="str">
        <f t="shared" si="85"/>
        <v/>
      </c>
      <c r="H395" s="57" t="str">
        <f t="shared" si="82"/>
        <v/>
      </c>
      <c r="I395" s="102" t="str">
        <f>VLOOKUP(P395&amp;"_"&amp;Q395,活动关卡!$A$4:$Z$27,3+5*MonsterWaveCallRuleCfg!R395,FALSE)</f>
        <v/>
      </c>
      <c r="J395" s="102" t="str">
        <f>VLOOKUP(P395&amp;"_"&amp;Q395,活动关卡!$A$4:$Z$27,4+5*MonsterWaveCallRuleCfg!R395,FALSE)</f>
        <v/>
      </c>
      <c r="K395" s="102" t="str">
        <f t="shared" si="86"/>
        <v/>
      </c>
      <c r="L395" s="102" t="str">
        <f>IF(VLOOKUP(P395&amp;"_"&amp;Q395,活动关卡!$A$4:$Z$27,2+5*R395,FALSE)="","","Monster_Season1_Challenge"&amp;P395&amp;"_"&amp;Q395&amp;"_"&amp;R395)</f>
        <v/>
      </c>
      <c r="M395" s="57" t="str">
        <f t="shared" si="87"/>
        <v/>
      </c>
      <c r="O395" s="102" t="str">
        <f>VLOOKUP(P395&amp;"_"&amp;Q395,活动关卡!$A$4:$Z$27,6+5*MonsterWaveCallRuleCfg!R395,FALSE)</f>
        <v/>
      </c>
      <c r="P395" s="110">
        <v>1</v>
      </c>
      <c r="Q395" s="110">
        <f t="shared" si="88"/>
        <v>2</v>
      </c>
      <c r="R395" s="110">
        <v>4</v>
      </c>
    </row>
    <row r="396" spans="2:18" x14ac:dyDescent="0.2">
      <c r="B396" s="57" t="str">
        <f t="shared" si="79"/>
        <v>MonsterWaveCallRule_Season1_Challenge1</v>
      </c>
      <c r="C396" s="57">
        <v>3</v>
      </c>
      <c r="D396" s="57" t="str">
        <f t="shared" si="80"/>
        <v>赛季1关卡1第3波</v>
      </c>
      <c r="F396" s="57">
        <f t="shared" si="81"/>
        <v>0</v>
      </c>
      <c r="G396" s="102">
        <f t="shared" si="85"/>
        <v>180</v>
      </c>
      <c r="H396" s="57">
        <f t="shared" si="82"/>
        <v>0</v>
      </c>
      <c r="I396" s="102">
        <f>VLOOKUP(P396&amp;"_"&amp;Q396,活动关卡!$A$4:$Z$27,3+5*MonsterWaveCallRuleCfg!R396,FALSE)</f>
        <v>30</v>
      </c>
      <c r="J396" s="102">
        <f>VLOOKUP(P396&amp;"_"&amp;Q396,活动关卡!$A$4:$Z$27,4+5*MonsterWaveCallRuleCfg!R396,FALSE)</f>
        <v>0.5</v>
      </c>
      <c r="K396" s="102">
        <f t="shared" si="86"/>
        <v>1</v>
      </c>
      <c r="L396" s="102" t="str">
        <f>IF(VLOOKUP(P396&amp;"_"&amp;Q396,活动关卡!$A$4:$Z$27,2+5*R396,FALSE)="","","Monster_Season1_Challenge"&amp;P396&amp;"_"&amp;Q396&amp;"_"&amp;R396)</f>
        <v>Monster_Season1_Challenge1_3_1</v>
      </c>
      <c r="M396" s="57">
        <f t="shared" si="87"/>
        <v>1</v>
      </c>
      <c r="O396" s="102">
        <f>VLOOKUP(P396&amp;"_"&amp;Q396,活动关卡!$A$4:$Z$27,6+5*MonsterWaveCallRuleCfg!R396,FALSE)</f>
        <v>7</v>
      </c>
      <c r="P396" s="110">
        <v>1</v>
      </c>
      <c r="Q396" s="110">
        <f t="shared" si="88"/>
        <v>3</v>
      </c>
      <c r="R396" s="110">
        <v>1</v>
      </c>
    </row>
    <row r="397" spans="2:18" x14ac:dyDescent="0.2">
      <c r="B397" s="57" t="str">
        <f t="shared" si="79"/>
        <v/>
      </c>
      <c r="D397" s="57" t="str">
        <f t="shared" si="80"/>
        <v/>
      </c>
      <c r="F397" s="57" t="str">
        <f t="shared" si="81"/>
        <v/>
      </c>
      <c r="G397" s="102" t="str">
        <f t="shared" si="85"/>
        <v/>
      </c>
      <c r="H397" s="57">
        <f t="shared" si="82"/>
        <v>0</v>
      </c>
      <c r="I397" s="102">
        <f>VLOOKUP(P397&amp;"_"&amp;Q397,活动关卡!$A$4:$Z$27,3+5*MonsterWaveCallRuleCfg!R397,FALSE)</f>
        <v>5</v>
      </c>
      <c r="J397" s="102">
        <f>VLOOKUP(P397&amp;"_"&amp;Q397,活动关卡!$A$4:$Z$27,4+5*MonsterWaveCallRuleCfg!R397,FALSE)</f>
        <v>3</v>
      </c>
      <c r="K397" s="102">
        <f t="shared" si="86"/>
        <v>1</v>
      </c>
      <c r="L397" s="102" t="str">
        <f>IF(VLOOKUP(P397&amp;"_"&amp;Q397,活动关卡!$A$4:$Z$27,2+5*R397,FALSE)="","","Monster_Season1_Challenge"&amp;P397&amp;"_"&amp;Q397&amp;"_"&amp;R397)</f>
        <v>Monster_Season1_Challenge1_3_2</v>
      </c>
      <c r="M397" s="57">
        <f t="shared" si="87"/>
        <v>1</v>
      </c>
      <c r="O397" s="102">
        <f>VLOOKUP(P397&amp;"_"&amp;Q397,活动关卡!$A$4:$Z$27,6+5*MonsterWaveCallRuleCfg!R397,FALSE)</f>
        <v>27</v>
      </c>
      <c r="P397" s="110">
        <v>1</v>
      </c>
      <c r="Q397" s="110">
        <f t="shared" si="88"/>
        <v>3</v>
      </c>
      <c r="R397" s="110">
        <v>2</v>
      </c>
    </row>
    <row r="398" spans="2:18" x14ac:dyDescent="0.2">
      <c r="B398" s="57" t="str">
        <f t="shared" si="79"/>
        <v/>
      </c>
      <c r="D398" s="57" t="str">
        <f t="shared" si="80"/>
        <v/>
      </c>
      <c r="F398" s="57" t="str">
        <f t="shared" si="81"/>
        <v/>
      </c>
      <c r="G398" s="102" t="str">
        <f t="shared" si="85"/>
        <v/>
      </c>
      <c r="H398" s="57">
        <f t="shared" si="82"/>
        <v>0</v>
      </c>
      <c r="I398" s="102">
        <f>VLOOKUP(P398&amp;"_"&amp;Q398,活动关卡!$A$4:$Z$27,3+5*MonsterWaveCallRuleCfg!R398,FALSE)</f>
        <v>10</v>
      </c>
      <c r="J398" s="102">
        <f>VLOOKUP(P398&amp;"_"&amp;Q398,活动关卡!$A$4:$Z$27,4+5*MonsterWaveCallRuleCfg!R398,FALSE)</f>
        <v>1.5</v>
      </c>
      <c r="K398" s="102">
        <f t="shared" si="86"/>
        <v>1</v>
      </c>
      <c r="L398" s="102" t="str">
        <f>IF(VLOOKUP(P398&amp;"_"&amp;Q398,活动关卡!$A$4:$Z$27,2+5*R398,FALSE)="","","Monster_Season1_Challenge"&amp;P398&amp;"_"&amp;Q398&amp;"_"&amp;R398)</f>
        <v>Monster_Season1_Challenge1_3_3</v>
      </c>
      <c r="M398" s="57">
        <f t="shared" si="87"/>
        <v>1</v>
      </c>
      <c r="O398" s="102">
        <f>VLOOKUP(P398&amp;"_"&amp;Q398,活动关卡!$A$4:$Z$27,6+5*MonsterWaveCallRuleCfg!R398,FALSE)</f>
        <v>27</v>
      </c>
      <c r="P398" s="110">
        <v>1</v>
      </c>
      <c r="Q398" s="110">
        <f t="shared" si="88"/>
        <v>3</v>
      </c>
      <c r="R398" s="110">
        <v>3</v>
      </c>
    </row>
    <row r="399" spans="2:18" x14ac:dyDescent="0.2">
      <c r="B399" s="57" t="str">
        <f t="shared" si="79"/>
        <v/>
      </c>
      <c r="D399" s="57" t="str">
        <f t="shared" si="80"/>
        <v/>
      </c>
      <c r="F399" s="57" t="str">
        <f t="shared" si="81"/>
        <v/>
      </c>
      <c r="G399" s="102" t="str">
        <f t="shared" si="85"/>
        <v/>
      </c>
      <c r="H399" s="57" t="str">
        <f t="shared" si="82"/>
        <v/>
      </c>
      <c r="I399" s="102" t="str">
        <f>VLOOKUP(P399&amp;"_"&amp;Q399,活动关卡!$A$4:$Z$27,3+5*MonsterWaveCallRuleCfg!R399,FALSE)</f>
        <v/>
      </c>
      <c r="J399" s="102" t="str">
        <f>VLOOKUP(P399&amp;"_"&amp;Q399,活动关卡!$A$4:$Z$27,4+5*MonsterWaveCallRuleCfg!R399,FALSE)</f>
        <v/>
      </c>
      <c r="K399" s="102" t="str">
        <f t="shared" si="86"/>
        <v/>
      </c>
      <c r="L399" s="102" t="str">
        <f>IF(VLOOKUP(P399&amp;"_"&amp;Q399,活动关卡!$A$4:$Z$27,2+5*R399,FALSE)="","","Monster_Season1_Challenge"&amp;P399&amp;"_"&amp;Q399&amp;"_"&amp;R399)</f>
        <v/>
      </c>
      <c r="M399" s="57" t="str">
        <f t="shared" si="87"/>
        <v/>
      </c>
      <c r="O399" s="102" t="str">
        <f>VLOOKUP(P399&amp;"_"&amp;Q399,活动关卡!$A$4:$Z$27,6+5*MonsterWaveCallRuleCfg!R399,FALSE)</f>
        <v/>
      </c>
      <c r="P399" s="110">
        <v>1</v>
      </c>
      <c r="Q399" s="110">
        <f t="shared" si="88"/>
        <v>3</v>
      </c>
      <c r="R399" s="110">
        <v>4</v>
      </c>
    </row>
    <row r="400" spans="2:18" x14ac:dyDescent="0.2">
      <c r="B400" s="57" t="str">
        <f t="shared" si="79"/>
        <v>MonsterWaveCallRule_Season1_Challenge1</v>
      </c>
      <c r="C400" s="57">
        <v>4</v>
      </c>
      <c r="D400" s="57" t="str">
        <f t="shared" si="80"/>
        <v>赛季1关卡1第4波</v>
      </c>
      <c r="F400" s="57">
        <f t="shared" si="81"/>
        <v>0</v>
      </c>
      <c r="G400" s="102">
        <f t="shared" si="85"/>
        <v>180</v>
      </c>
      <c r="H400" s="57" t="e">
        <f t="shared" si="82"/>
        <v>#N/A</v>
      </c>
      <c r="I400" s="102" t="e">
        <f>VLOOKUP(P400&amp;"_"&amp;Q400,活动关卡!$A$4:$Z$27,3+5*MonsterWaveCallRuleCfg!R400,FALSE)</f>
        <v>#N/A</v>
      </c>
      <c r="J400" s="102" t="e">
        <f>VLOOKUP(P400&amp;"_"&amp;Q400,活动关卡!$A$4:$Z$27,4+5*MonsterWaveCallRuleCfg!R400,FALSE)</f>
        <v>#N/A</v>
      </c>
      <c r="K400" s="102" t="e">
        <f t="shared" si="86"/>
        <v>#N/A</v>
      </c>
      <c r="L400" s="102" t="e">
        <f>IF(VLOOKUP(P400&amp;"_"&amp;Q400,活动关卡!$A$4:$Z$27,2+5*R400,FALSE)="","","Monster_Season1_Challenge"&amp;P400&amp;"_"&amp;Q400&amp;"_"&amp;R400)</f>
        <v>#N/A</v>
      </c>
      <c r="M400" s="57" t="e">
        <f t="shared" si="87"/>
        <v>#N/A</v>
      </c>
      <c r="O400" s="102" t="e">
        <f>VLOOKUP(P400&amp;"_"&amp;Q400,活动关卡!$A$4:$Z$27,6+5*MonsterWaveCallRuleCfg!R400,FALSE)</f>
        <v>#N/A</v>
      </c>
      <c r="P400" s="110">
        <v>1</v>
      </c>
      <c r="Q400" s="110">
        <f t="shared" si="88"/>
        <v>4</v>
      </c>
      <c r="R400" s="110">
        <v>1</v>
      </c>
    </row>
    <row r="401" spans="2:18" x14ac:dyDescent="0.2">
      <c r="B401" s="57" t="str">
        <f t="shared" si="79"/>
        <v/>
      </c>
      <c r="D401" s="57" t="str">
        <f t="shared" si="80"/>
        <v/>
      </c>
      <c r="F401" s="57" t="str">
        <f t="shared" si="81"/>
        <v/>
      </c>
      <c r="G401" s="102" t="str">
        <f t="shared" si="85"/>
        <v/>
      </c>
      <c r="H401" s="57" t="e">
        <f t="shared" si="82"/>
        <v>#N/A</v>
      </c>
      <c r="I401" s="102" t="e">
        <f>VLOOKUP(P401&amp;"_"&amp;Q401,活动关卡!$A$4:$Z$27,3+5*MonsterWaveCallRuleCfg!R401,FALSE)</f>
        <v>#N/A</v>
      </c>
      <c r="J401" s="102" t="e">
        <f>VLOOKUP(P401&amp;"_"&amp;Q401,活动关卡!$A$4:$Z$27,4+5*MonsterWaveCallRuleCfg!R401,FALSE)</f>
        <v>#N/A</v>
      </c>
      <c r="K401" s="102" t="e">
        <f t="shared" si="86"/>
        <v>#N/A</v>
      </c>
      <c r="L401" s="102" t="e">
        <f>IF(VLOOKUP(P401&amp;"_"&amp;Q401,活动关卡!$A$4:$Z$27,2+5*R401,FALSE)="","","Monster_Season1_Challenge"&amp;P401&amp;"_"&amp;Q401&amp;"_"&amp;R401)</f>
        <v>#N/A</v>
      </c>
      <c r="M401" s="57" t="e">
        <f t="shared" si="87"/>
        <v>#N/A</v>
      </c>
      <c r="O401" s="102" t="e">
        <f>VLOOKUP(P401&amp;"_"&amp;Q401,活动关卡!$A$4:$Z$27,6+5*MonsterWaveCallRuleCfg!R401,FALSE)</f>
        <v>#N/A</v>
      </c>
      <c r="P401" s="110">
        <v>1</v>
      </c>
      <c r="Q401" s="110">
        <f t="shared" si="88"/>
        <v>4</v>
      </c>
      <c r="R401" s="110">
        <v>2</v>
      </c>
    </row>
    <row r="402" spans="2:18" x14ac:dyDescent="0.2">
      <c r="B402" s="57" t="str">
        <f t="shared" si="79"/>
        <v/>
      </c>
      <c r="D402" s="57" t="str">
        <f t="shared" si="80"/>
        <v/>
      </c>
      <c r="F402" s="57" t="str">
        <f t="shared" si="81"/>
        <v/>
      </c>
      <c r="G402" s="102" t="str">
        <f t="shared" si="85"/>
        <v/>
      </c>
      <c r="H402" s="57" t="e">
        <f t="shared" si="82"/>
        <v>#N/A</v>
      </c>
      <c r="I402" s="102" t="e">
        <f>VLOOKUP(P402&amp;"_"&amp;Q402,活动关卡!$A$4:$Z$27,3+5*MonsterWaveCallRuleCfg!R402,FALSE)</f>
        <v>#N/A</v>
      </c>
      <c r="J402" s="102" t="e">
        <f>VLOOKUP(P402&amp;"_"&amp;Q402,活动关卡!$A$4:$Z$27,4+5*MonsterWaveCallRuleCfg!R402,FALSE)</f>
        <v>#N/A</v>
      </c>
      <c r="K402" s="102" t="e">
        <f t="shared" si="86"/>
        <v>#N/A</v>
      </c>
      <c r="L402" s="102" t="e">
        <f>IF(VLOOKUP(P402&amp;"_"&amp;Q402,活动关卡!$A$4:$Z$27,2+5*R402,FALSE)="","","Monster_Season1_Challenge"&amp;P402&amp;"_"&amp;Q402&amp;"_"&amp;R402)</f>
        <v>#N/A</v>
      </c>
      <c r="M402" s="57" t="e">
        <f t="shared" si="87"/>
        <v>#N/A</v>
      </c>
      <c r="O402" s="102" t="e">
        <f>VLOOKUP(P402&amp;"_"&amp;Q402,活动关卡!$A$4:$Z$27,6+5*MonsterWaveCallRuleCfg!R402,FALSE)</f>
        <v>#N/A</v>
      </c>
      <c r="P402" s="110">
        <v>1</v>
      </c>
      <c r="Q402" s="110">
        <f t="shared" si="88"/>
        <v>4</v>
      </c>
      <c r="R402" s="110">
        <v>3</v>
      </c>
    </row>
    <row r="403" spans="2:18" x14ac:dyDescent="0.2">
      <c r="B403" s="57" t="str">
        <f t="shared" si="79"/>
        <v/>
      </c>
      <c r="D403" s="57" t="str">
        <f t="shared" si="80"/>
        <v/>
      </c>
      <c r="F403" s="57" t="str">
        <f t="shared" si="81"/>
        <v/>
      </c>
      <c r="G403" s="102" t="str">
        <f t="shared" si="85"/>
        <v/>
      </c>
      <c r="H403" s="57" t="e">
        <f t="shared" si="82"/>
        <v>#N/A</v>
      </c>
      <c r="I403" s="102" t="e">
        <f>VLOOKUP(P403&amp;"_"&amp;Q403,活动关卡!$A$4:$Z$27,3+5*MonsterWaveCallRuleCfg!R403,FALSE)</f>
        <v>#N/A</v>
      </c>
      <c r="J403" s="102" t="e">
        <f>VLOOKUP(P403&amp;"_"&amp;Q403,活动关卡!$A$4:$Z$27,4+5*MonsterWaveCallRuleCfg!R403,FALSE)</f>
        <v>#N/A</v>
      </c>
      <c r="K403" s="102" t="e">
        <f t="shared" si="86"/>
        <v>#N/A</v>
      </c>
      <c r="L403" s="102" t="e">
        <f>IF(VLOOKUP(P403&amp;"_"&amp;Q403,活动关卡!$A$4:$Z$27,2+5*R403,FALSE)="","","Monster_Season1_Challenge"&amp;P403&amp;"_"&amp;Q403&amp;"_"&amp;R403)</f>
        <v>#N/A</v>
      </c>
      <c r="M403" s="57" t="e">
        <f t="shared" si="87"/>
        <v>#N/A</v>
      </c>
      <c r="O403" s="102" t="e">
        <f>VLOOKUP(P403&amp;"_"&amp;Q403,活动关卡!$A$4:$Z$27,6+5*MonsterWaveCallRuleCfg!R403,FALSE)</f>
        <v>#N/A</v>
      </c>
      <c r="P403" s="110">
        <v>1</v>
      </c>
      <c r="Q403" s="110">
        <f t="shared" si="88"/>
        <v>4</v>
      </c>
      <c r="R403" s="110">
        <v>4</v>
      </c>
    </row>
    <row r="404" spans="2:18" x14ac:dyDescent="0.2">
      <c r="B404" s="57" t="str">
        <f t="shared" si="79"/>
        <v>MonsterWaveCallRule_Season1_Challenge1</v>
      </c>
      <c r="C404" s="57">
        <v>5</v>
      </c>
      <c r="D404" s="57" t="str">
        <f t="shared" si="80"/>
        <v>赛季1关卡1第5波</v>
      </c>
      <c r="F404" s="57">
        <f t="shared" si="81"/>
        <v>0</v>
      </c>
      <c r="G404" s="102">
        <f t="shared" si="85"/>
        <v>180</v>
      </c>
      <c r="H404" s="57" t="e">
        <f t="shared" si="82"/>
        <v>#N/A</v>
      </c>
      <c r="I404" s="102" t="e">
        <f>VLOOKUP(P404&amp;"_"&amp;Q404,活动关卡!$A$4:$Z$27,3+5*MonsterWaveCallRuleCfg!R404,FALSE)</f>
        <v>#N/A</v>
      </c>
      <c r="J404" s="102" t="e">
        <f>VLOOKUP(P404&amp;"_"&amp;Q404,活动关卡!$A$4:$Z$27,4+5*MonsterWaveCallRuleCfg!R404,FALSE)</f>
        <v>#N/A</v>
      </c>
      <c r="K404" s="102" t="e">
        <f t="shared" si="86"/>
        <v>#N/A</v>
      </c>
      <c r="L404" s="102" t="e">
        <f>IF(VLOOKUP(P404&amp;"_"&amp;Q404,活动关卡!$A$4:$Z$27,2+5*R404,FALSE)="","","Monster_Season1_Challenge"&amp;P404&amp;"_"&amp;Q404&amp;"_"&amp;R404)</f>
        <v>#N/A</v>
      </c>
      <c r="M404" s="57" t="e">
        <f t="shared" si="87"/>
        <v>#N/A</v>
      </c>
      <c r="O404" s="102" t="e">
        <f>VLOOKUP(P404&amp;"_"&amp;Q404,活动关卡!$A$4:$Z$27,6+5*MonsterWaveCallRuleCfg!R404,FALSE)</f>
        <v>#N/A</v>
      </c>
      <c r="P404" s="110">
        <v>1</v>
      </c>
      <c r="Q404" s="110">
        <f t="shared" si="88"/>
        <v>5</v>
      </c>
      <c r="R404" s="110">
        <v>1</v>
      </c>
    </row>
    <row r="405" spans="2:18" x14ac:dyDescent="0.2">
      <c r="B405" s="57" t="str">
        <f t="shared" si="79"/>
        <v/>
      </c>
      <c r="D405" s="57" t="str">
        <f t="shared" si="80"/>
        <v/>
      </c>
      <c r="F405" s="57" t="str">
        <f t="shared" si="81"/>
        <v/>
      </c>
      <c r="G405" s="102" t="str">
        <f t="shared" si="85"/>
        <v/>
      </c>
      <c r="H405" s="57" t="e">
        <f t="shared" si="82"/>
        <v>#N/A</v>
      </c>
      <c r="I405" s="102" t="e">
        <f>VLOOKUP(P405&amp;"_"&amp;Q405,活动关卡!$A$4:$Z$27,3+5*MonsterWaveCallRuleCfg!R405,FALSE)</f>
        <v>#N/A</v>
      </c>
      <c r="J405" s="102" t="e">
        <f>VLOOKUP(P405&amp;"_"&amp;Q405,活动关卡!$A$4:$Z$27,4+5*MonsterWaveCallRuleCfg!R405,FALSE)</f>
        <v>#N/A</v>
      </c>
      <c r="K405" s="102" t="e">
        <f t="shared" si="86"/>
        <v>#N/A</v>
      </c>
      <c r="L405" s="102" t="e">
        <f>IF(VLOOKUP(P405&amp;"_"&amp;Q405,活动关卡!$A$4:$Z$27,2+5*R405,FALSE)="","","Monster_Season1_Challenge"&amp;P405&amp;"_"&amp;Q405&amp;"_"&amp;R405)</f>
        <v>#N/A</v>
      </c>
      <c r="M405" s="57" t="e">
        <f t="shared" si="87"/>
        <v>#N/A</v>
      </c>
      <c r="O405" s="102" t="e">
        <f>VLOOKUP(P405&amp;"_"&amp;Q405,活动关卡!$A$4:$Z$27,6+5*MonsterWaveCallRuleCfg!R405,FALSE)</f>
        <v>#N/A</v>
      </c>
      <c r="P405" s="110">
        <v>1</v>
      </c>
      <c r="Q405" s="110">
        <f t="shared" si="88"/>
        <v>5</v>
      </c>
      <c r="R405" s="110">
        <v>2</v>
      </c>
    </row>
    <row r="406" spans="2:18" x14ac:dyDescent="0.2">
      <c r="B406" s="57" t="str">
        <f t="shared" si="79"/>
        <v/>
      </c>
      <c r="D406" s="57" t="str">
        <f t="shared" si="80"/>
        <v/>
      </c>
      <c r="F406" s="57" t="str">
        <f t="shared" si="81"/>
        <v/>
      </c>
      <c r="G406" s="102" t="str">
        <f t="shared" si="85"/>
        <v/>
      </c>
      <c r="H406" s="57" t="e">
        <f t="shared" si="82"/>
        <v>#N/A</v>
      </c>
      <c r="I406" s="102" t="e">
        <f>VLOOKUP(P406&amp;"_"&amp;Q406,活动关卡!$A$4:$Z$27,3+5*MonsterWaveCallRuleCfg!R406,FALSE)</f>
        <v>#N/A</v>
      </c>
      <c r="J406" s="102" t="e">
        <f>VLOOKUP(P406&amp;"_"&amp;Q406,活动关卡!$A$4:$Z$27,4+5*MonsterWaveCallRuleCfg!R406,FALSE)</f>
        <v>#N/A</v>
      </c>
      <c r="K406" s="102" t="e">
        <f t="shared" si="86"/>
        <v>#N/A</v>
      </c>
      <c r="L406" s="102" t="e">
        <f>IF(VLOOKUP(P406&amp;"_"&amp;Q406,活动关卡!$A$4:$Z$27,2+5*R406,FALSE)="","","Monster_Season1_Challenge"&amp;P406&amp;"_"&amp;Q406&amp;"_"&amp;R406)</f>
        <v>#N/A</v>
      </c>
      <c r="M406" s="57" t="e">
        <f t="shared" si="87"/>
        <v>#N/A</v>
      </c>
      <c r="O406" s="102" t="e">
        <f>VLOOKUP(P406&amp;"_"&amp;Q406,活动关卡!$A$4:$Z$27,6+5*MonsterWaveCallRuleCfg!R406,FALSE)</f>
        <v>#N/A</v>
      </c>
      <c r="P406" s="110">
        <v>1</v>
      </c>
      <c r="Q406" s="110">
        <f t="shared" si="88"/>
        <v>5</v>
      </c>
      <c r="R406" s="110">
        <v>3</v>
      </c>
    </row>
    <row r="407" spans="2:18" x14ac:dyDescent="0.2">
      <c r="B407" s="57" t="str">
        <f t="shared" si="79"/>
        <v/>
      </c>
      <c r="D407" s="57" t="str">
        <f t="shared" si="80"/>
        <v/>
      </c>
      <c r="F407" s="57" t="str">
        <f t="shared" si="81"/>
        <v/>
      </c>
      <c r="G407" s="102" t="str">
        <f t="shared" si="85"/>
        <v/>
      </c>
      <c r="H407" s="57" t="e">
        <f t="shared" si="82"/>
        <v>#N/A</v>
      </c>
      <c r="I407" s="102" t="e">
        <f>VLOOKUP(P407&amp;"_"&amp;Q407,活动关卡!$A$4:$Z$27,3+5*MonsterWaveCallRuleCfg!R407,FALSE)</f>
        <v>#N/A</v>
      </c>
      <c r="J407" s="102" t="e">
        <f>VLOOKUP(P407&amp;"_"&amp;Q407,活动关卡!$A$4:$Z$27,4+5*MonsterWaveCallRuleCfg!R407,FALSE)</f>
        <v>#N/A</v>
      </c>
      <c r="K407" s="102" t="e">
        <f t="shared" si="86"/>
        <v>#N/A</v>
      </c>
      <c r="L407" s="102" t="e">
        <f>IF(VLOOKUP(P407&amp;"_"&amp;Q407,活动关卡!$A$4:$Z$27,2+5*R407,FALSE)="","","Monster_Season1_Challenge"&amp;P407&amp;"_"&amp;Q407&amp;"_"&amp;R407)</f>
        <v>#N/A</v>
      </c>
      <c r="M407" s="57" t="e">
        <f t="shared" si="87"/>
        <v>#N/A</v>
      </c>
      <c r="O407" s="102" t="e">
        <f>VLOOKUP(P407&amp;"_"&amp;Q407,活动关卡!$A$4:$Z$27,6+5*MonsterWaveCallRuleCfg!R407,FALSE)</f>
        <v>#N/A</v>
      </c>
      <c r="P407" s="110">
        <v>1</v>
      </c>
      <c r="Q407" s="110">
        <f t="shared" si="88"/>
        <v>5</v>
      </c>
      <c r="R407" s="110">
        <v>4</v>
      </c>
    </row>
    <row r="408" spans="2:18" x14ac:dyDescent="0.2">
      <c r="B408" s="57" t="str">
        <f t="shared" si="79"/>
        <v>MonsterWaveCallRule_Season1_Challenge2</v>
      </c>
      <c r="C408" s="57">
        <v>1</v>
      </c>
      <c r="D408" s="57" t="str">
        <f t="shared" si="80"/>
        <v>赛季1关卡2第1波</v>
      </c>
      <c r="F408" s="57">
        <f t="shared" si="81"/>
        <v>0</v>
      </c>
      <c r="G408" s="102">
        <f t="shared" si="85"/>
        <v>180</v>
      </c>
      <c r="H408" s="57">
        <f t="shared" si="82"/>
        <v>0</v>
      </c>
      <c r="I408" s="102">
        <f>VLOOKUP(P408&amp;"_"&amp;Q408,活动关卡!$A$4:$Z$27,3+5*MonsterWaveCallRuleCfg!R408,FALSE)</f>
        <v>5</v>
      </c>
      <c r="J408" s="102">
        <f>VLOOKUP(P408&amp;"_"&amp;Q408,活动关卡!$A$4:$Z$27,4+5*MonsterWaveCallRuleCfg!R408,FALSE)</f>
        <v>2</v>
      </c>
      <c r="K408" s="102">
        <f t="shared" si="86"/>
        <v>1</v>
      </c>
      <c r="L408" s="102" t="str">
        <f>IF(VLOOKUP(P408&amp;"_"&amp;Q408,活动关卡!$A$4:$Z$27,2+5*R408,FALSE)="","","Monster_Season1_Challenge"&amp;P408&amp;"_"&amp;Q408&amp;"_"&amp;R408)</f>
        <v>Monster_Season1_Challenge2_1_1</v>
      </c>
      <c r="M408" s="57">
        <f t="shared" si="87"/>
        <v>1</v>
      </c>
      <c r="O408" s="102">
        <f>VLOOKUP(P408&amp;"_"&amp;Q408,活动关卡!$A$4:$Z$27,6+5*MonsterWaveCallRuleCfg!R408,FALSE)</f>
        <v>40</v>
      </c>
      <c r="P408" s="110">
        <v>2</v>
      </c>
      <c r="Q408" s="110">
        <f t="shared" si="88"/>
        <v>1</v>
      </c>
      <c r="R408" s="110">
        <v>1</v>
      </c>
    </row>
    <row r="409" spans="2:18" x14ac:dyDescent="0.2">
      <c r="B409" s="57" t="str">
        <f t="shared" si="79"/>
        <v/>
      </c>
      <c r="D409" s="57" t="str">
        <f t="shared" si="80"/>
        <v/>
      </c>
      <c r="F409" s="57" t="str">
        <f t="shared" si="81"/>
        <v/>
      </c>
      <c r="G409" s="102" t="str">
        <f t="shared" si="85"/>
        <v/>
      </c>
      <c r="H409" s="57">
        <f t="shared" si="82"/>
        <v>0</v>
      </c>
      <c r="I409" s="102">
        <f>VLOOKUP(P409&amp;"_"&amp;Q409,活动关卡!$A$4:$Z$27,3+5*MonsterWaveCallRuleCfg!R409,FALSE)</f>
        <v>5</v>
      </c>
      <c r="J409" s="102">
        <f>VLOOKUP(P409&amp;"_"&amp;Q409,活动关卡!$A$4:$Z$27,4+5*MonsterWaveCallRuleCfg!R409,FALSE)</f>
        <v>2</v>
      </c>
      <c r="K409" s="102">
        <f t="shared" si="86"/>
        <v>1</v>
      </c>
      <c r="L409" s="102" t="str">
        <f>IF(VLOOKUP(P409&amp;"_"&amp;Q409,活动关卡!$A$4:$Z$27,2+5*R409,FALSE)="","","Monster_Season1_Challenge"&amp;P409&amp;"_"&amp;Q409&amp;"_"&amp;R409)</f>
        <v>Monster_Season1_Challenge2_1_2</v>
      </c>
      <c r="M409" s="57">
        <f t="shared" si="87"/>
        <v>1</v>
      </c>
      <c r="O409" s="102">
        <f>VLOOKUP(P409&amp;"_"&amp;Q409,活动关卡!$A$4:$Z$27,6+5*MonsterWaveCallRuleCfg!R409,FALSE)</f>
        <v>80</v>
      </c>
      <c r="P409" s="110">
        <v>2</v>
      </c>
      <c r="Q409" s="110">
        <f t="shared" si="88"/>
        <v>1</v>
      </c>
      <c r="R409" s="110">
        <v>2</v>
      </c>
    </row>
    <row r="410" spans="2:18" x14ac:dyDescent="0.2">
      <c r="B410" s="57" t="str">
        <f t="shared" si="79"/>
        <v/>
      </c>
      <c r="D410" s="57" t="str">
        <f t="shared" si="80"/>
        <v/>
      </c>
      <c r="F410" s="57" t="str">
        <f t="shared" si="81"/>
        <v/>
      </c>
      <c r="G410" s="102" t="str">
        <f t="shared" si="85"/>
        <v/>
      </c>
      <c r="H410" s="57" t="str">
        <f t="shared" si="82"/>
        <v/>
      </c>
      <c r="I410" s="102" t="str">
        <f>VLOOKUP(P410&amp;"_"&amp;Q410,活动关卡!$A$4:$Z$27,3+5*MonsterWaveCallRuleCfg!R410,FALSE)</f>
        <v/>
      </c>
      <c r="J410" s="102" t="str">
        <f>VLOOKUP(P410&amp;"_"&amp;Q410,活动关卡!$A$4:$Z$27,4+5*MonsterWaveCallRuleCfg!R410,FALSE)</f>
        <v/>
      </c>
      <c r="K410" s="102" t="str">
        <f t="shared" si="86"/>
        <v/>
      </c>
      <c r="L410" s="102" t="str">
        <f>IF(VLOOKUP(P410&amp;"_"&amp;Q410,活动关卡!$A$4:$Z$27,2+5*R410,FALSE)="","","Monster_Season1_Challenge"&amp;P410&amp;"_"&amp;Q410&amp;"_"&amp;R410)</f>
        <v/>
      </c>
      <c r="M410" s="57" t="str">
        <f t="shared" si="87"/>
        <v/>
      </c>
      <c r="O410" s="102" t="str">
        <f>VLOOKUP(P410&amp;"_"&amp;Q410,活动关卡!$A$4:$Z$27,6+5*MonsterWaveCallRuleCfg!R410,FALSE)</f>
        <v/>
      </c>
      <c r="P410" s="110">
        <v>2</v>
      </c>
      <c r="Q410" s="110">
        <f t="shared" si="88"/>
        <v>1</v>
      </c>
      <c r="R410" s="110">
        <v>3</v>
      </c>
    </row>
    <row r="411" spans="2:18" x14ac:dyDescent="0.2">
      <c r="B411" s="57" t="str">
        <f t="shared" si="79"/>
        <v/>
      </c>
      <c r="D411" s="57" t="str">
        <f t="shared" si="80"/>
        <v/>
      </c>
      <c r="F411" s="57" t="str">
        <f t="shared" si="81"/>
        <v/>
      </c>
      <c r="G411" s="102" t="str">
        <f t="shared" si="85"/>
        <v/>
      </c>
      <c r="H411" s="57" t="str">
        <f t="shared" si="82"/>
        <v/>
      </c>
      <c r="I411" s="102" t="str">
        <f>VLOOKUP(P411&amp;"_"&amp;Q411,活动关卡!$A$4:$Z$27,3+5*MonsterWaveCallRuleCfg!R411,FALSE)</f>
        <v/>
      </c>
      <c r="J411" s="102" t="str">
        <f>VLOOKUP(P411&amp;"_"&amp;Q411,活动关卡!$A$4:$Z$27,4+5*MonsterWaveCallRuleCfg!R411,FALSE)</f>
        <v/>
      </c>
      <c r="K411" s="102" t="str">
        <f t="shared" si="86"/>
        <v/>
      </c>
      <c r="L411" s="102" t="str">
        <f>IF(VLOOKUP(P411&amp;"_"&amp;Q411,活动关卡!$A$4:$Z$27,2+5*R411,FALSE)="","","Monster_Season1_Challenge"&amp;P411&amp;"_"&amp;Q411&amp;"_"&amp;R411)</f>
        <v/>
      </c>
      <c r="M411" s="57" t="str">
        <f t="shared" si="87"/>
        <v/>
      </c>
      <c r="O411" s="102" t="str">
        <f>VLOOKUP(P411&amp;"_"&amp;Q411,活动关卡!$A$4:$Z$27,6+5*MonsterWaveCallRuleCfg!R411,FALSE)</f>
        <v/>
      </c>
      <c r="P411" s="110">
        <v>2</v>
      </c>
      <c r="Q411" s="110">
        <f t="shared" si="88"/>
        <v>1</v>
      </c>
      <c r="R411" s="110">
        <v>4</v>
      </c>
    </row>
    <row r="412" spans="2:18" x14ac:dyDescent="0.2">
      <c r="B412" s="57" t="str">
        <f t="shared" si="79"/>
        <v>MonsterWaveCallRule_Season1_Challenge2</v>
      </c>
      <c r="C412" s="57">
        <v>2</v>
      </c>
      <c r="D412" s="57" t="str">
        <f t="shared" si="80"/>
        <v>赛季1关卡2第2波</v>
      </c>
      <c r="F412" s="57">
        <f t="shared" si="81"/>
        <v>0</v>
      </c>
      <c r="G412" s="102">
        <f t="shared" si="85"/>
        <v>180</v>
      </c>
      <c r="H412" s="57">
        <f t="shared" si="82"/>
        <v>0</v>
      </c>
      <c r="I412" s="102">
        <f>VLOOKUP(P412&amp;"_"&amp;Q412,活动关卡!$A$4:$Z$27,3+5*MonsterWaveCallRuleCfg!R412,FALSE)</f>
        <v>6</v>
      </c>
      <c r="J412" s="102">
        <f>VLOOKUP(P412&amp;"_"&amp;Q412,活动关卡!$A$4:$Z$27,4+5*MonsterWaveCallRuleCfg!R412,FALSE)</f>
        <v>2</v>
      </c>
      <c r="K412" s="102">
        <f t="shared" si="86"/>
        <v>1</v>
      </c>
      <c r="L412" s="102" t="str">
        <f>IF(VLOOKUP(P412&amp;"_"&amp;Q412,活动关卡!$A$4:$Z$27,2+5*R412,FALSE)="","","Monster_Season1_Challenge"&amp;P412&amp;"_"&amp;Q412&amp;"_"&amp;R412)</f>
        <v>Monster_Season1_Challenge2_2_1</v>
      </c>
      <c r="M412" s="57">
        <f t="shared" si="87"/>
        <v>1</v>
      </c>
      <c r="O412" s="102">
        <f>VLOOKUP(P412&amp;"_"&amp;Q412,活动关卡!$A$4:$Z$27,6+5*MonsterWaveCallRuleCfg!R412,FALSE)</f>
        <v>20</v>
      </c>
      <c r="P412" s="110">
        <v>2</v>
      </c>
      <c r="Q412" s="110">
        <f t="shared" si="88"/>
        <v>2</v>
      </c>
      <c r="R412" s="110">
        <v>1</v>
      </c>
    </row>
    <row r="413" spans="2:18" x14ac:dyDescent="0.2">
      <c r="B413" s="57" t="str">
        <f t="shared" si="79"/>
        <v/>
      </c>
      <c r="D413" s="57" t="str">
        <f t="shared" si="80"/>
        <v/>
      </c>
      <c r="F413" s="57" t="str">
        <f t="shared" si="81"/>
        <v/>
      </c>
      <c r="G413" s="102" t="str">
        <f t="shared" si="85"/>
        <v/>
      </c>
      <c r="H413" s="57">
        <f t="shared" si="82"/>
        <v>0</v>
      </c>
      <c r="I413" s="102">
        <f>VLOOKUP(P413&amp;"_"&amp;Q413,活动关卡!$A$4:$Z$27,3+5*MonsterWaveCallRuleCfg!R413,FALSE)</f>
        <v>6</v>
      </c>
      <c r="J413" s="102">
        <f>VLOOKUP(P413&amp;"_"&amp;Q413,活动关卡!$A$4:$Z$27,4+5*MonsterWaveCallRuleCfg!R413,FALSE)</f>
        <v>2</v>
      </c>
      <c r="K413" s="102">
        <f t="shared" si="86"/>
        <v>1</v>
      </c>
      <c r="L413" s="102" t="str">
        <f>IF(VLOOKUP(P413&amp;"_"&amp;Q413,活动关卡!$A$4:$Z$27,2+5*R413,FALSE)="","","Monster_Season1_Challenge"&amp;P413&amp;"_"&amp;Q413&amp;"_"&amp;R413)</f>
        <v>Monster_Season1_Challenge2_2_2</v>
      </c>
      <c r="M413" s="57">
        <f t="shared" si="87"/>
        <v>1</v>
      </c>
      <c r="O413" s="102">
        <f>VLOOKUP(P413&amp;"_"&amp;Q413,活动关卡!$A$4:$Z$27,6+5*MonsterWaveCallRuleCfg!R413,FALSE)</f>
        <v>40</v>
      </c>
      <c r="P413" s="110">
        <v>2</v>
      </c>
      <c r="Q413" s="110">
        <f t="shared" si="88"/>
        <v>2</v>
      </c>
      <c r="R413" s="110">
        <v>2</v>
      </c>
    </row>
    <row r="414" spans="2:18" x14ac:dyDescent="0.2">
      <c r="B414" s="57" t="str">
        <f t="shared" si="79"/>
        <v/>
      </c>
      <c r="D414" s="57" t="str">
        <f t="shared" si="80"/>
        <v/>
      </c>
      <c r="F414" s="57" t="str">
        <f t="shared" si="81"/>
        <v/>
      </c>
      <c r="G414" s="102" t="str">
        <f t="shared" si="85"/>
        <v/>
      </c>
      <c r="H414" s="57">
        <f t="shared" si="82"/>
        <v>0</v>
      </c>
      <c r="I414" s="102">
        <f>VLOOKUP(P414&amp;"_"&amp;Q414,活动关卡!$A$4:$Z$27,3+5*MonsterWaveCallRuleCfg!R414,FALSE)</f>
        <v>6</v>
      </c>
      <c r="J414" s="102">
        <f>VLOOKUP(P414&amp;"_"&amp;Q414,活动关卡!$A$4:$Z$27,4+5*MonsterWaveCallRuleCfg!R414,FALSE)</f>
        <v>2</v>
      </c>
      <c r="K414" s="102">
        <f t="shared" si="86"/>
        <v>1</v>
      </c>
      <c r="L414" s="102" t="str">
        <f>IF(VLOOKUP(P414&amp;"_"&amp;Q414,活动关卡!$A$4:$Z$27,2+5*R414,FALSE)="","","Monster_Season1_Challenge"&amp;P414&amp;"_"&amp;Q414&amp;"_"&amp;R414)</f>
        <v>Monster_Season1_Challenge2_2_3</v>
      </c>
      <c r="M414" s="57">
        <f t="shared" si="87"/>
        <v>1</v>
      </c>
      <c r="O414" s="102">
        <f>VLOOKUP(P414&amp;"_"&amp;Q414,活动关卡!$A$4:$Z$27,6+5*MonsterWaveCallRuleCfg!R414,FALSE)</f>
        <v>40</v>
      </c>
      <c r="P414" s="110">
        <v>2</v>
      </c>
      <c r="Q414" s="110">
        <f t="shared" si="88"/>
        <v>2</v>
      </c>
      <c r="R414" s="110">
        <v>3</v>
      </c>
    </row>
    <row r="415" spans="2:18" x14ac:dyDescent="0.2">
      <c r="B415" s="57" t="str">
        <f t="shared" si="79"/>
        <v/>
      </c>
      <c r="D415" s="57" t="str">
        <f t="shared" si="80"/>
        <v/>
      </c>
      <c r="F415" s="57" t="str">
        <f t="shared" si="81"/>
        <v/>
      </c>
      <c r="G415" s="102" t="str">
        <f t="shared" si="85"/>
        <v/>
      </c>
      <c r="H415" s="57" t="str">
        <f t="shared" si="82"/>
        <v/>
      </c>
      <c r="I415" s="102" t="str">
        <f>VLOOKUP(P415&amp;"_"&amp;Q415,活动关卡!$A$4:$Z$27,3+5*MonsterWaveCallRuleCfg!R415,FALSE)</f>
        <v/>
      </c>
      <c r="J415" s="102" t="str">
        <f>VLOOKUP(P415&amp;"_"&amp;Q415,活动关卡!$A$4:$Z$27,4+5*MonsterWaveCallRuleCfg!R415,FALSE)</f>
        <v/>
      </c>
      <c r="K415" s="102" t="str">
        <f t="shared" si="86"/>
        <v/>
      </c>
      <c r="L415" s="102" t="str">
        <f>IF(VLOOKUP(P415&amp;"_"&amp;Q415,活动关卡!$A$4:$Z$27,2+5*R415,FALSE)="","","Monster_Season1_Challenge"&amp;P415&amp;"_"&amp;Q415&amp;"_"&amp;R415)</f>
        <v/>
      </c>
      <c r="M415" s="57" t="str">
        <f t="shared" si="87"/>
        <v/>
      </c>
      <c r="O415" s="102" t="str">
        <f>VLOOKUP(P415&amp;"_"&amp;Q415,活动关卡!$A$4:$Z$27,6+5*MonsterWaveCallRuleCfg!R415,FALSE)</f>
        <v/>
      </c>
      <c r="P415" s="110">
        <v>2</v>
      </c>
      <c r="Q415" s="110">
        <f t="shared" si="88"/>
        <v>2</v>
      </c>
      <c r="R415" s="110">
        <v>4</v>
      </c>
    </row>
    <row r="416" spans="2:18" x14ac:dyDescent="0.2">
      <c r="B416" s="57" t="str">
        <f t="shared" si="79"/>
        <v>MonsterWaveCallRule_Season1_Challenge2</v>
      </c>
      <c r="C416" s="57">
        <v>3</v>
      </c>
      <c r="D416" s="57" t="str">
        <f t="shared" si="80"/>
        <v>赛季1关卡2第3波</v>
      </c>
      <c r="F416" s="57">
        <f t="shared" si="81"/>
        <v>0</v>
      </c>
      <c r="G416" s="102">
        <f t="shared" si="85"/>
        <v>180</v>
      </c>
      <c r="H416" s="57">
        <f t="shared" si="82"/>
        <v>0</v>
      </c>
      <c r="I416" s="102">
        <f>VLOOKUP(P416&amp;"_"&amp;Q416,活动关卡!$A$4:$Z$27,3+5*MonsterWaveCallRuleCfg!R416,FALSE)</f>
        <v>15</v>
      </c>
      <c r="J416" s="102">
        <f>VLOOKUP(P416&amp;"_"&amp;Q416,活动关卡!$A$4:$Z$27,4+5*MonsterWaveCallRuleCfg!R416,FALSE)</f>
        <v>1</v>
      </c>
      <c r="K416" s="102">
        <f t="shared" si="86"/>
        <v>1</v>
      </c>
      <c r="L416" s="102" t="str">
        <f>IF(VLOOKUP(P416&amp;"_"&amp;Q416,活动关卡!$A$4:$Z$27,2+5*R416,FALSE)="","","Monster_Season1_Challenge"&amp;P416&amp;"_"&amp;Q416&amp;"_"&amp;R416)</f>
        <v>Monster_Season1_Challenge2_3_1</v>
      </c>
      <c r="M416" s="57">
        <f t="shared" si="87"/>
        <v>1</v>
      </c>
      <c r="O416" s="102">
        <f>VLOOKUP(P416&amp;"_"&amp;Q416,活动关卡!$A$4:$Z$27,6+5*MonsterWaveCallRuleCfg!R416,FALSE)</f>
        <v>11</v>
      </c>
      <c r="P416" s="110">
        <v>2</v>
      </c>
      <c r="Q416" s="110">
        <f t="shared" si="88"/>
        <v>3</v>
      </c>
      <c r="R416" s="110">
        <v>1</v>
      </c>
    </row>
    <row r="417" spans="2:18" x14ac:dyDescent="0.2">
      <c r="B417" s="57" t="str">
        <f t="shared" si="79"/>
        <v/>
      </c>
      <c r="D417" s="57" t="str">
        <f t="shared" si="80"/>
        <v/>
      </c>
      <c r="F417" s="57" t="str">
        <f t="shared" si="81"/>
        <v/>
      </c>
      <c r="G417" s="102" t="str">
        <f t="shared" si="85"/>
        <v/>
      </c>
      <c r="H417" s="57">
        <f t="shared" si="82"/>
        <v>0</v>
      </c>
      <c r="I417" s="102">
        <f>VLOOKUP(P417&amp;"_"&amp;Q417,活动关卡!$A$4:$Z$27,3+5*MonsterWaveCallRuleCfg!R417,FALSE)</f>
        <v>15</v>
      </c>
      <c r="J417" s="102">
        <f>VLOOKUP(P417&amp;"_"&amp;Q417,活动关卡!$A$4:$Z$27,4+5*MonsterWaveCallRuleCfg!R417,FALSE)</f>
        <v>1</v>
      </c>
      <c r="K417" s="102">
        <f t="shared" si="86"/>
        <v>1</v>
      </c>
      <c r="L417" s="102" t="str">
        <f>IF(VLOOKUP(P417&amp;"_"&amp;Q417,活动关卡!$A$4:$Z$27,2+5*R417,FALSE)="","","Monster_Season1_Challenge"&amp;P417&amp;"_"&amp;Q417&amp;"_"&amp;R417)</f>
        <v>Monster_Season1_Challenge2_3_2</v>
      </c>
      <c r="M417" s="57">
        <f t="shared" si="87"/>
        <v>1</v>
      </c>
      <c r="O417" s="102">
        <f>VLOOKUP(P417&amp;"_"&amp;Q417,活动关卡!$A$4:$Z$27,6+5*MonsterWaveCallRuleCfg!R417,FALSE)</f>
        <v>6</v>
      </c>
      <c r="P417" s="110">
        <v>2</v>
      </c>
      <c r="Q417" s="110">
        <f t="shared" si="88"/>
        <v>3</v>
      </c>
      <c r="R417" s="110">
        <v>2</v>
      </c>
    </row>
    <row r="418" spans="2:18" x14ac:dyDescent="0.2">
      <c r="B418" s="57" t="str">
        <f t="shared" si="79"/>
        <v/>
      </c>
      <c r="D418" s="57" t="str">
        <f t="shared" si="80"/>
        <v/>
      </c>
      <c r="F418" s="57" t="str">
        <f t="shared" si="81"/>
        <v/>
      </c>
      <c r="G418" s="102" t="str">
        <f t="shared" si="85"/>
        <v/>
      </c>
      <c r="H418" s="57">
        <f t="shared" si="82"/>
        <v>0</v>
      </c>
      <c r="I418" s="102">
        <f>VLOOKUP(P418&amp;"_"&amp;Q418,活动关卡!$A$4:$Z$27,3+5*MonsterWaveCallRuleCfg!R418,FALSE)</f>
        <v>15</v>
      </c>
      <c r="J418" s="102">
        <f>VLOOKUP(P418&amp;"_"&amp;Q418,活动关卡!$A$4:$Z$27,4+5*MonsterWaveCallRuleCfg!R418,FALSE)</f>
        <v>1</v>
      </c>
      <c r="K418" s="102">
        <f t="shared" si="86"/>
        <v>1</v>
      </c>
      <c r="L418" s="102" t="str">
        <f>IF(VLOOKUP(P418&amp;"_"&amp;Q418,活动关卡!$A$4:$Z$27,2+5*R418,FALSE)="","","Monster_Season1_Challenge"&amp;P418&amp;"_"&amp;Q418&amp;"_"&amp;R418)</f>
        <v>Monster_Season1_Challenge2_3_3</v>
      </c>
      <c r="M418" s="57">
        <f t="shared" si="87"/>
        <v>1</v>
      </c>
      <c r="O418" s="102">
        <f>VLOOKUP(P418&amp;"_"&amp;Q418,活动关卡!$A$4:$Z$27,6+5*MonsterWaveCallRuleCfg!R418,FALSE)</f>
        <v>23</v>
      </c>
      <c r="P418" s="110">
        <v>2</v>
      </c>
      <c r="Q418" s="110">
        <f t="shared" si="88"/>
        <v>3</v>
      </c>
      <c r="R418" s="110">
        <v>3</v>
      </c>
    </row>
    <row r="419" spans="2:18" x14ac:dyDescent="0.2">
      <c r="B419" s="57" t="str">
        <f t="shared" si="79"/>
        <v/>
      </c>
      <c r="D419" s="57" t="str">
        <f t="shared" si="80"/>
        <v/>
      </c>
      <c r="F419" s="57" t="str">
        <f t="shared" si="81"/>
        <v/>
      </c>
      <c r="G419" s="102" t="str">
        <f t="shared" si="85"/>
        <v/>
      </c>
      <c r="H419" s="57" t="str">
        <f t="shared" si="82"/>
        <v/>
      </c>
      <c r="I419" s="102" t="str">
        <f>VLOOKUP(P419&amp;"_"&amp;Q419,活动关卡!$A$4:$Z$27,3+5*MonsterWaveCallRuleCfg!R419,FALSE)</f>
        <v/>
      </c>
      <c r="J419" s="102" t="str">
        <f>VLOOKUP(P419&amp;"_"&amp;Q419,活动关卡!$A$4:$Z$27,4+5*MonsterWaveCallRuleCfg!R419,FALSE)</f>
        <v/>
      </c>
      <c r="K419" s="102" t="str">
        <f t="shared" si="86"/>
        <v/>
      </c>
      <c r="L419" s="102" t="str">
        <f>IF(VLOOKUP(P419&amp;"_"&amp;Q419,活动关卡!$A$4:$Z$27,2+5*R419,FALSE)="","","Monster_Season1_Challenge"&amp;P419&amp;"_"&amp;Q419&amp;"_"&amp;R419)</f>
        <v/>
      </c>
      <c r="M419" s="57" t="str">
        <f t="shared" si="87"/>
        <v/>
      </c>
      <c r="O419" s="102" t="str">
        <f>VLOOKUP(P419&amp;"_"&amp;Q419,活动关卡!$A$4:$Z$27,6+5*MonsterWaveCallRuleCfg!R419,FALSE)</f>
        <v/>
      </c>
      <c r="P419" s="110">
        <v>2</v>
      </c>
      <c r="Q419" s="110">
        <f t="shared" si="88"/>
        <v>3</v>
      </c>
      <c r="R419" s="110">
        <v>4</v>
      </c>
    </row>
    <row r="420" spans="2:18" x14ac:dyDescent="0.2">
      <c r="B420" s="57" t="str">
        <f t="shared" ref="B420:B451" si="89">IF(C420="","","MonsterWaveCallRule_Season1_Challenge"&amp;P420)</f>
        <v>MonsterWaveCallRule_Season1_Challenge2</v>
      </c>
      <c r="C420" s="57">
        <v>4</v>
      </c>
      <c r="D420" s="57" t="str">
        <f t="shared" ref="D420:D451" si="90">IF(C420="","","赛季1关卡"&amp;P420&amp;"第"&amp;C420&amp;"波")</f>
        <v>赛季1关卡2第4波</v>
      </c>
      <c r="F420" s="57">
        <f t="shared" si="81"/>
        <v>0</v>
      </c>
      <c r="G420" s="102">
        <f t="shared" si="85"/>
        <v>180</v>
      </c>
      <c r="H420" s="57">
        <f t="shared" si="82"/>
        <v>0</v>
      </c>
      <c r="I420" s="102">
        <f>VLOOKUP(P420&amp;"_"&amp;Q420,活动关卡!$A$4:$Z$27,3+5*MonsterWaveCallRuleCfg!R420,FALSE)</f>
        <v>18</v>
      </c>
      <c r="J420" s="102">
        <f>VLOOKUP(P420&amp;"_"&amp;Q420,活动关卡!$A$4:$Z$27,4+5*MonsterWaveCallRuleCfg!R420,FALSE)</f>
        <v>1</v>
      </c>
      <c r="K420" s="102">
        <f t="shared" si="86"/>
        <v>1</v>
      </c>
      <c r="L420" s="102" t="str">
        <f>IF(VLOOKUP(P420&amp;"_"&amp;Q420,活动关卡!$A$4:$Z$27,2+5*R420,FALSE)="","","Monster_Season1_Challenge"&amp;P420&amp;"_"&amp;Q420&amp;"_"&amp;R420)</f>
        <v>Monster_Season1_Challenge2_4_1</v>
      </c>
      <c r="M420" s="57">
        <f t="shared" si="87"/>
        <v>1</v>
      </c>
      <c r="O420" s="102">
        <f>VLOOKUP(P420&amp;"_"&amp;Q420,活动关卡!$A$4:$Z$27,6+5*MonsterWaveCallRuleCfg!R420,FALSE)</f>
        <v>4</v>
      </c>
      <c r="P420" s="110">
        <v>2</v>
      </c>
      <c r="Q420" s="110">
        <f t="shared" si="88"/>
        <v>4</v>
      </c>
      <c r="R420" s="110">
        <v>1</v>
      </c>
    </row>
    <row r="421" spans="2:18" x14ac:dyDescent="0.2">
      <c r="B421" s="57" t="str">
        <f t="shared" si="89"/>
        <v/>
      </c>
      <c r="D421" s="57" t="str">
        <f t="shared" si="90"/>
        <v/>
      </c>
      <c r="F421" s="57" t="str">
        <f t="shared" si="81"/>
        <v/>
      </c>
      <c r="G421" s="102" t="str">
        <f t="shared" si="85"/>
        <v/>
      </c>
      <c r="H421" s="57">
        <f t="shared" si="82"/>
        <v>0</v>
      </c>
      <c r="I421" s="102">
        <f>VLOOKUP(P421&amp;"_"&amp;Q421,活动关卡!$A$4:$Z$27,3+5*MonsterWaveCallRuleCfg!R421,FALSE)</f>
        <v>44</v>
      </c>
      <c r="J421" s="102">
        <f>VLOOKUP(P421&amp;"_"&amp;Q421,活动关卡!$A$4:$Z$27,4+5*MonsterWaveCallRuleCfg!R421,FALSE)</f>
        <v>0.4</v>
      </c>
      <c r="K421" s="102">
        <f t="shared" si="86"/>
        <v>1</v>
      </c>
      <c r="L421" s="102" t="str">
        <f>IF(VLOOKUP(P421&amp;"_"&amp;Q421,活动关卡!$A$4:$Z$27,2+5*R421,FALSE)="","","Monster_Season1_Challenge"&amp;P421&amp;"_"&amp;Q421&amp;"_"&amp;R421)</f>
        <v>Monster_Season1_Challenge2_4_2</v>
      </c>
      <c r="M421" s="57">
        <f t="shared" si="87"/>
        <v>1</v>
      </c>
      <c r="O421" s="102">
        <f>VLOOKUP(P421&amp;"_"&amp;Q421,活动关卡!$A$4:$Z$27,6+5*MonsterWaveCallRuleCfg!R421,FALSE)</f>
        <v>2</v>
      </c>
      <c r="P421" s="110">
        <v>2</v>
      </c>
      <c r="Q421" s="110">
        <f t="shared" si="88"/>
        <v>4</v>
      </c>
      <c r="R421" s="110">
        <v>2</v>
      </c>
    </row>
    <row r="422" spans="2:18" x14ac:dyDescent="0.2">
      <c r="B422" s="57" t="str">
        <f t="shared" si="89"/>
        <v/>
      </c>
      <c r="D422" s="57" t="str">
        <f t="shared" si="90"/>
        <v/>
      </c>
      <c r="F422" s="57" t="str">
        <f t="shared" si="81"/>
        <v/>
      </c>
      <c r="G422" s="102" t="str">
        <f t="shared" si="85"/>
        <v/>
      </c>
      <c r="H422" s="57">
        <f t="shared" si="82"/>
        <v>0</v>
      </c>
      <c r="I422" s="102">
        <f>VLOOKUP(P422&amp;"_"&amp;Q422,活动关卡!$A$4:$Z$27,3+5*MonsterWaveCallRuleCfg!R422,FALSE)</f>
        <v>35</v>
      </c>
      <c r="J422" s="102">
        <f>VLOOKUP(P422&amp;"_"&amp;Q422,活动关卡!$A$4:$Z$27,4+5*MonsterWaveCallRuleCfg!R422,FALSE)</f>
        <v>0.5</v>
      </c>
      <c r="K422" s="102">
        <f t="shared" si="86"/>
        <v>1</v>
      </c>
      <c r="L422" s="102" t="str">
        <f>IF(VLOOKUP(P422&amp;"_"&amp;Q422,活动关卡!$A$4:$Z$27,2+5*R422,FALSE)="","","Monster_Season1_Challenge"&amp;P422&amp;"_"&amp;Q422&amp;"_"&amp;R422)</f>
        <v>Monster_Season1_Challenge2_4_3</v>
      </c>
      <c r="M422" s="57">
        <f t="shared" si="87"/>
        <v>1</v>
      </c>
      <c r="O422" s="102">
        <f>VLOOKUP(P422&amp;"_"&amp;Q422,活动关卡!$A$4:$Z$27,6+5*MonsterWaveCallRuleCfg!R422,FALSE)</f>
        <v>8</v>
      </c>
      <c r="P422" s="110">
        <v>2</v>
      </c>
      <c r="Q422" s="110">
        <f t="shared" si="88"/>
        <v>4</v>
      </c>
      <c r="R422" s="110">
        <v>3</v>
      </c>
    </row>
    <row r="423" spans="2:18" x14ac:dyDescent="0.2">
      <c r="B423" s="57" t="str">
        <f t="shared" si="89"/>
        <v/>
      </c>
      <c r="D423" s="57" t="str">
        <f t="shared" si="90"/>
        <v/>
      </c>
      <c r="F423" s="57" t="str">
        <f t="shared" si="81"/>
        <v/>
      </c>
      <c r="G423" s="102" t="str">
        <f t="shared" si="85"/>
        <v/>
      </c>
      <c r="H423" s="57">
        <f t="shared" si="82"/>
        <v>0</v>
      </c>
      <c r="I423" s="102">
        <f>VLOOKUP(P423&amp;"_"&amp;Q423,活动关卡!$A$4:$Z$27,3+5*MonsterWaveCallRuleCfg!R423,FALSE)</f>
        <v>18</v>
      </c>
      <c r="J423" s="102">
        <f>VLOOKUP(P423&amp;"_"&amp;Q423,活动关卡!$A$4:$Z$27,4+5*MonsterWaveCallRuleCfg!R423,FALSE)</f>
        <v>1</v>
      </c>
      <c r="K423" s="102">
        <f t="shared" si="86"/>
        <v>1</v>
      </c>
      <c r="L423" s="102" t="str">
        <f>IF(VLOOKUP(P423&amp;"_"&amp;Q423,活动关卡!$A$4:$Z$27,2+5*R423,FALSE)="","","Monster_Season1_Challenge"&amp;P423&amp;"_"&amp;Q423&amp;"_"&amp;R423)</f>
        <v>Monster_Season1_Challenge2_4_4</v>
      </c>
      <c r="M423" s="57">
        <f t="shared" si="87"/>
        <v>1</v>
      </c>
      <c r="O423" s="102">
        <f>VLOOKUP(P423&amp;"_"&amp;Q423,活动关卡!$A$4:$Z$27,6+5*MonsterWaveCallRuleCfg!R423,FALSE)</f>
        <v>8</v>
      </c>
      <c r="P423" s="110">
        <v>2</v>
      </c>
      <c r="Q423" s="110">
        <f t="shared" si="88"/>
        <v>4</v>
      </c>
      <c r="R423" s="110">
        <v>4</v>
      </c>
    </row>
    <row r="424" spans="2:18" x14ac:dyDescent="0.2">
      <c r="B424" s="57" t="str">
        <f t="shared" si="89"/>
        <v>MonsterWaveCallRule_Season1_Challenge2</v>
      </c>
      <c r="C424" s="57">
        <v>5</v>
      </c>
      <c r="D424" s="57" t="str">
        <f t="shared" si="90"/>
        <v>赛季1关卡2第5波</v>
      </c>
      <c r="F424" s="57">
        <f t="shared" si="81"/>
        <v>0</v>
      </c>
      <c r="G424" s="102">
        <f t="shared" si="85"/>
        <v>180</v>
      </c>
      <c r="H424" s="57">
        <f t="shared" si="82"/>
        <v>0</v>
      </c>
      <c r="I424" s="102">
        <f>VLOOKUP(P424&amp;"_"&amp;Q424,活动关卡!$A$4:$Z$27,3+5*MonsterWaveCallRuleCfg!R424,FALSE)</f>
        <v>67</v>
      </c>
      <c r="J424" s="102">
        <f>VLOOKUP(P424&amp;"_"&amp;Q424,活动关卡!$A$4:$Z$27,4+5*MonsterWaveCallRuleCfg!R424,FALSE)</f>
        <v>0.3</v>
      </c>
      <c r="K424" s="102">
        <f t="shared" si="86"/>
        <v>1</v>
      </c>
      <c r="L424" s="102" t="str">
        <f>IF(VLOOKUP(P424&amp;"_"&amp;Q424,活动关卡!$A$4:$Z$27,2+5*R424,FALSE)="","","Monster_Season1_Challenge"&amp;P424&amp;"_"&amp;Q424&amp;"_"&amp;R424)</f>
        <v>Monster_Season1_Challenge2_5_1</v>
      </c>
      <c r="M424" s="57">
        <f t="shared" si="87"/>
        <v>1</v>
      </c>
      <c r="O424" s="102">
        <f>VLOOKUP(P424&amp;"_"&amp;Q424,活动关卡!$A$4:$Z$27,6+5*MonsterWaveCallRuleCfg!R424,FALSE)</f>
        <v>3</v>
      </c>
      <c r="P424" s="110">
        <v>2</v>
      </c>
      <c r="Q424" s="110">
        <f t="shared" si="88"/>
        <v>5</v>
      </c>
      <c r="R424" s="110">
        <v>1</v>
      </c>
    </row>
    <row r="425" spans="2:18" x14ac:dyDescent="0.2">
      <c r="B425" s="57" t="str">
        <f t="shared" si="89"/>
        <v/>
      </c>
      <c r="D425" s="57" t="str">
        <f t="shared" si="90"/>
        <v/>
      </c>
      <c r="F425" s="57" t="str">
        <f t="shared" si="81"/>
        <v/>
      </c>
      <c r="G425" s="102" t="str">
        <f t="shared" si="85"/>
        <v/>
      </c>
      <c r="H425" s="57">
        <f t="shared" si="82"/>
        <v>0</v>
      </c>
      <c r="I425" s="102">
        <f>VLOOKUP(P425&amp;"_"&amp;Q425,活动关卡!$A$4:$Z$27,3+5*MonsterWaveCallRuleCfg!R425,FALSE)</f>
        <v>100</v>
      </c>
      <c r="J425" s="102">
        <f>VLOOKUP(P425&amp;"_"&amp;Q425,活动关卡!$A$4:$Z$27,4+5*MonsterWaveCallRuleCfg!R425,FALSE)</f>
        <v>0.2</v>
      </c>
      <c r="K425" s="102">
        <f t="shared" si="86"/>
        <v>1</v>
      </c>
      <c r="L425" s="102" t="str">
        <f>IF(VLOOKUP(P425&amp;"_"&amp;Q425,活动关卡!$A$4:$Z$27,2+5*R425,FALSE)="","","Monster_Season1_Challenge"&amp;P425&amp;"_"&amp;Q425&amp;"_"&amp;R425)</f>
        <v>Monster_Season1_Challenge2_5_2</v>
      </c>
      <c r="M425" s="57">
        <f t="shared" si="87"/>
        <v>1</v>
      </c>
      <c r="O425" s="102">
        <f>VLOOKUP(P425&amp;"_"&amp;Q425,活动关卡!$A$4:$Z$27,6+5*MonsterWaveCallRuleCfg!R425,FALSE)</f>
        <v>1</v>
      </c>
      <c r="P425" s="110">
        <v>2</v>
      </c>
      <c r="Q425" s="110">
        <f t="shared" si="88"/>
        <v>5</v>
      </c>
      <c r="R425" s="110">
        <v>2</v>
      </c>
    </row>
    <row r="426" spans="2:18" x14ac:dyDescent="0.2">
      <c r="B426" s="57" t="str">
        <f t="shared" si="89"/>
        <v/>
      </c>
      <c r="D426" s="57" t="str">
        <f t="shared" si="90"/>
        <v/>
      </c>
      <c r="F426" s="57" t="str">
        <f t="shared" si="81"/>
        <v/>
      </c>
      <c r="G426" s="102" t="str">
        <f t="shared" si="85"/>
        <v/>
      </c>
      <c r="H426" s="57">
        <f t="shared" si="82"/>
        <v>0</v>
      </c>
      <c r="I426" s="102">
        <f>VLOOKUP(P426&amp;"_"&amp;Q426,活动关卡!$A$4:$Z$27,3+5*MonsterWaveCallRuleCfg!R426,FALSE)</f>
        <v>40</v>
      </c>
      <c r="J426" s="102">
        <f>VLOOKUP(P426&amp;"_"&amp;Q426,活动关卡!$A$4:$Z$27,4+5*MonsterWaveCallRuleCfg!R426,FALSE)</f>
        <v>0.5</v>
      </c>
      <c r="K426" s="102">
        <f t="shared" si="86"/>
        <v>1</v>
      </c>
      <c r="L426" s="102" t="str">
        <f>IF(VLOOKUP(P426&amp;"_"&amp;Q426,活动关卡!$A$4:$Z$27,2+5*R426,FALSE)="","","Monster_Season1_Challenge"&amp;P426&amp;"_"&amp;Q426&amp;"_"&amp;R426)</f>
        <v>Monster_Season1_Challenge2_5_3</v>
      </c>
      <c r="M426" s="57">
        <f t="shared" si="87"/>
        <v>1</v>
      </c>
      <c r="O426" s="102">
        <f>VLOOKUP(P426&amp;"_"&amp;Q426,活动关卡!$A$4:$Z$27,6+5*MonsterWaveCallRuleCfg!R426,FALSE)</f>
        <v>5</v>
      </c>
      <c r="P426" s="110">
        <v>2</v>
      </c>
      <c r="Q426" s="110">
        <f t="shared" si="88"/>
        <v>5</v>
      </c>
      <c r="R426" s="110">
        <v>3</v>
      </c>
    </row>
    <row r="427" spans="2:18" x14ac:dyDescent="0.2">
      <c r="B427" s="57" t="str">
        <f t="shared" si="89"/>
        <v/>
      </c>
      <c r="D427" s="57" t="str">
        <f t="shared" si="90"/>
        <v/>
      </c>
      <c r="F427" s="57" t="str">
        <f t="shared" si="81"/>
        <v/>
      </c>
      <c r="G427" s="102" t="str">
        <f t="shared" si="85"/>
        <v/>
      </c>
      <c r="H427" s="57">
        <f t="shared" si="82"/>
        <v>0</v>
      </c>
      <c r="I427" s="102">
        <f>VLOOKUP(P427&amp;"_"&amp;Q427,活动关卡!$A$4:$Z$27,3+5*MonsterWaveCallRuleCfg!R427,FALSE)</f>
        <v>20</v>
      </c>
      <c r="J427" s="102">
        <f>VLOOKUP(P427&amp;"_"&amp;Q427,活动关卡!$A$4:$Z$27,4+5*MonsterWaveCallRuleCfg!R427,FALSE)</f>
        <v>1</v>
      </c>
      <c r="K427" s="102">
        <f t="shared" si="86"/>
        <v>1</v>
      </c>
      <c r="L427" s="102" t="str">
        <f>IF(VLOOKUP(P427&amp;"_"&amp;Q427,活动关卡!$A$4:$Z$27,2+5*R427,FALSE)="","","Monster_Season1_Challenge"&amp;P427&amp;"_"&amp;Q427&amp;"_"&amp;R427)</f>
        <v>Monster_Season1_Challenge2_5_4</v>
      </c>
      <c r="M427" s="57">
        <f t="shared" si="87"/>
        <v>1</v>
      </c>
      <c r="O427" s="102">
        <f>VLOOKUP(P427&amp;"_"&amp;Q427,活动关卡!$A$4:$Z$27,6+5*MonsterWaveCallRuleCfg!R427,FALSE)</f>
        <v>5</v>
      </c>
      <c r="P427" s="110">
        <v>2</v>
      </c>
      <c r="Q427" s="110">
        <f t="shared" si="88"/>
        <v>5</v>
      </c>
      <c r="R427" s="110">
        <v>4</v>
      </c>
    </row>
    <row r="428" spans="2:18" x14ac:dyDescent="0.2">
      <c r="B428" s="57" t="str">
        <f t="shared" si="89"/>
        <v>MonsterWaveCallRule_Season1_Challenge3</v>
      </c>
      <c r="C428" s="57">
        <v>1</v>
      </c>
      <c r="D428" s="57" t="str">
        <f t="shared" si="90"/>
        <v>赛季1关卡3第1波</v>
      </c>
      <c r="F428" s="57">
        <f t="shared" si="81"/>
        <v>0</v>
      </c>
      <c r="G428" s="102">
        <f t="shared" si="85"/>
        <v>180</v>
      </c>
      <c r="H428" s="57">
        <f t="shared" si="82"/>
        <v>0</v>
      </c>
      <c r="I428" s="102">
        <f>VLOOKUP(P428&amp;"_"&amp;Q428,活动关卡!$A$4:$Z$27,3+5*MonsterWaveCallRuleCfg!R428,FALSE)</f>
        <v>5</v>
      </c>
      <c r="J428" s="102">
        <f>VLOOKUP(P428&amp;"_"&amp;Q428,活动关卡!$A$4:$Z$27,4+5*MonsterWaveCallRuleCfg!R428,FALSE)</f>
        <v>2</v>
      </c>
      <c r="K428" s="102">
        <f t="shared" si="86"/>
        <v>1</v>
      </c>
      <c r="L428" s="102" t="str">
        <f>IF(VLOOKUP(P428&amp;"_"&amp;Q428,活动关卡!$A$4:$Z$27,2+5*R428,FALSE)="","","Monster_Season1_Challenge"&amp;P428&amp;"_"&amp;Q428&amp;"_"&amp;R428)</f>
        <v>Monster_Season1_Challenge3_1_1</v>
      </c>
      <c r="M428" s="57">
        <f t="shared" si="87"/>
        <v>1</v>
      </c>
      <c r="O428" s="102">
        <f>VLOOKUP(P428&amp;"_"&amp;Q428,活动关卡!$A$4:$Z$27,6+5*MonsterWaveCallRuleCfg!R428,FALSE)</f>
        <v>60</v>
      </c>
      <c r="P428" s="110">
        <v>3</v>
      </c>
      <c r="Q428" s="110">
        <f t="shared" si="88"/>
        <v>1</v>
      </c>
      <c r="R428" s="110">
        <v>1</v>
      </c>
    </row>
    <row r="429" spans="2:18" x14ac:dyDescent="0.2">
      <c r="B429" s="57" t="str">
        <f t="shared" si="89"/>
        <v/>
      </c>
      <c r="D429" s="57" t="str">
        <f t="shared" si="90"/>
        <v/>
      </c>
      <c r="F429" s="57" t="str">
        <f t="shared" si="81"/>
        <v/>
      </c>
      <c r="G429" s="102" t="str">
        <f t="shared" si="85"/>
        <v/>
      </c>
      <c r="H429" s="57">
        <f t="shared" si="82"/>
        <v>0</v>
      </c>
      <c r="I429" s="102">
        <f>VLOOKUP(P429&amp;"_"&amp;Q429,活动关卡!$A$4:$Z$27,3+5*MonsterWaveCallRuleCfg!R429,FALSE)</f>
        <v>5</v>
      </c>
      <c r="J429" s="102">
        <f>VLOOKUP(P429&amp;"_"&amp;Q429,活动关卡!$A$4:$Z$27,4+5*MonsterWaveCallRuleCfg!R429,FALSE)</f>
        <v>2</v>
      </c>
      <c r="K429" s="102">
        <f t="shared" si="86"/>
        <v>1</v>
      </c>
      <c r="L429" s="102" t="str">
        <f>IF(VLOOKUP(P429&amp;"_"&amp;Q429,活动关卡!$A$4:$Z$27,2+5*R429,FALSE)="","","Monster_Season1_Challenge"&amp;P429&amp;"_"&amp;Q429&amp;"_"&amp;R429)</f>
        <v>Monster_Season1_Challenge3_1_2</v>
      </c>
      <c r="M429" s="57">
        <f t="shared" si="87"/>
        <v>1</v>
      </c>
      <c r="O429" s="102">
        <f>VLOOKUP(P429&amp;"_"&amp;Q429,活动关卡!$A$4:$Z$27,6+5*MonsterWaveCallRuleCfg!R429,FALSE)</f>
        <v>60</v>
      </c>
      <c r="P429" s="110">
        <v>3</v>
      </c>
      <c r="Q429" s="110">
        <f t="shared" si="88"/>
        <v>1</v>
      </c>
      <c r="R429" s="110">
        <v>2</v>
      </c>
    </row>
    <row r="430" spans="2:18" x14ac:dyDescent="0.2">
      <c r="B430" s="57" t="str">
        <f t="shared" si="89"/>
        <v/>
      </c>
      <c r="D430" s="57" t="str">
        <f t="shared" si="90"/>
        <v/>
      </c>
      <c r="F430" s="57" t="str">
        <f t="shared" si="81"/>
        <v/>
      </c>
      <c r="G430" s="102" t="str">
        <f t="shared" si="85"/>
        <v/>
      </c>
      <c r="H430" s="57" t="str">
        <f t="shared" si="82"/>
        <v/>
      </c>
      <c r="I430" s="102" t="str">
        <f>VLOOKUP(P430&amp;"_"&amp;Q430,活动关卡!$A$4:$Z$27,3+5*MonsterWaveCallRuleCfg!R430,FALSE)</f>
        <v/>
      </c>
      <c r="J430" s="102" t="str">
        <f>VLOOKUP(P430&amp;"_"&amp;Q430,活动关卡!$A$4:$Z$27,4+5*MonsterWaveCallRuleCfg!R430,FALSE)</f>
        <v/>
      </c>
      <c r="K430" s="102" t="str">
        <f t="shared" si="86"/>
        <v/>
      </c>
      <c r="L430" s="102" t="str">
        <f>IF(VLOOKUP(P430&amp;"_"&amp;Q430,活动关卡!$A$4:$Z$27,2+5*R430,FALSE)="","","Monster_Season1_Challenge"&amp;P430&amp;"_"&amp;Q430&amp;"_"&amp;R430)</f>
        <v/>
      </c>
      <c r="M430" s="57" t="str">
        <f t="shared" si="87"/>
        <v/>
      </c>
      <c r="O430" s="102" t="str">
        <f>VLOOKUP(P430&amp;"_"&amp;Q430,活动关卡!$A$4:$Z$27,6+5*MonsterWaveCallRuleCfg!R430,FALSE)</f>
        <v/>
      </c>
      <c r="P430" s="110">
        <v>3</v>
      </c>
      <c r="Q430" s="110">
        <f t="shared" si="88"/>
        <v>1</v>
      </c>
      <c r="R430" s="110">
        <v>3</v>
      </c>
    </row>
    <row r="431" spans="2:18" x14ac:dyDescent="0.2">
      <c r="B431" s="57" t="str">
        <f t="shared" si="89"/>
        <v/>
      </c>
      <c r="D431" s="57" t="str">
        <f t="shared" si="90"/>
        <v/>
      </c>
      <c r="F431" s="57" t="str">
        <f t="shared" si="81"/>
        <v/>
      </c>
      <c r="G431" s="102" t="str">
        <f t="shared" si="85"/>
        <v/>
      </c>
      <c r="H431" s="57" t="str">
        <f t="shared" si="82"/>
        <v/>
      </c>
      <c r="I431" s="102" t="str">
        <f>VLOOKUP(P431&amp;"_"&amp;Q431,活动关卡!$A$4:$Z$27,3+5*MonsterWaveCallRuleCfg!R431,FALSE)</f>
        <v/>
      </c>
      <c r="J431" s="102" t="str">
        <f>VLOOKUP(P431&amp;"_"&amp;Q431,活动关卡!$A$4:$Z$27,4+5*MonsterWaveCallRuleCfg!R431,FALSE)</f>
        <v/>
      </c>
      <c r="K431" s="102" t="str">
        <f t="shared" si="86"/>
        <v/>
      </c>
      <c r="L431" s="102" t="str">
        <f>IF(VLOOKUP(P431&amp;"_"&amp;Q431,活动关卡!$A$4:$Z$27,2+5*R431,FALSE)="","","Monster_Season1_Challenge"&amp;P431&amp;"_"&amp;Q431&amp;"_"&amp;R431)</f>
        <v/>
      </c>
      <c r="M431" s="57" t="str">
        <f t="shared" si="87"/>
        <v/>
      </c>
      <c r="O431" s="102" t="str">
        <f>VLOOKUP(P431&amp;"_"&amp;Q431,活动关卡!$A$4:$Z$27,6+5*MonsterWaveCallRuleCfg!R431,FALSE)</f>
        <v/>
      </c>
      <c r="P431" s="110">
        <v>3</v>
      </c>
      <c r="Q431" s="110">
        <f t="shared" si="88"/>
        <v>1</v>
      </c>
      <c r="R431" s="110">
        <v>4</v>
      </c>
    </row>
    <row r="432" spans="2:18" x14ac:dyDescent="0.2">
      <c r="B432" s="57" t="str">
        <f t="shared" si="89"/>
        <v>MonsterWaveCallRule_Season1_Challenge3</v>
      </c>
      <c r="C432" s="57">
        <v>2</v>
      </c>
      <c r="D432" s="57" t="str">
        <f t="shared" si="90"/>
        <v>赛季1关卡3第2波</v>
      </c>
      <c r="F432" s="57">
        <f t="shared" si="81"/>
        <v>0</v>
      </c>
      <c r="G432" s="102">
        <f t="shared" si="85"/>
        <v>180</v>
      </c>
      <c r="H432" s="57">
        <f t="shared" si="82"/>
        <v>0</v>
      </c>
      <c r="I432" s="102">
        <f>VLOOKUP(P432&amp;"_"&amp;Q432,活动关卡!$A$4:$Z$27,3+5*MonsterWaveCallRuleCfg!R432,FALSE)</f>
        <v>6</v>
      </c>
      <c r="J432" s="102">
        <f>VLOOKUP(P432&amp;"_"&amp;Q432,活动关卡!$A$4:$Z$27,4+5*MonsterWaveCallRuleCfg!R432,FALSE)</f>
        <v>2</v>
      </c>
      <c r="K432" s="102">
        <f t="shared" si="86"/>
        <v>1</v>
      </c>
      <c r="L432" s="102" t="str">
        <f>IF(VLOOKUP(P432&amp;"_"&amp;Q432,活动关卡!$A$4:$Z$27,2+5*R432,FALSE)="","","Monster_Season1_Challenge"&amp;P432&amp;"_"&amp;Q432&amp;"_"&amp;R432)</f>
        <v>Monster_Season1_Challenge3_2_1</v>
      </c>
      <c r="M432" s="57">
        <f t="shared" si="87"/>
        <v>1</v>
      </c>
      <c r="O432" s="102">
        <f>VLOOKUP(P432&amp;"_"&amp;Q432,活动关卡!$A$4:$Z$27,6+5*MonsterWaveCallRuleCfg!R432,FALSE)</f>
        <v>33</v>
      </c>
      <c r="P432" s="110">
        <v>3</v>
      </c>
      <c r="Q432" s="110">
        <f t="shared" si="88"/>
        <v>2</v>
      </c>
      <c r="R432" s="110">
        <v>1</v>
      </c>
    </row>
    <row r="433" spans="2:18" x14ac:dyDescent="0.2">
      <c r="B433" s="57" t="str">
        <f t="shared" si="89"/>
        <v/>
      </c>
      <c r="D433" s="57" t="str">
        <f t="shared" si="90"/>
        <v/>
      </c>
      <c r="F433" s="57" t="str">
        <f t="shared" si="81"/>
        <v/>
      </c>
      <c r="G433" s="102" t="str">
        <f t="shared" si="85"/>
        <v/>
      </c>
      <c r="H433" s="57">
        <f t="shared" si="82"/>
        <v>0</v>
      </c>
      <c r="I433" s="102">
        <f>VLOOKUP(P433&amp;"_"&amp;Q433,活动关卡!$A$4:$Z$27,3+5*MonsterWaveCallRuleCfg!R433,FALSE)</f>
        <v>6</v>
      </c>
      <c r="J433" s="102">
        <f>VLOOKUP(P433&amp;"_"&amp;Q433,活动关卡!$A$4:$Z$27,4+5*MonsterWaveCallRuleCfg!R433,FALSE)</f>
        <v>2</v>
      </c>
      <c r="K433" s="102">
        <f t="shared" si="86"/>
        <v>1</v>
      </c>
      <c r="L433" s="102" t="str">
        <f>IF(VLOOKUP(P433&amp;"_"&amp;Q433,活动关卡!$A$4:$Z$27,2+5*R433,FALSE)="","","Monster_Season1_Challenge"&amp;P433&amp;"_"&amp;Q433&amp;"_"&amp;R433)</f>
        <v>Monster_Season1_Challenge3_2_2</v>
      </c>
      <c r="M433" s="57">
        <f t="shared" si="87"/>
        <v>1</v>
      </c>
      <c r="O433" s="102">
        <f>VLOOKUP(P433&amp;"_"&amp;Q433,活动关卡!$A$4:$Z$27,6+5*MonsterWaveCallRuleCfg!R433,FALSE)</f>
        <v>33</v>
      </c>
      <c r="P433" s="110">
        <v>3</v>
      </c>
      <c r="Q433" s="110">
        <f t="shared" si="88"/>
        <v>2</v>
      </c>
      <c r="R433" s="110">
        <v>2</v>
      </c>
    </row>
    <row r="434" spans="2:18" x14ac:dyDescent="0.2">
      <c r="B434" s="57" t="str">
        <f t="shared" si="89"/>
        <v/>
      </c>
      <c r="D434" s="57" t="str">
        <f t="shared" si="90"/>
        <v/>
      </c>
      <c r="F434" s="57" t="str">
        <f t="shared" si="81"/>
        <v/>
      </c>
      <c r="G434" s="102" t="str">
        <f t="shared" si="85"/>
        <v/>
      </c>
      <c r="H434" s="57">
        <f t="shared" si="82"/>
        <v>0</v>
      </c>
      <c r="I434" s="102">
        <f>VLOOKUP(P434&amp;"_"&amp;Q434,活动关卡!$A$4:$Z$27,3+5*MonsterWaveCallRuleCfg!R434,FALSE)</f>
        <v>6</v>
      </c>
      <c r="J434" s="102">
        <f>VLOOKUP(P434&amp;"_"&amp;Q434,活动关卡!$A$4:$Z$27,4+5*MonsterWaveCallRuleCfg!R434,FALSE)</f>
        <v>2</v>
      </c>
      <c r="K434" s="102">
        <f t="shared" si="86"/>
        <v>1</v>
      </c>
      <c r="L434" s="102" t="str">
        <f>IF(VLOOKUP(P434&amp;"_"&amp;Q434,活动关卡!$A$4:$Z$27,2+5*R434,FALSE)="","","Monster_Season1_Challenge"&amp;P434&amp;"_"&amp;Q434&amp;"_"&amp;R434)</f>
        <v>Monster_Season1_Challenge3_2_3</v>
      </c>
      <c r="M434" s="57">
        <f t="shared" si="87"/>
        <v>1</v>
      </c>
      <c r="O434" s="102">
        <f>VLOOKUP(P434&amp;"_"&amp;Q434,活动关卡!$A$4:$Z$27,6+5*MonsterWaveCallRuleCfg!R434,FALSE)</f>
        <v>33</v>
      </c>
      <c r="P434" s="110">
        <v>3</v>
      </c>
      <c r="Q434" s="110">
        <f t="shared" si="88"/>
        <v>2</v>
      </c>
      <c r="R434" s="110">
        <v>3</v>
      </c>
    </row>
    <row r="435" spans="2:18" x14ac:dyDescent="0.2">
      <c r="B435" s="57" t="str">
        <f t="shared" si="89"/>
        <v/>
      </c>
      <c r="D435" s="57" t="str">
        <f t="shared" si="90"/>
        <v/>
      </c>
      <c r="F435" s="57" t="str">
        <f t="shared" si="81"/>
        <v/>
      </c>
      <c r="G435" s="102" t="str">
        <f t="shared" si="85"/>
        <v/>
      </c>
      <c r="H435" s="57" t="str">
        <f t="shared" si="82"/>
        <v/>
      </c>
      <c r="I435" s="102" t="str">
        <f>VLOOKUP(P435&amp;"_"&amp;Q435,活动关卡!$A$4:$Z$27,3+5*MonsterWaveCallRuleCfg!R435,FALSE)</f>
        <v/>
      </c>
      <c r="J435" s="102" t="str">
        <f>VLOOKUP(P435&amp;"_"&amp;Q435,活动关卡!$A$4:$Z$27,4+5*MonsterWaveCallRuleCfg!R435,FALSE)</f>
        <v/>
      </c>
      <c r="K435" s="102" t="str">
        <f t="shared" si="86"/>
        <v/>
      </c>
      <c r="L435" s="102" t="str">
        <f>IF(VLOOKUP(P435&amp;"_"&amp;Q435,活动关卡!$A$4:$Z$27,2+5*R435,FALSE)="","","Monster_Season1_Challenge"&amp;P435&amp;"_"&amp;Q435&amp;"_"&amp;R435)</f>
        <v/>
      </c>
      <c r="M435" s="57" t="str">
        <f t="shared" si="87"/>
        <v/>
      </c>
      <c r="O435" s="102" t="str">
        <f>VLOOKUP(P435&amp;"_"&amp;Q435,活动关卡!$A$4:$Z$27,6+5*MonsterWaveCallRuleCfg!R435,FALSE)</f>
        <v/>
      </c>
      <c r="P435" s="110">
        <v>3</v>
      </c>
      <c r="Q435" s="110">
        <f t="shared" si="88"/>
        <v>2</v>
      </c>
      <c r="R435" s="110">
        <v>4</v>
      </c>
    </row>
    <row r="436" spans="2:18" x14ac:dyDescent="0.2">
      <c r="B436" s="57" t="str">
        <f t="shared" si="89"/>
        <v>MonsterWaveCallRule_Season1_Challenge3</v>
      </c>
      <c r="C436" s="57">
        <v>3</v>
      </c>
      <c r="D436" s="57" t="str">
        <f t="shared" si="90"/>
        <v>赛季1关卡3第3波</v>
      </c>
      <c r="F436" s="57">
        <f t="shared" si="81"/>
        <v>0</v>
      </c>
      <c r="G436" s="102">
        <f t="shared" si="85"/>
        <v>180</v>
      </c>
      <c r="H436" s="57">
        <f t="shared" si="82"/>
        <v>0</v>
      </c>
      <c r="I436" s="102">
        <f>VLOOKUP(P436&amp;"_"&amp;Q436,活动关卡!$A$4:$Z$27,3+5*MonsterWaveCallRuleCfg!R436,FALSE)</f>
        <v>8</v>
      </c>
      <c r="J436" s="102">
        <f>VLOOKUP(P436&amp;"_"&amp;Q436,活动关卡!$A$4:$Z$27,4+5*MonsterWaveCallRuleCfg!R436,FALSE)</f>
        <v>2</v>
      </c>
      <c r="K436" s="102">
        <f t="shared" si="86"/>
        <v>1</v>
      </c>
      <c r="L436" s="102" t="str">
        <f>IF(VLOOKUP(P436&amp;"_"&amp;Q436,活动关卡!$A$4:$Z$27,2+5*R436,FALSE)="","","Monster_Season1_Challenge"&amp;P436&amp;"_"&amp;Q436&amp;"_"&amp;R436)</f>
        <v>Monster_Season1_Challenge3_3_1</v>
      </c>
      <c r="M436" s="57">
        <f t="shared" si="87"/>
        <v>1</v>
      </c>
      <c r="O436" s="102">
        <f>VLOOKUP(P436&amp;"_"&amp;Q436,活动关卡!$A$4:$Z$27,6+5*MonsterWaveCallRuleCfg!R436,FALSE)</f>
        <v>30</v>
      </c>
      <c r="P436" s="110">
        <v>3</v>
      </c>
      <c r="Q436" s="110">
        <f t="shared" si="88"/>
        <v>3</v>
      </c>
      <c r="R436" s="110">
        <v>1</v>
      </c>
    </row>
    <row r="437" spans="2:18" x14ac:dyDescent="0.2">
      <c r="B437" s="57" t="str">
        <f t="shared" si="89"/>
        <v/>
      </c>
      <c r="D437" s="57" t="str">
        <f t="shared" si="90"/>
        <v/>
      </c>
      <c r="F437" s="57" t="str">
        <f t="shared" si="81"/>
        <v/>
      </c>
      <c r="G437" s="102" t="str">
        <f t="shared" si="85"/>
        <v/>
      </c>
      <c r="H437" s="57">
        <f t="shared" si="82"/>
        <v>0</v>
      </c>
      <c r="I437" s="102">
        <f>VLOOKUP(P437&amp;"_"&amp;Q437,活动关卡!$A$4:$Z$27,3+5*MonsterWaveCallRuleCfg!R437,FALSE)</f>
        <v>15</v>
      </c>
      <c r="J437" s="102">
        <f>VLOOKUP(P437&amp;"_"&amp;Q437,活动关卡!$A$4:$Z$27,4+5*MonsterWaveCallRuleCfg!R437,FALSE)</f>
        <v>1</v>
      </c>
      <c r="K437" s="102">
        <f t="shared" si="86"/>
        <v>1</v>
      </c>
      <c r="L437" s="102" t="str">
        <f>IF(VLOOKUP(P437&amp;"_"&amp;Q437,活动关卡!$A$4:$Z$27,2+5*R437,FALSE)="","","Monster_Season1_Challenge"&amp;P437&amp;"_"&amp;Q437&amp;"_"&amp;R437)</f>
        <v>Monster_Season1_Challenge3_3_2</v>
      </c>
      <c r="M437" s="57">
        <f t="shared" si="87"/>
        <v>1</v>
      </c>
      <c r="O437" s="102">
        <f>VLOOKUP(P437&amp;"_"&amp;Q437,活动关卡!$A$4:$Z$27,6+5*MonsterWaveCallRuleCfg!R437,FALSE)</f>
        <v>8</v>
      </c>
      <c r="P437" s="110">
        <v>3</v>
      </c>
      <c r="Q437" s="110">
        <f t="shared" si="88"/>
        <v>3</v>
      </c>
      <c r="R437" s="110">
        <v>2</v>
      </c>
    </row>
    <row r="438" spans="2:18" x14ac:dyDescent="0.2">
      <c r="B438" s="57" t="str">
        <f t="shared" si="89"/>
        <v/>
      </c>
      <c r="D438" s="57" t="str">
        <f t="shared" si="90"/>
        <v/>
      </c>
      <c r="F438" s="57" t="str">
        <f t="shared" si="81"/>
        <v/>
      </c>
      <c r="G438" s="102" t="str">
        <f t="shared" si="85"/>
        <v/>
      </c>
      <c r="H438" s="57">
        <f t="shared" si="82"/>
        <v>0</v>
      </c>
      <c r="I438" s="102">
        <f>VLOOKUP(P438&amp;"_"&amp;Q438,活动关卡!$A$4:$Z$27,3+5*MonsterWaveCallRuleCfg!R438,FALSE)</f>
        <v>8</v>
      </c>
      <c r="J438" s="102">
        <f>VLOOKUP(P438&amp;"_"&amp;Q438,活动关卡!$A$4:$Z$27,4+5*MonsterWaveCallRuleCfg!R438,FALSE)</f>
        <v>2</v>
      </c>
      <c r="K438" s="102">
        <f t="shared" si="86"/>
        <v>1</v>
      </c>
      <c r="L438" s="102" t="str">
        <f>IF(VLOOKUP(P438&amp;"_"&amp;Q438,活动关卡!$A$4:$Z$27,2+5*R438,FALSE)="","","Monster_Season1_Challenge"&amp;P438&amp;"_"&amp;Q438&amp;"_"&amp;R438)</f>
        <v>Monster_Season1_Challenge3_3_3</v>
      </c>
      <c r="M438" s="57">
        <f t="shared" si="87"/>
        <v>1</v>
      </c>
      <c r="O438" s="102">
        <f>VLOOKUP(P438&amp;"_"&amp;Q438,活动关卡!$A$4:$Z$27,6+5*MonsterWaveCallRuleCfg!R438,FALSE)</f>
        <v>30</v>
      </c>
      <c r="P438" s="110">
        <v>3</v>
      </c>
      <c r="Q438" s="110">
        <f t="shared" si="88"/>
        <v>3</v>
      </c>
      <c r="R438" s="110">
        <v>3</v>
      </c>
    </row>
    <row r="439" spans="2:18" x14ac:dyDescent="0.2">
      <c r="B439" s="57" t="str">
        <f t="shared" si="89"/>
        <v/>
      </c>
      <c r="D439" s="57" t="str">
        <f t="shared" si="90"/>
        <v/>
      </c>
      <c r="F439" s="57" t="str">
        <f t="shared" si="81"/>
        <v/>
      </c>
      <c r="G439" s="102" t="str">
        <f t="shared" si="85"/>
        <v/>
      </c>
      <c r="H439" s="57" t="str">
        <f t="shared" si="82"/>
        <v/>
      </c>
      <c r="I439" s="102" t="str">
        <f>VLOOKUP(P439&amp;"_"&amp;Q439,活动关卡!$A$4:$Z$27,3+5*MonsterWaveCallRuleCfg!R439,FALSE)</f>
        <v/>
      </c>
      <c r="J439" s="102" t="str">
        <f>VLOOKUP(P439&amp;"_"&amp;Q439,活动关卡!$A$4:$Z$27,4+5*MonsterWaveCallRuleCfg!R439,FALSE)</f>
        <v/>
      </c>
      <c r="K439" s="102" t="str">
        <f t="shared" si="86"/>
        <v/>
      </c>
      <c r="L439" s="102" t="str">
        <f>IF(VLOOKUP(P439&amp;"_"&amp;Q439,活动关卡!$A$4:$Z$27,2+5*R439,FALSE)="","","Monster_Season1_Challenge"&amp;P439&amp;"_"&amp;Q439&amp;"_"&amp;R439)</f>
        <v/>
      </c>
      <c r="M439" s="57" t="str">
        <f t="shared" si="87"/>
        <v/>
      </c>
      <c r="O439" s="102" t="str">
        <f>VLOOKUP(P439&amp;"_"&amp;Q439,活动关卡!$A$4:$Z$27,6+5*MonsterWaveCallRuleCfg!R439,FALSE)</f>
        <v/>
      </c>
      <c r="P439" s="110">
        <v>3</v>
      </c>
      <c r="Q439" s="110">
        <f t="shared" si="88"/>
        <v>3</v>
      </c>
      <c r="R439" s="110">
        <v>4</v>
      </c>
    </row>
    <row r="440" spans="2:18" x14ac:dyDescent="0.2">
      <c r="B440" s="57" t="str">
        <f t="shared" si="89"/>
        <v>MonsterWaveCallRule_Season1_Challenge3</v>
      </c>
      <c r="C440" s="57">
        <v>4</v>
      </c>
      <c r="D440" s="57" t="str">
        <f t="shared" si="90"/>
        <v>赛季1关卡3第4波</v>
      </c>
      <c r="F440" s="57">
        <f t="shared" si="81"/>
        <v>0</v>
      </c>
      <c r="G440" s="102">
        <f t="shared" si="85"/>
        <v>180</v>
      </c>
      <c r="H440" s="57" t="e">
        <f t="shared" si="82"/>
        <v>#N/A</v>
      </c>
      <c r="I440" s="102" t="e">
        <f>VLOOKUP(P440&amp;"_"&amp;Q440,活动关卡!$A$4:$Z$27,3+5*MonsterWaveCallRuleCfg!R440,FALSE)</f>
        <v>#N/A</v>
      </c>
      <c r="J440" s="102" t="e">
        <f>VLOOKUP(P440&amp;"_"&amp;Q440,活动关卡!$A$4:$Z$27,4+5*MonsterWaveCallRuleCfg!R440,FALSE)</f>
        <v>#N/A</v>
      </c>
      <c r="K440" s="102" t="e">
        <f t="shared" si="86"/>
        <v>#N/A</v>
      </c>
      <c r="L440" s="102" t="e">
        <f>IF(VLOOKUP(P440&amp;"_"&amp;Q440,活动关卡!$A$4:$Z$27,2+5*R440,FALSE)="","","Monster_Season1_Challenge"&amp;P440&amp;"_"&amp;Q440&amp;"_"&amp;R440)</f>
        <v>#N/A</v>
      </c>
      <c r="M440" s="57" t="e">
        <f t="shared" si="87"/>
        <v>#N/A</v>
      </c>
      <c r="O440" s="102" t="e">
        <f>VLOOKUP(P440&amp;"_"&amp;Q440,活动关卡!$A$4:$Z$27,6+5*MonsterWaveCallRuleCfg!R440,FALSE)</f>
        <v>#N/A</v>
      </c>
      <c r="P440" s="110">
        <v>3</v>
      </c>
      <c r="Q440" s="110">
        <f t="shared" si="88"/>
        <v>4</v>
      </c>
      <c r="R440" s="110">
        <v>1</v>
      </c>
    </row>
    <row r="441" spans="2:18" x14ac:dyDescent="0.2">
      <c r="B441" s="57" t="str">
        <f t="shared" si="89"/>
        <v/>
      </c>
      <c r="D441" s="57" t="str">
        <f t="shared" si="90"/>
        <v/>
      </c>
      <c r="F441" s="57" t="str">
        <f t="shared" si="81"/>
        <v/>
      </c>
      <c r="G441" s="102" t="str">
        <f t="shared" si="85"/>
        <v/>
      </c>
      <c r="H441" s="57" t="e">
        <f t="shared" si="82"/>
        <v>#N/A</v>
      </c>
      <c r="I441" s="102" t="e">
        <f>VLOOKUP(P441&amp;"_"&amp;Q441,活动关卡!$A$4:$Z$27,3+5*MonsterWaveCallRuleCfg!R441,FALSE)</f>
        <v>#N/A</v>
      </c>
      <c r="J441" s="102" t="e">
        <f>VLOOKUP(P441&amp;"_"&amp;Q441,活动关卡!$A$4:$Z$27,4+5*MonsterWaveCallRuleCfg!R441,FALSE)</f>
        <v>#N/A</v>
      </c>
      <c r="K441" s="102" t="e">
        <f t="shared" si="86"/>
        <v>#N/A</v>
      </c>
      <c r="L441" s="102" t="e">
        <f>IF(VLOOKUP(P441&amp;"_"&amp;Q441,活动关卡!$A$4:$Z$27,2+5*R441,FALSE)="","","Monster_Season1_Challenge"&amp;P441&amp;"_"&amp;Q441&amp;"_"&amp;R441)</f>
        <v>#N/A</v>
      </c>
      <c r="M441" s="57" t="e">
        <f t="shared" si="87"/>
        <v>#N/A</v>
      </c>
      <c r="O441" s="102" t="e">
        <f>VLOOKUP(P441&amp;"_"&amp;Q441,活动关卡!$A$4:$Z$27,6+5*MonsterWaveCallRuleCfg!R441,FALSE)</f>
        <v>#N/A</v>
      </c>
      <c r="P441" s="110">
        <v>3</v>
      </c>
      <c r="Q441" s="110">
        <f t="shared" si="88"/>
        <v>4</v>
      </c>
      <c r="R441" s="110">
        <v>2</v>
      </c>
    </row>
    <row r="442" spans="2:18" x14ac:dyDescent="0.2">
      <c r="B442" s="57" t="str">
        <f t="shared" si="89"/>
        <v/>
      </c>
      <c r="D442" s="57" t="str">
        <f t="shared" si="90"/>
        <v/>
      </c>
      <c r="F442" s="57" t="str">
        <f t="shared" si="81"/>
        <v/>
      </c>
      <c r="G442" s="102" t="str">
        <f t="shared" si="85"/>
        <v/>
      </c>
      <c r="H442" s="57" t="e">
        <f t="shared" si="82"/>
        <v>#N/A</v>
      </c>
      <c r="I442" s="102" t="e">
        <f>VLOOKUP(P442&amp;"_"&amp;Q442,活动关卡!$A$4:$Z$27,3+5*MonsterWaveCallRuleCfg!R442,FALSE)</f>
        <v>#N/A</v>
      </c>
      <c r="J442" s="102" t="e">
        <f>VLOOKUP(P442&amp;"_"&amp;Q442,活动关卡!$A$4:$Z$27,4+5*MonsterWaveCallRuleCfg!R442,FALSE)</f>
        <v>#N/A</v>
      </c>
      <c r="K442" s="102" t="e">
        <f t="shared" si="86"/>
        <v>#N/A</v>
      </c>
      <c r="L442" s="102" t="e">
        <f>IF(VLOOKUP(P442&amp;"_"&amp;Q442,活动关卡!$A$4:$Z$27,2+5*R442,FALSE)="","","Monster_Season1_Challenge"&amp;P442&amp;"_"&amp;Q442&amp;"_"&amp;R442)</f>
        <v>#N/A</v>
      </c>
      <c r="M442" s="57" t="e">
        <f t="shared" si="87"/>
        <v>#N/A</v>
      </c>
      <c r="O442" s="102" t="e">
        <f>VLOOKUP(P442&amp;"_"&amp;Q442,活动关卡!$A$4:$Z$27,6+5*MonsterWaveCallRuleCfg!R442,FALSE)</f>
        <v>#N/A</v>
      </c>
      <c r="P442" s="110">
        <v>3</v>
      </c>
      <c r="Q442" s="110">
        <f t="shared" si="88"/>
        <v>4</v>
      </c>
      <c r="R442" s="110">
        <v>3</v>
      </c>
    </row>
    <row r="443" spans="2:18" x14ac:dyDescent="0.2">
      <c r="B443" s="57" t="str">
        <f t="shared" si="89"/>
        <v/>
      </c>
      <c r="D443" s="57" t="str">
        <f t="shared" si="90"/>
        <v/>
      </c>
      <c r="F443" s="57" t="str">
        <f t="shared" si="81"/>
        <v/>
      </c>
      <c r="G443" s="102" t="str">
        <f t="shared" si="85"/>
        <v/>
      </c>
      <c r="H443" s="57" t="e">
        <f t="shared" si="82"/>
        <v>#N/A</v>
      </c>
      <c r="I443" s="102" t="e">
        <f>VLOOKUP(P443&amp;"_"&amp;Q443,活动关卡!$A$4:$Z$27,3+5*MonsterWaveCallRuleCfg!R443,FALSE)</f>
        <v>#N/A</v>
      </c>
      <c r="J443" s="102" t="e">
        <f>VLOOKUP(P443&amp;"_"&amp;Q443,活动关卡!$A$4:$Z$27,4+5*MonsterWaveCallRuleCfg!R443,FALSE)</f>
        <v>#N/A</v>
      </c>
      <c r="K443" s="102" t="e">
        <f t="shared" si="86"/>
        <v>#N/A</v>
      </c>
      <c r="L443" s="102" t="e">
        <f>IF(VLOOKUP(P443&amp;"_"&amp;Q443,活动关卡!$A$4:$Z$27,2+5*R443,FALSE)="","","Monster_Season1_Challenge"&amp;P443&amp;"_"&amp;Q443&amp;"_"&amp;R443)</f>
        <v>#N/A</v>
      </c>
      <c r="M443" s="57" t="e">
        <f t="shared" si="87"/>
        <v>#N/A</v>
      </c>
      <c r="O443" s="102" t="e">
        <f>VLOOKUP(P443&amp;"_"&amp;Q443,活动关卡!$A$4:$Z$27,6+5*MonsterWaveCallRuleCfg!R443,FALSE)</f>
        <v>#N/A</v>
      </c>
      <c r="P443" s="110">
        <v>3</v>
      </c>
      <c r="Q443" s="110">
        <f t="shared" si="88"/>
        <v>4</v>
      </c>
      <c r="R443" s="110">
        <v>4</v>
      </c>
    </row>
    <row r="444" spans="2:18" x14ac:dyDescent="0.2">
      <c r="B444" s="57" t="str">
        <f t="shared" si="89"/>
        <v>MonsterWaveCallRule_Season1_Challenge3</v>
      </c>
      <c r="C444" s="57">
        <v>5</v>
      </c>
      <c r="D444" s="57" t="str">
        <f t="shared" si="90"/>
        <v>赛季1关卡3第5波</v>
      </c>
      <c r="F444" s="57">
        <f t="shared" si="81"/>
        <v>0</v>
      </c>
      <c r="G444" s="102">
        <f t="shared" si="85"/>
        <v>180</v>
      </c>
      <c r="H444" s="57" t="e">
        <f t="shared" si="82"/>
        <v>#N/A</v>
      </c>
      <c r="I444" s="102" t="e">
        <f>VLOOKUP(P444&amp;"_"&amp;Q444,活动关卡!$A$4:$Z$27,3+5*MonsterWaveCallRuleCfg!R444,FALSE)</f>
        <v>#N/A</v>
      </c>
      <c r="J444" s="102" t="e">
        <f>VLOOKUP(P444&amp;"_"&amp;Q444,活动关卡!$A$4:$Z$27,4+5*MonsterWaveCallRuleCfg!R444,FALSE)</f>
        <v>#N/A</v>
      </c>
      <c r="K444" s="102" t="e">
        <f t="shared" si="86"/>
        <v>#N/A</v>
      </c>
      <c r="L444" s="102" t="e">
        <f>IF(VLOOKUP(P444&amp;"_"&amp;Q444,活动关卡!$A$4:$Z$27,2+5*R444,FALSE)="","","Monster_Season1_Challenge"&amp;P444&amp;"_"&amp;Q444&amp;"_"&amp;R444)</f>
        <v>#N/A</v>
      </c>
      <c r="M444" s="57" t="e">
        <f t="shared" si="87"/>
        <v>#N/A</v>
      </c>
      <c r="O444" s="102" t="e">
        <f>VLOOKUP(P444&amp;"_"&amp;Q444,活动关卡!$A$4:$Z$27,6+5*MonsterWaveCallRuleCfg!R444,FALSE)</f>
        <v>#N/A</v>
      </c>
      <c r="P444" s="110">
        <v>3</v>
      </c>
      <c r="Q444" s="110">
        <f t="shared" si="88"/>
        <v>5</v>
      </c>
      <c r="R444" s="110">
        <v>1</v>
      </c>
    </row>
    <row r="445" spans="2:18" x14ac:dyDescent="0.2">
      <c r="B445" s="57" t="str">
        <f t="shared" si="89"/>
        <v/>
      </c>
      <c r="D445" s="57" t="str">
        <f t="shared" si="90"/>
        <v/>
      </c>
      <c r="F445" s="57" t="str">
        <f t="shared" si="81"/>
        <v/>
      </c>
      <c r="G445" s="102" t="str">
        <f t="shared" si="85"/>
        <v/>
      </c>
      <c r="H445" s="57" t="e">
        <f t="shared" si="82"/>
        <v>#N/A</v>
      </c>
      <c r="I445" s="102" t="e">
        <f>VLOOKUP(P445&amp;"_"&amp;Q445,活动关卡!$A$4:$Z$27,3+5*MonsterWaveCallRuleCfg!R445,FALSE)</f>
        <v>#N/A</v>
      </c>
      <c r="J445" s="102" t="e">
        <f>VLOOKUP(P445&amp;"_"&amp;Q445,活动关卡!$A$4:$Z$27,4+5*MonsterWaveCallRuleCfg!R445,FALSE)</f>
        <v>#N/A</v>
      </c>
      <c r="K445" s="102" t="e">
        <f t="shared" si="86"/>
        <v>#N/A</v>
      </c>
      <c r="L445" s="102" t="e">
        <f>IF(VLOOKUP(P445&amp;"_"&amp;Q445,活动关卡!$A$4:$Z$27,2+5*R445,FALSE)="","","Monster_Season1_Challenge"&amp;P445&amp;"_"&amp;Q445&amp;"_"&amp;R445)</f>
        <v>#N/A</v>
      </c>
      <c r="M445" s="57" t="e">
        <f t="shared" si="87"/>
        <v>#N/A</v>
      </c>
      <c r="O445" s="102" t="e">
        <f>VLOOKUP(P445&amp;"_"&amp;Q445,活动关卡!$A$4:$Z$27,6+5*MonsterWaveCallRuleCfg!R445,FALSE)</f>
        <v>#N/A</v>
      </c>
      <c r="P445" s="110">
        <v>3</v>
      </c>
      <c r="Q445" s="110">
        <f t="shared" si="88"/>
        <v>5</v>
      </c>
      <c r="R445" s="110">
        <v>2</v>
      </c>
    </row>
    <row r="446" spans="2:18" x14ac:dyDescent="0.2">
      <c r="B446" s="57" t="str">
        <f t="shared" si="89"/>
        <v/>
      </c>
      <c r="D446" s="57" t="str">
        <f t="shared" si="90"/>
        <v/>
      </c>
      <c r="F446" s="57" t="str">
        <f t="shared" si="81"/>
        <v/>
      </c>
      <c r="G446" s="102" t="str">
        <f t="shared" si="85"/>
        <v/>
      </c>
      <c r="H446" s="57" t="e">
        <f t="shared" si="82"/>
        <v>#N/A</v>
      </c>
      <c r="I446" s="102" t="e">
        <f>VLOOKUP(P446&amp;"_"&amp;Q446,活动关卡!$A$4:$Z$27,3+5*MonsterWaveCallRuleCfg!R446,FALSE)</f>
        <v>#N/A</v>
      </c>
      <c r="J446" s="102" t="e">
        <f>VLOOKUP(P446&amp;"_"&amp;Q446,活动关卡!$A$4:$Z$27,4+5*MonsterWaveCallRuleCfg!R446,FALSE)</f>
        <v>#N/A</v>
      </c>
      <c r="K446" s="102" t="e">
        <f t="shared" si="86"/>
        <v>#N/A</v>
      </c>
      <c r="L446" s="102" t="e">
        <f>IF(VLOOKUP(P446&amp;"_"&amp;Q446,活动关卡!$A$4:$Z$27,2+5*R446,FALSE)="","","Monster_Season1_Challenge"&amp;P446&amp;"_"&amp;Q446&amp;"_"&amp;R446)</f>
        <v>#N/A</v>
      </c>
      <c r="M446" s="57" t="e">
        <f t="shared" si="87"/>
        <v>#N/A</v>
      </c>
      <c r="O446" s="102" t="e">
        <f>VLOOKUP(P446&amp;"_"&amp;Q446,活动关卡!$A$4:$Z$27,6+5*MonsterWaveCallRuleCfg!R446,FALSE)</f>
        <v>#N/A</v>
      </c>
      <c r="P446" s="110">
        <v>3</v>
      </c>
      <c r="Q446" s="110">
        <f t="shared" si="88"/>
        <v>5</v>
      </c>
      <c r="R446" s="110">
        <v>3</v>
      </c>
    </row>
    <row r="447" spans="2:18" x14ac:dyDescent="0.2">
      <c r="B447" s="57" t="str">
        <f t="shared" si="89"/>
        <v/>
      </c>
      <c r="D447" s="57" t="str">
        <f t="shared" si="90"/>
        <v/>
      </c>
      <c r="F447" s="57" t="str">
        <f t="shared" si="81"/>
        <v/>
      </c>
      <c r="G447" s="102" t="str">
        <f t="shared" si="85"/>
        <v/>
      </c>
      <c r="H447" s="57" t="e">
        <f t="shared" si="82"/>
        <v>#N/A</v>
      </c>
      <c r="I447" s="102" t="e">
        <f>VLOOKUP(P447&amp;"_"&amp;Q447,活动关卡!$A$4:$Z$27,3+5*MonsterWaveCallRuleCfg!R447,FALSE)</f>
        <v>#N/A</v>
      </c>
      <c r="J447" s="102" t="e">
        <f>VLOOKUP(P447&amp;"_"&amp;Q447,活动关卡!$A$4:$Z$27,4+5*MonsterWaveCallRuleCfg!R447,FALSE)</f>
        <v>#N/A</v>
      </c>
      <c r="K447" s="102" t="e">
        <f t="shared" si="86"/>
        <v>#N/A</v>
      </c>
      <c r="L447" s="102" t="e">
        <f>IF(VLOOKUP(P447&amp;"_"&amp;Q447,活动关卡!$A$4:$Z$27,2+5*R447,FALSE)="","","Monster_Season1_Challenge"&amp;P447&amp;"_"&amp;Q447&amp;"_"&amp;R447)</f>
        <v>#N/A</v>
      </c>
      <c r="M447" s="57" t="e">
        <f t="shared" si="87"/>
        <v>#N/A</v>
      </c>
      <c r="O447" s="102" t="e">
        <f>VLOOKUP(P447&amp;"_"&amp;Q447,活动关卡!$A$4:$Z$27,6+5*MonsterWaveCallRuleCfg!R447,FALSE)</f>
        <v>#N/A</v>
      </c>
      <c r="P447" s="110">
        <v>3</v>
      </c>
      <c r="Q447" s="110">
        <f t="shared" si="88"/>
        <v>5</v>
      </c>
      <c r="R447" s="110">
        <v>4</v>
      </c>
    </row>
    <row r="448" spans="2:18" x14ac:dyDescent="0.2">
      <c r="B448" s="57" t="str">
        <f t="shared" si="89"/>
        <v>MonsterWaveCallRule_Season1_Challenge4</v>
      </c>
      <c r="C448" s="57">
        <v>1</v>
      </c>
      <c r="D448" s="57" t="str">
        <f t="shared" si="90"/>
        <v>赛季1关卡4第1波</v>
      </c>
      <c r="F448" s="57">
        <f t="shared" si="81"/>
        <v>0</v>
      </c>
      <c r="G448" s="102">
        <f t="shared" si="85"/>
        <v>180</v>
      </c>
      <c r="H448" s="57">
        <f t="shared" si="82"/>
        <v>0</v>
      </c>
      <c r="I448" s="102">
        <f>VLOOKUP(P448&amp;"_"&amp;Q448,活动关卡!$A$4:$Z$27,3+5*MonsterWaveCallRuleCfg!R448,FALSE)</f>
        <v>7</v>
      </c>
      <c r="J448" s="102">
        <f>VLOOKUP(P448&amp;"_"&amp;Q448,活动关卡!$A$4:$Z$27,4+5*MonsterWaveCallRuleCfg!R448,FALSE)</f>
        <v>1.5</v>
      </c>
      <c r="K448" s="102">
        <f t="shared" si="86"/>
        <v>1</v>
      </c>
      <c r="L448" s="102" t="str">
        <f>IF(VLOOKUP(P448&amp;"_"&amp;Q448,活动关卡!$A$4:$Z$27,2+5*R448,FALSE)="","","Monster_Season1_Challenge"&amp;P448&amp;"_"&amp;Q448&amp;"_"&amp;R448)</f>
        <v>Monster_Season1_Challenge4_1_1</v>
      </c>
      <c r="M448" s="57">
        <f t="shared" si="87"/>
        <v>1</v>
      </c>
      <c r="O448" s="102">
        <f>VLOOKUP(P448&amp;"_"&amp;Q448,活动关卡!$A$4:$Z$27,6+5*MonsterWaveCallRuleCfg!R448,FALSE)</f>
        <v>35</v>
      </c>
      <c r="P448" s="110">
        <v>4</v>
      </c>
      <c r="Q448" s="110">
        <f t="shared" si="88"/>
        <v>1</v>
      </c>
      <c r="R448" s="110">
        <v>1</v>
      </c>
    </row>
    <row r="449" spans="2:18" x14ac:dyDescent="0.2">
      <c r="B449" s="57" t="str">
        <f t="shared" si="89"/>
        <v/>
      </c>
      <c r="D449" s="57" t="str">
        <f t="shared" si="90"/>
        <v/>
      </c>
      <c r="F449" s="57" t="str">
        <f t="shared" si="81"/>
        <v/>
      </c>
      <c r="G449" s="102" t="str">
        <f t="shared" si="85"/>
        <v/>
      </c>
      <c r="H449" s="57">
        <f t="shared" si="82"/>
        <v>0</v>
      </c>
      <c r="I449" s="102">
        <f>VLOOKUP(P449&amp;"_"&amp;Q449,活动关卡!$A$4:$Z$27,3+5*MonsterWaveCallRuleCfg!R449,FALSE)</f>
        <v>5</v>
      </c>
      <c r="J449" s="102">
        <f>VLOOKUP(P449&amp;"_"&amp;Q449,活动关卡!$A$4:$Z$27,4+5*MonsterWaveCallRuleCfg!R449,FALSE)</f>
        <v>2</v>
      </c>
      <c r="K449" s="102">
        <f t="shared" si="86"/>
        <v>1</v>
      </c>
      <c r="L449" s="102" t="str">
        <f>IF(VLOOKUP(P449&amp;"_"&amp;Q449,活动关卡!$A$4:$Z$27,2+5*R449,FALSE)="","","Monster_Season1_Challenge"&amp;P449&amp;"_"&amp;Q449&amp;"_"&amp;R449)</f>
        <v>Monster_Season1_Challenge4_1_2</v>
      </c>
      <c r="M449" s="57">
        <f t="shared" si="87"/>
        <v>1</v>
      </c>
      <c r="O449" s="102">
        <f>VLOOKUP(P449&amp;"_"&amp;Q449,活动关卡!$A$4:$Z$27,6+5*MonsterWaveCallRuleCfg!R449,FALSE)</f>
        <v>71</v>
      </c>
      <c r="P449" s="110">
        <v>4</v>
      </c>
      <c r="Q449" s="110">
        <f t="shared" si="88"/>
        <v>1</v>
      </c>
      <c r="R449" s="110">
        <v>2</v>
      </c>
    </row>
    <row r="450" spans="2:18" x14ac:dyDescent="0.2">
      <c r="B450" s="57" t="str">
        <f t="shared" si="89"/>
        <v/>
      </c>
      <c r="D450" s="57" t="str">
        <f t="shared" si="90"/>
        <v/>
      </c>
      <c r="F450" s="57" t="str">
        <f t="shared" si="81"/>
        <v/>
      </c>
      <c r="G450" s="102" t="str">
        <f t="shared" si="85"/>
        <v/>
      </c>
      <c r="H450" s="57" t="str">
        <f t="shared" si="82"/>
        <v/>
      </c>
      <c r="I450" s="102" t="str">
        <f>VLOOKUP(P450&amp;"_"&amp;Q450,活动关卡!$A$4:$Z$27,3+5*MonsterWaveCallRuleCfg!R450,FALSE)</f>
        <v/>
      </c>
      <c r="J450" s="102" t="str">
        <f>VLOOKUP(P450&amp;"_"&amp;Q450,活动关卡!$A$4:$Z$27,4+5*MonsterWaveCallRuleCfg!R450,FALSE)</f>
        <v/>
      </c>
      <c r="K450" s="102" t="str">
        <f t="shared" si="86"/>
        <v/>
      </c>
      <c r="L450" s="102" t="str">
        <f>IF(VLOOKUP(P450&amp;"_"&amp;Q450,活动关卡!$A$4:$Z$27,2+5*R450,FALSE)="","","Monster_Season1_Challenge"&amp;P450&amp;"_"&amp;Q450&amp;"_"&amp;R450)</f>
        <v/>
      </c>
      <c r="M450" s="57" t="str">
        <f t="shared" si="87"/>
        <v/>
      </c>
      <c r="O450" s="102" t="str">
        <f>VLOOKUP(P450&amp;"_"&amp;Q450,活动关卡!$A$4:$Z$27,6+5*MonsterWaveCallRuleCfg!R450,FALSE)</f>
        <v/>
      </c>
      <c r="P450" s="110">
        <v>4</v>
      </c>
      <c r="Q450" s="110">
        <f t="shared" si="88"/>
        <v>1</v>
      </c>
      <c r="R450" s="110">
        <v>3</v>
      </c>
    </row>
    <row r="451" spans="2:18" x14ac:dyDescent="0.2">
      <c r="B451" s="57" t="str">
        <f t="shared" si="89"/>
        <v/>
      </c>
      <c r="D451" s="57" t="str">
        <f t="shared" si="90"/>
        <v/>
      </c>
      <c r="F451" s="57" t="str">
        <f t="shared" si="81"/>
        <v/>
      </c>
      <c r="G451" s="102" t="str">
        <f t="shared" si="85"/>
        <v/>
      </c>
      <c r="H451" s="57" t="str">
        <f t="shared" si="82"/>
        <v/>
      </c>
      <c r="I451" s="102" t="str">
        <f>VLOOKUP(P451&amp;"_"&amp;Q451,活动关卡!$A$4:$Z$27,3+5*MonsterWaveCallRuleCfg!R451,FALSE)</f>
        <v/>
      </c>
      <c r="J451" s="102" t="str">
        <f>VLOOKUP(P451&amp;"_"&amp;Q451,活动关卡!$A$4:$Z$27,4+5*MonsterWaveCallRuleCfg!R451,FALSE)</f>
        <v/>
      </c>
      <c r="K451" s="102" t="str">
        <f t="shared" si="86"/>
        <v/>
      </c>
      <c r="L451" s="102" t="str">
        <f>IF(VLOOKUP(P451&amp;"_"&amp;Q451,活动关卡!$A$4:$Z$27,2+5*R451,FALSE)="","","Monster_Season1_Challenge"&amp;P451&amp;"_"&amp;Q451&amp;"_"&amp;R451)</f>
        <v/>
      </c>
      <c r="M451" s="57" t="str">
        <f t="shared" si="87"/>
        <v/>
      </c>
      <c r="O451" s="102" t="str">
        <f>VLOOKUP(P451&amp;"_"&amp;Q451,活动关卡!$A$4:$Z$27,6+5*MonsterWaveCallRuleCfg!R451,FALSE)</f>
        <v/>
      </c>
      <c r="P451" s="110">
        <v>4</v>
      </c>
      <c r="Q451" s="110">
        <f t="shared" si="88"/>
        <v>1</v>
      </c>
      <c r="R451" s="110">
        <v>4</v>
      </c>
    </row>
    <row r="452" spans="2:18" x14ac:dyDescent="0.2">
      <c r="B452" s="57" t="str">
        <f t="shared" ref="B452:B483" si="91">IF(C452="","","MonsterWaveCallRule_Season1_Challenge"&amp;P452)</f>
        <v>MonsterWaveCallRule_Season1_Challenge4</v>
      </c>
      <c r="C452" s="57">
        <v>2</v>
      </c>
      <c r="D452" s="57" t="str">
        <f t="shared" ref="D452:D483" si="92">IF(C452="","","赛季1关卡"&amp;P452&amp;"第"&amp;C452&amp;"波")</f>
        <v>赛季1关卡4第2波</v>
      </c>
      <c r="F452" s="57">
        <f t="shared" ref="F452:F484" si="93">IF(C452="","",0)</f>
        <v>0</v>
      </c>
      <c r="G452" s="102">
        <f t="shared" si="85"/>
        <v>180</v>
      </c>
      <c r="H452" s="57">
        <f t="shared" ref="H452:H499" si="94">IF(I452="","",0)</f>
        <v>0</v>
      </c>
      <c r="I452" s="102">
        <f>VLOOKUP(P452&amp;"_"&amp;Q452,活动关卡!$A$4:$Z$27,3+5*MonsterWaveCallRuleCfg!R452,FALSE)</f>
        <v>8</v>
      </c>
      <c r="J452" s="102">
        <f>VLOOKUP(P452&amp;"_"&amp;Q452,活动关卡!$A$4:$Z$27,4+5*MonsterWaveCallRuleCfg!R452,FALSE)</f>
        <v>1.5</v>
      </c>
      <c r="K452" s="102">
        <f t="shared" si="86"/>
        <v>1</v>
      </c>
      <c r="L452" s="102" t="str">
        <f>IF(VLOOKUP(P452&amp;"_"&amp;Q452,活动关卡!$A$4:$Z$27,2+5*R452,FALSE)="","","Monster_Season1_Challenge"&amp;P452&amp;"_"&amp;Q452&amp;"_"&amp;R452)</f>
        <v>Monster_Season1_Challenge4_2_1</v>
      </c>
      <c r="M452" s="57">
        <f t="shared" si="87"/>
        <v>1</v>
      </c>
      <c r="O452" s="102">
        <f>VLOOKUP(P452&amp;"_"&amp;Q452,活动关卡!$A$4:$Z$27,6+5*MonsterWaveCallRuleCfg!R452,FALSE)</f>
        <v>9</v>
      </c>
      <c r="P452" s="110">
        <v>4</v>
      </c>
      <c r="Q452" s="110">
        <f t="shared" si="88"/>
        <v>2</v>
      </c>
      <c r="R452" s="110">
        <v>1</v>
      </c>
    </row>
    <row r="453" spans="2:18" x14ac:dyDescent="0.2">
      <c r="B453" s="57" t="str">
        <f t="shared" si="91"/>
        <v/>
      </c>
      <c r="D453" s="57" t="str">
        <f t="shared" si="92"/>
        <v/>
      </c>
      <c r="F453" s="57" t="str">
        <f t="shared" si="93"/>
        <v/>
      </c>
      <c r="G453" s="102" t="str">
        <f t="shared" ref="G453:G467" si="95">IF(C453="","",180)</f>
        <v/>
      </c>
      <c r="H453" s="57">
        <f t="shared" si="94"/>
        <v>0</v>
      </c>
      <c r="I453" s="102">
        <f>VLOOKUP(P453&amp;"_"&amp;Q453,活动关卡!$A$4:$Z$27,3+5*MonsterWaveCallRuleCfg!R453,FALSE)</f>
        <v>25</v>
      </c>
      <c r="J453" s="102">
        <f>VLOOKUP(P453&amp;"_"&amp;Q453,活动关卡!$A$4:$Z$27,4+5*MonsterWaveCallRuleCfg!R453,FALSE)</f>
        <v>0.5</v>
      </c>
      <c r="K453" s="102">
        <f t="shared" ref="K453:K487" si="96">IF(I453="","",1)</f>
        <v>1</v>
      </c>
      <c r="L453" s="102" t="str">
        <f>IF(VLOOKUP(P453&amp;"_"&amp;Q453,活动关卡!$A$4:$Z$27,2+5*R453,FALSE)="","","Monster_Season1_Challenge"&amp;P453&amp;"_"&amp;Q453&amp;"_"&amp;R453)</f>
        <v>Monster_Season1_Challenge4_2_2</v>
      </c>
      <c r="M453" s="57">
        <f t="shared" ref="M453:M487" si="97">IF(I453="","",1)</f>
        <v>1</v>
      </c>
      <c r="O453" s="102">
        <f>VLOOKUP(P453&amp;"_"&amp;Q453,活动关卡!$A$4:$Z$27,6+5*MonsterWaveCallRuleCfg!R453,FALSE)</f>
        <v>17</v>
      </c>
      <c r="P453" s="110">
        <v>4</v>
      </c>
      <c r="Q453" s="110">
        <f t="shared" si="88"/>
        <v>2</v>
      </c>
      <c r="R453" s="110">
        <v>2</v>
      </c>
    </row>
    <row r="454" spans="2:18" x14ac:dyDescent="0.2">
      <c r="B454" s="57" t="str">
        <f t="shared" si="91"/>
        <v/>
      </c>
      <c r="D454" s="57" t="str">
        <f t="shared" si="92"/>
        <v/>
      </c>
      <c r="F454" s="57" t="str">
        <f t="shared" si="93"/>
        <v/>
      </c>
      <c r="G454" s="102" t="str">
        <f t="shared" si="95"/>
        <v/>
      </c>
      <c r="H454" s="57">
        <f t="shared" si="94"/>
        <v>0</v>
      </c>
      <c r="I454" s="102">
        <f>VLOOKUP(P454&amp;"_"&amp;Q454,活动关卡!$A$4:$Z$27,3+5*MonsterWaveCallRuleCfg!R454,FALSE)</f>
        <v>6</v>
      </c>
      <c r="J454" s="102">
        <f>VLOOKUP(P454&amp;"_"&amp;Q454,活动关卡!$A$4:$Z$27,4+5*MonsterWaveCallRuleCfg!R454,FALSE)</f>
        <v>2</v>
      </c>
      <c r="K454" s="102">
        <f t="shared" si="96"/>
        <v>1</v>
      </c>
      <c r="L454" s="102" t="str">
        <f>IF(VLOOKUP(P454&amp;"_"&amp;Q454,活动关卡!$A$4:$Z$27,2+5*R454,FALSE)="","","Monster_Season1_Challenge"&amp;P454&amp;"_"&amp;Q454&amp;"_"&amp;R454)</f>
        <v>Monster_Season1_Challenge4_2_3</v>
      </c>
      <c r="M454" s="57">
        <f t="shared" si="97"/>
        <v>1</v>
      </c>
      <c r="O454" s="102">
        <f>VLOOKUP(P454&amp;"_"&amp;Q454,活动关卡!$A$4:$Z$27,6+5*MonsterWaveCallRuleCfg!R454,FALSE)</f>
        <v>17</v>
      </c>
      <c r="P454" s="110">
        <v>4</v>
      </c>
      <c r="Q454" s="110">
        <f t="shared" ref="Q454:Q499" si="98">IF(C454="",Q453,C454)</f>
        <v>2</v>
      </c>
      <c r="R454" s="110">
        <v>3</v>
      </c>
    </row>
    <row r="455" spans="2:18" x14ac:dyDescent="0.2">
      <c r="B455" s="57" t="str">
        <f t="shared" si="91"/>
        <v/>
      </c>
      <c r="D455" s="57" t="str">
        <f t="shared" si="92"/>
        <v/>
      </c>
      <c r="F455" s="57" t="str">
        <f t="shared" si="93"/>
        <v/>
      </c>
      <c r="G455" s="102" t="str">
        <f t="shared" si="95"/>
        <v/>
      </c>
      <c r="H455" s="57" t="str">
        <f t="shared" si="94"/>
        <v/>
      </c>
      <c r="I455" s="102" t="str">
        <f>VLOOKUP(P455&amp;"_"&amp;Q455,活动关卡!$A$4:$Z$27,3+5*MonsterWaveCallRuleCfg!R455,FALSE)</f>
        <v/>
      </c>
      <c r="J455" s="102" t="str">
        <f>VLOOKUP(P455&amp;"_"&amp;Q455,活动关卡!$A$4:$Z$27,4+5*MonsterWaveCallRuleCfg!R455,FALSE)</f>
        <v/>
      </c>
      <c r="K455" s="102" t="str">
        <f t="shared" si="96"/>
        <v/>
      </c>
      <c r="L455" s="102" t="str">
        <f>IF(VLOOKUP(P455&amp;"_"&amp;Q455,活动关卡!$A$4:$Z$27,2+5*R455,FALSE)="","","Monster_Season1_Challenge"&amp;P455&amp;"_"&amp;Q455&amp;"_"&amp;R455)</f>
        <v/>
      </c>
      <c r="M455" s="57" t="str">
        <f t="shared" si="97"/>
        <v/>
      </c>
      <c r="O455" s="102" t="str">
        <f>VLOOKUP(P455&amp;"_"&amp;Q455,活动关卡!$A$4:$Z$27,6+5*MonsterWaveCallRuleCfg!R455,FALSE)</f>
        <v/>
      </c>
      <c r="P455" s="110">
        <v>4</v>
      </c>
      <c r="Q455" s="110">
        <f t="shared" si="98"/>
        <v>2</v>
      </c>
      <c r="R455" s="110">
        <v>4</v>
      </c>
    </row>
    <row r="456" spans="2:18" x14ac:dyDescent="0.2">
      <c r="B456" s="57" t="str">
        <f t="shared" si="91"/>
        <v>MonsterWaveCallRule_Season1_Challenge4</v>
      </c>
      <c r="C456" s="57">
        <v>3</v>
      </c>
      <c r="D456" s="57" t="str">
        <f t="shared" si="92"/>
        <v>赛季1关卡4第3波</v>
      </c>
      <c r="F456" s="57">
        <f t="shared" si="93"/>
        <v>0</v>
      </c>
      <c r="G456" s="102">
        <f t="shared" si="95"/>
        <v>180</v>
      </c>
      <c r="H456" s="57">
        <f t="shared" si="94"/>
        <v>0</v>
      </c>
      <c r="I456" s="102">
        <f>VLOOKUP(P456&amp;"_"&amp;Q456,活动关卡!$A$4:$Z$27,3+5*MonsterWaveCallRuleCfg!R456,FALSE)</f>
        <v>10</v>
      </c>
      <c r="J456" s="102">
        <f>VLOOKUP(P456&amp;"_"&amp;Q456,活动关卡!$A$4:$Z$27,4+5*MonsterWaveCallRuleCfg!R456,FALSE)</f>
        <v>1.5</v>
      </c>
      <c r="K456" s="102">
        <f t="shared" si="96"/>
        <v>1</v>
      </c>
      <c r="L456" s="102" t="str">
        <f>IF(VLOOKUP(P456&amp;"_"&amp;Q456,活动关卡!$A$4:$Z$27,2+5*R456,FALSE)="","","Monster_Season1_Challenge"&amp;P456&amp;"_"&amp;Q456&amp;"_"&amp;R456)</f>
        <v>Monster_Season1_Challenge4_3_1</v>
      </c>
      <c r="M456" s="57">
        <f t="shared" si="97"/>
        <v>1</v>
      </c>
      <c r="O456" s="102">
        <f>VLOOKUP(P456&amp;"_"&amp;Q456,活动关卡!$A$4:$Z$27,6+5*MonsterWaveCallRuleCfg!R456,FALSE)</f>
        <v>9</v>
      </c>
      <c r="P456" s="110">
        <v>4</v>
      </c>
      <c r="Q456" s="110">
        <f t="shared" si="98"/>
        <v>3</v>
      </c>
      <c r="R456" s="110">
        <v>1</v>
      </c>
    </row>
    <row r="457" spans="2:18" x14ac:dyDescent="0.2">
      <c r="B457" s="57" t="str">
        <f t="shared" si="91"/>
        <v/>
      </c>
      <c r="D457" s="57" t="str">
        <f t="shared" si="92"/>
        <v/>
      </c>
      <c r="F457" s="57" t="str">
        <f t="shared" si="93"/>
        <v/>
      </c>
      <c r="G457" s="102" t="str">
        <f t="shared" si="95"/>
        <v/>
      </c>
      <c r="H457" s="57">
        <f t="shared" si="94"/>
        <v>0</v>
      </c>
      <c r="I457" s="102">
        <f>VLOOKUP(P457&amp;"_"&amp;Q457,活动关卡!$A$4:$Z$27,3+5*MonsterWaveCallRuleCfg!R457,FALSE)</f>
        <v>75</v>
      </c>
      <c r="J457" s="102">
        <f>VLOOKUP(P457&amp;"_"&amp;Q457,活动关卡!$A$4:$Z$27,4+5*MonsterWaveCallRuleCfg!R457,FALSE)</f>
        <v>0.2</v>
      </c>
      <c r="K457" s="102">
        <f t="shared" si="96"/>
        <v>1</v>
      </c>
      <c r="L457" s="102" t="str">
        <f>IF(VLOOKUP(P457&amp;"_"&amp;Q457,活动关卡!$A$4:$Z$27,2+5*R457,FALSE)="","","Monster_Season1_Challenge"&amp;P457&amp;"_"&amp;Q457&amp;"_"&amp;R457)</f>
        <v>Monster_Season1_Challenge4_3_2</v>
      </c>
      <c r="M457" s="57">
        <f t="shared" si="97"/>
        <v>1</v>
      </c>
      <c r="O457" s="102">
        <f>VLOOKUP(P457&amp;"_"&amp;Q457,活动关卡!$A$4:$Z$27,6+5*MonsterWaveCallRuleCfg!R457,FALSE)</f>
        <v>5</v>
      </c>
      <c r="P457" s="110">
        <v>4</v>
      </c>
      <c r="Q457" s="110">
        <f t="shared" si="98"/>
        <v>3</v>
      </c>
      <c r="R457" s="110">
        <v>2</v>
      </c>
    </row>
    <row r="458" spans="2:18" x14ac:dyDescent="0.2">
      <c r="B458" s="57" t="str">
        <f t="shared" si="91"/>
        <v/>
      </c>
      <c r="D458" s="57" t="str">
        <f t="shared" si="92"/>
        <v/>
      </c>
      <c r="F458" s="57" t="str">
        <f t="shared" si="93"/>
        <v/>
      </c>
      <c r="G458" s="102" t="str">
        <f t="shared" si="95"/>
        <v/>
      </c>
      <c r="H458" s="57">
        <f t="shared" si="94"/>
        <v>0</v>
      </c>
      <c r="I458" s="102">
        <f>VLOOKUP(P458&amp;"_"&amp;Q458,活动关卡!$A$4:$Z$27,3+5*MonsterWaveCallRuleCfg!R458,FALSE)</f>
        <v>8</v>
      </c>
      <c r="J458" s="102">
        <f>VLOOKUP(P458&amp;"_"&amp;Q458,活动关卡!$A$4:$Z$27,4+5*MonsterWaveCallRuleCfg!R458,FALSE)</f>
        <v>2</v>
      </c>
      <c r="K458" s="102">
        <f t="shared" si="96"/>
        <v>1</v>
      </c>
      <c r="L458" s="102" t="str">
        <f>IF(VLOOKUP(P458&amp;"_"&amp;Q458,活动关卡!$A$4:$Z$27,2+5*R458,FALSE)="","","Monster_Season1_Challenge"&amp;P458&amp;"_"&amp;Q458&amp;"_"&amp;R458)</f>
        <v>Monster_Season1_Challenge4_3_3</v>
      </c>
      <c r="M458" s="57">
        <f t="shared" si="97"/>
        <v>1</v>
      </c>
      <c r="O458" s="102">
        <f>VLOOKUP(P458&amp;"_"&amp;Q458,活动关卡!$A$4:$Z$27,6+5*MonsterWaveCallRuleCfg!R458,FALSE)</f>
        <v>19</v>
      </c>
      <c r="P458" s="110">
        <v>4</v>
      </c>
      <c r="Q458" s="110">
        <f t="shared" si="98"/>
        <v>3</v>
      </c>
      <c r="R458" s="110">
        <v>3</v>
      </c>
    </row>
    <row r="459" spans="2:18" x14ac:dyDescent="0.2">
      <c r="B459" s="57" t="str">
        <f t="shared" si="91"/>
        <v/>
      </c>
      <c r="D459" s="57" t="str">
        <f t="shared" si="92"/>
        <v/>
      </c>
      <c r="F459" s="57" t="str">
        <f t="shared" si="93"/>
        <v/>
      </c>
      <c r="G459" s="102" t="str">
        <f t="shared" si="95"/>
        <v/>
      </c>
      <c r="H459" s="57" t="str">
        <f t="shared" si="94"/>
        <v/>
      </c>
      <c r="I459" s="102" t="str">
        <f>VLOOKUP(P459&amp;"_"&amp;Q459,活动关卡!$A$4:$Z$27,3+5*MonsterWaveCallRuleCfg!R459,FALSE)</f>
        <v/>
      </c>
      <c r="J459" s="102" t="str">
        <f>VLOOKUP(P459&amp;"_"&amp;Q459,活动关卡!$A$4:$Z$27,4+5*MonsterWaveCallRuleCfg!R459,FALSE)</f>
        <v/>
      </c>
      <c r="K459" s="102" t="str">
        <f t="shared" si="96"/>
        <v/>
      </c>
      <c r="L459" s="102" t="str">
        <f>IF(VLOOKUP(P459&amp;"_"&amp;Q459,活动关卡!$A$4:$Z$27,2+5*R459,FALSE)="","","Monster_Season1_Challenge"&amp;P459&amp;"_"&amp;Q459&amp;"_"&amp;R459)</f>
        <v/>
      </c>
      <c r="M459" s="57" t="str">
        <f t="shared" si="97"/>
        <v/>
      </c>
      <c r="O459" s="102" t="str">
        <f>VLOOKUP(P459&amp;"_"&amp;Q459,活动关卡!$A$4:$Z$27,6+5*MonsterWaveCallRuleCfg!R459,FALSE)</f>
        <v/>
      </c>
      <c r="P459" s="110">
        <v>4</v>
      </c>
      <c r="Q459" s="110">
        <f t="shared" si="98"/>
        <v>3</v>
      </c>
      <c r="R459" s="110">
        <v>4</v>
      </c>
    </row>
    <row r="460" spans="2:18" x14ac:dyDescent="0.2">
      <c r="B460" s="57" t="str">
        <f t="shared" si="91"/>
        <v>MonsterWaveCallRule_Season1_Challenge4</v>
      </c>
      <c r="C460" s="57">
        <v>4</v>
      </c>
      <c r="D460" s="57" t="str">
        <f t="shared" si="92"/>
        <v>赛季1关卡4第4波</v>
      </c>
      <c r="F460" s="57">
        <f t="shared" si="93"/>
        <v>0</v>
      </c>
      <c r="G460" s="102">
        <f t="shared" si="95"/>
        <v>180</v>
      </c>
      <c r="H460" s="57">
        <f t="shared" si="94"/>
        <v>0</v>
      </c>
      <c r="I460" s="102">
        <f>VLOOKUP(P460&amp;"_"&amp;Q460,活动关卡!$A$4:$Z$27,3+5*MonsterWaveCallRuleCfg!R460,FALSE)</f>
        <v>12</v>
      </c>
      <c r="J460" s="102">
        <f>VLOOKUP(P460&amp;"_"&amp;Q460,活动关卡!$A$4:$Z$27,4+5*MonsterWaveCallRuleCfg!R460,FALSE)</f>
        <v>1.5</v>
      </c>
      <c r="K460" s="102">
        <f t="shared" si="96"/>
        <v>1</v>
      </c>
      <c r="L460" s="102" t="str">
        <f>IF(VLOOKUP(P460&amp;"_"&amp;Q460,活动关卡!$A$4:$Z$27,2+5*R460,FALSE)="","","Monster_Season1_Challenge"&amp;P460&amp;"_"&amp;Q460&amp;"_"&amp;R460)</f>
        <v>Monster_Season1_Challenge4_4_1</v>
      </c>
      <c r="M460" s="57">
        <f t="shared" si="97"/>
        <v>1</v>
      </c>
      <c r="O460" s="102">
        <f>VLOOKUP(P460&amp;"_"&amp;Q460,活动关卡!$A$4:$Z$27,6+5*MonsterWaveCallRuleCfg!R460,FALSE)</f>
        <v>7</v>
      </c>
      <c r="P460" s="110">
        <v>4</v>
      </c>
      <c r="Q460" s="110">
        <f t="shared" si="98"/>
        <v>4</v>
      </c>
      <c r="R460" s="110">
        <v>1</v>
      </c>
    </row>
    <row r="461" spans="2:18" x14ac:dyDescent="0.2">
      <c r="B461" s="57" t="str">
        <f t="shared" si="91"/>
        <v/>
      </c>
      <c r="D461" s="57" t="str">
        <f t="shared" si="92"/>
        <v/>
      </c>
      <c r="F461" s="57" t="str">
        <f t="shared" si="93"/>
        <v/>
      </c>
      <c r="G461" s="102" t="str">
        <f t="shared" si="95"/>
        <v/>
      </c>
      <c r="H461" s="57">
        <f t="shared" si="94"/>
        <v>0</v>
      </c>
      <c r="I461" s="102">
        <f>VLOOKUP(P461&amp;"_"&amp;Q461,活动关卡!$A$4:$Z$27,3+5*MonsterWaveCallRuleCfg!R461,FALSE)</f>
        <v>44</v>
      </c>
      <c r="J461" s="102">
        <f>VLOOKUP(P461&amp;"_"&amp;Q461,活动关卡!$A$4:$Z$27,4+5*MonsterWaveCallRuleCfg!R461,FALSE)</f>
        <v>0.4</v>
      </c>
      <c r="K461" s="102">
        <f t="shared" si="96"/>
        <v>1</v>
      </c>
      <c r="L461" s="102" t="str">
        <f>IF(VLOOKUP(P461&amp;"_"&amp;Q461,活动关卡!$A$4:$Z$27,2+5*R461,FALSE)="","","Monster_Season1_Challenge"&amp;P461&amp;"_"&amp;Q461&amp;"_"&amp;R461)</f>
        <v>Monster_Season1_Challenge4_4_2</v>
      </c>
      <c r="M461" s="57">
        <f t="shared" si="97"/>
        <v>1</v>
      </c>
      <c r="O461" s="102">
        <f>VLOOKUP(P461&amp;"_"&amp;Q461,活动关卡!$A$4:$Z$27,6+5*MonsterWaveCallRuleCfg!R461,FALSE)</f>
        <v>7</v>
      </c>
      <c r="P461" s="110">
        <v>4</v>
      </c>
      <c r="Q461" s="110">
        <f t="shared" si="98"/>
        <v>4</v>
      </c>
      <c r="R461" s="110">
        <v>2</v>
      </c>
    </row>
    <row r="462" spans="2:18" x14ac:dyDescent="0.2">
      <c r="B462" s="57" t="str">
        <f t="shared" si="91"/>
        <v/>
      </c>
      <c r="D462" s="57" t="str">
        <f t="shared" si="92"/>
        <v/>
      </c>
      <c r="F462" s="57" t="str">
        <f t="shared" si="93"/>
        <v/>
      </c>
      <c r="G462" s="102" t="str">
        <f t="shared" si="95"/>
        <v/>
      </c>
      <c r="H462" s="57">
        <f t="shared" si="94"/>
        <v>0</v>
      </c>
      <c r="I462" s="102">
        <f>VLOOKUP(P462&amp;"_"&amp;Q462,活动关卡!$A$4:$Z$27,3+5*MonsterWaveCallRuleCfg!R462,FALSE)</f>
        <v>18</v>
      </c>
      <c r="J462" s="102">
        <f>VLOOKUP(P462&amp;"_"&amp;Q462,活动关卡!$A$4:$Z$27,4+5*MonsterWaveCallRuleCfg!R462,FALSE)</f>
        <v>1</v>
      </c>
      <c r="K462" s="102">
        <f t="shared" si="96"/>
        <v>1</v>
      </c>
      <c r="L462" s="102" t="str">
        <f>IF(VLOOKUP(P462&amp;"_"&amp;Q462,活动关卡!$A$4:$Z$27,2+5*R462,FALSE)="","","Monster_Season1_Challenge"&amp;P462&amp;"_"&amp;Q462&amp;"_"&amp;R462)</f>
        <v>Monster_Season1_Challenge4_4_3</v>
      </c>
      <c r="M462" s="57">
        <f t="shared" si="97"/>
        <v>1</v>
      </c>
      <c r="O462" s="102">
        <f>VLOOKUP(P462&amp;"_"&amp;Q462,活动关卡!$A$4:$Z$27,6+5*MonsterWaveCallRuleCfg!R462,FALSE)</f>
        <v>13</v>
      </c>
      <c r="P462" s="110">
        <v>4</v>
      </c>
      <c r="Q462" s="110">
        <f t="shared" si="98"/>
        <v>4</v>
      </c>
      <c r="R462" s="110">
        <v>3</v>
      </c>
    </row>
    <row r="463" spans="2:18" x14ac:dyDescent="0.2">
      <c r="B463" s="57" t="str">
        <f t="shared" si="91"/>
        <v/>
      </c>
      <c r="D463" s="57" t="str">
        <f t="shared" si="92"/>
        <v/>
      </c>
      <c r="F463" s="57" t="str">
        <f t="shared" si="93"/>
        <v/>
      </c>
      <c r="G463" s="102" t="str">
        <f t="shared" si="95"/>
        <v/>
      </c>
      <c r="H463" s="57" t="str">
        <f t="shared" si="94"/>
        <v/>
      </c>
      <c r="I463" s="102" t="str">
        <f>VLOOKUP(P463&amp;"_"&amp;Q463,活动关卡!$A$4:$Z$27,3+5*MonsterWaveCallRuleCfg!R463,FALSE)</f>
        <v/>
      </c>
      <c r="J463" s="102" t="str">
        <f>VLOOKUP(P463&amp;"_"&amp;Q463,活动关卡!$A$4:$Z$27,4+5*MonsterWaveCallRuleCfg!R463,FALSE)</f>
        <v/>
      </c>
      <c r="K463" s="102" t="str">
        <f t="shared" si="96"/>
        <v/>
      </c>
      <c r="L463" s="102" t="str">
        <f>IF(VLOOKUP(P463&amp;"_"&amp;Q463,活动关卡!$A$4:$Z$27,2+5*R463,FALSE)="","","Monster_Season1_Challenge"&amp;P463&amp;"_"&amp;Q463&amp;"_"&amp;R463)</f>
        <v/>
      </c>
      <c r="M463" s="57" t="str">
        <f t="shared" si="97"/>
        <v/>
      </c>
      <c r="O463" s="102" t="str">
        <f>VLOOKUP(P463&amp;"_"&amp;Q463,活动关卡!$A$4:$Z$27,6+5*MonsterWaveCallRuleCfg!R463,FALSE)</f>
        <v/>
      </c>
      <c r="P463" s="110">
        <v>4</v>
      </c>
      <c r="Q463" s="110">
        <f t="shared" si="98"/>
        <v>4</v>
      </c>
      <c r="R463" s="110">
        <v>4</v>
      </c>
    </row>
    <row r="464" spans="2:18" x14ac:dyDescent="0.2">
      <c r="B464" s="57" t="str">
        <f t="shared" si="91"/>
        <v>MonsterWaveCallRule_Season1_Challenge4</v>
      </c>
      <c r="C464" s="57">
        <v>5</v>
      </c>
      <c r="D464" s="57" t="str">
        <f t="shared" si="92"/>
        <v>赛季1关卡4第5波</v>
      </c>
      <c r="F464" s="57">
        <f t="shared" si="93"/>
        <v>0</v>
      </c>
      <c r="G464" s="102">
        <f t="shared" si="95"/>
        <v>180</v>
      </c>
      <c r="H464" s="57">
        <f t="shared" si="94"/>
        <v>0</v>
      </c>
      <c r="I464" s="102">
        <f>VLOOKUP(P464&amp;"_"&amp;Q464,活动关卡!$A$4:$Z$27,3+5*MonsterWaveCallRuleCfg!R464,FALSE)</f>
        <v>40</v>
      </c>
      <c r="J464" s="102">
        <f>VLOOKUP(P464&amp;"_"&amp;Q464,活动关卡!$A$4:$Z$27,4+5*MonsterWaveCallRuleCfg!R464,FALSE)</f>
        <v>0.5</v>
      </c>
      <c r="K464" s="102">
        <f t="shared" si="96"/>
        <v>1</v>
      </c>
      <c r="L464" s="102" t="str">
        <f>IF(VLOOKUP(P464&amp;"_"&amp;Q464,活动关卡!$A$4:$Z$27,2+5*R464,FALSE)="","","Monster_Season1_Challenge"&amp;P464&amp;"_"&amp;Q464&amp;"_"&amp;R464)</f>
        <v>Monster_Season1_Challenge4_5_1</v>
      </c>
      <c r="M464" s="57">
        <f t="shared" si="97"/>
        <v>1</v>
      </c>
      <c r="O464" s="102">
        <f>VLOOKUP(P464&amp;"_"&amp;Q464,活动关卡!$A$4:$Z$27,6+5*MonsterWaveCallRuleCfg!R464,FALSE)</f>
        <v>6</v>
      </c>
      <c r="P464" s="110">
        <v>4</v>
      </c>
      <c r="Q464" s="110">
        <f t="shared" si="98"/>
        <v>5</v>
      </c>
      <c r="R464" s="110">
        <v>1</v>
      </c>
    </row>
    <row r="465" spans="2:18" x14ac:dyDescent="0.2">
      <c r="B465" s="57" t="str">
        <f t="shared" si="91"/>
        <v/>
      </c>
      <c r="D465" s="57" t="str">
        <f t="shared" si="92"/>
        <v/>
      </c>
      <c r="F465" s="57" t="str">
        <f t="shared" si="93"/>
        <v/>
      </c>
      <c r="G465" s="102" t="str">
        <f t="shared" si="95"/>
        <v/>
      </c>
      <c r="H465" s="57">
        <f t="shared" si="94"/>
        <v>0</v>
      </c>
      <c r="I465" s="102">
        <f>VLOOKUP(P465&amp;"_"&amp;Q465,活动关卡!$A$4:$Z$27,3+5*MonsterWaveCallRuleCfg!R465,FALSE)</f>
        <v>10</v>
      </c>
      <c r="J465" s="102">
        <f>VLOOKUP(P465&amp;"_"&amp;Q465,活动关卡!$A$4:$Z$27,4+5*MonsterWaveCallRuleCfg!R465,FALSE)</f>
        <v>2</v>
      </c>
      <c r="K465" s="102">
        <f t="shared" si="96"/>
        <v>1</v>
      </c>
      <c r="L465" s="102" t="str">
        <f>IF(VLOOKUP(P465&amp;"_"&amp;Q465,活动关卡!$A$4:$Z$27,2+5*R465,FALSE)="","","Monster_Season1_Challenge"&amp;P465&amp;"_"&amp;Q465&amp;"_"&amp;R465)</f>
        <v>Monster_Season1_Challenge4_5_2</v>
      </c>
      <c r="M465" s="57">
        <f t="shared" si="97"/>
        <v>1</v>
      </c>
      <c r="O465" s="102">
        <f>VLOOKUP(P465&amp;"_"&amp;Q465,活动关卡!$A$4:$Z$27,6+5*MonsterWaveCallRuleCfg!R465,FALSE)</f>
        <v>12</v>
      </c>
      <c r="P465" s="110">
        <v>4</v>
      </c>
      <c r="Q465" s="110">
        <f t="shared" si="98"/>
        <v>5</v>
      </c>
      <c r="R465" s="110">
        <v>2</v>
      </c>
    </row>
    <row r="466" spans="2:18" x14ac:dyDescent="0.2">
      <c r="B466" s="57" t="str">
        <f t="shared" si="91"/>
        <v/>
      </c>
      <c r="D466" s="57" t="str">
        <f t="shared" si="92"/>
        <v/>
      </c>
      <c r="F466" s="57" t="str">
        <f t="shared" si="93"/>
        <v/>
      </c>
      <c r="G466" s="102" t="str">
        <f t="shared" si="95"/>
        <v/>
      </c>
      <c r="H466" s="57">
        <f t="shared" si="94"/>
        <v>0</v>
      </c>
      <c r="I466" s="102">
        <f>VLOOKUP(P466&amp;"_"&amp;Q466,活动关卡!$A$4:$Z$27,3+5*MonsterWaveCallRuleCfg!R466,FALSE)</f>
        <v>20</v>
      </c>
      <c r="J466" s="102">
        <f>VLOOKUP(P466&amp;"_"&amp;Q466,活动关卡!$A$4:$Z$27,4+5*MonsterWaveCallRuleCfg!R466,FALSE)</f>
        <v>1</v>
      </c>
      <c r="K466" s="102">
        <f t="shared" si="96"/>
        <v>1</v>
      </c>
      <c r="L466" s="102" t="str">
        <f>IF(VLOOKUP(P466&amp;"_"&amp;Q466,活动关卡!$A$4:$Z$27,2+5*R466,FALSE)="","","Monster_Season1_Challenge"&amp;P466&amp;"_"&amp;Q466&amp;"_"&amp;R466)</f>
        <v>Monster_Season1_Challenge4_5_3</v>
      </c>
      <c r="M466" s="57">
        <f t="shared" si="97"/>
        <v>1</v>
      </c>
      <c r="O466" s="102">
        <f>VLOOKUP(P466&amp;"_"&amp;Q466,活动关卡!$A$4:$Z$27,6+5*MonsterWaveCallRuleCfg!R466,FALSE)</f>
        <v>12</v>
      </c>
      <c r="P466" s="110">
        <v>4</v>
      </c>
      <c r="Q466" s="110">
        <f t="shared" si="98"/>
        <v>5</v>
      </c>
      <c r="R466" s="110">
        <v>3</v>
      </c>
    </row>
    <row r="467" spans="2:18" x14ac:dyDescent="0.2">
      <c r="B467" s="57" t="str">
        <f t="shared" si="91"/>
        <v/>
      </c>
      <c r="D467" s="57" t="str">
        <f t="shared" si="92"/>
        <v/>
      </c>
      <c r="F467" s="57" t="str">
        <f t="shared" si="93"/>
        <v/>
      </c>
      <c r="G467" s="102" t="str">
        <f t="shared" si="95"/>
        <v/>
      </c>
      <c r="H467" s="57" t="str">
        <f t="shared" si="94"/>
        <v/>
      </c>
      <c r="I467" s="102" t="str">
        <f>VLOOKUP(P467&amp;"_"&amp;Q467,活动关卡!$A$4:$Z$27,3+5*MonsterWaveCallRuleCfg!R467,FALSE)</f>
        <v/>
      </c>
      <c r="J467" s="102" t="str">
        <f>VLOOKUP(P467&amp;"_"&amp;Q467,活动关卡!$A$4:$Z$27,4+5*MonsterWaveCallRuleCfg!R467,FALSE)</f>
        <v/>
      </c>
      <c r="K467" s="102" t="str">
        <f t="shared" si="96"/>
        <v/>
      </c>
      <c r="L467" s="102" t="str">
        <f>IF(VLOOKUP(P467&amp;"_"&amp;Q467,活动关卡!$A$4:$Z$27,2+5*R467,FALSE)="","","Monster_Season1_Challenge"&amp;P467&amp;"_"&amp;Q467&amp;"_"&amp;R467)</f>
        <v/>
      </c>
      <c r="M467" s="57" t="str">
        <f t="shared" si="97"/>
        <v/>
      </c>
      <c r="O467" s="102" t="str">
        <f>VLOOKUP(P467&amp;"_"&amp;Q467,活动关卡!$A$4:$Z$27,6+5*MonsterWaveCallRuleCfg!R467,FALSE)</f>
        <v/>
      </c>
      <c r="P467" s="110">
        <v>4</v>
      </c>
      <c r="Q467" s="110">
        <f t="shared" si="98"/>
        <v>5</v>
      </c>
      <c r="R467" s="110">
        <v>4</v>
      </c>
    </row>
    <row r="468" spans="2:18" x14ac:dyDescent="0.2">
      <c r="B468" s="57" t="str">
        <f t="shared" si="91"/>
        <v>MonsterWaveCallRule_Season1_Challenge5</v>
      </c>
      <c r="C468" s="57">
        <v>1</v>
      </c>
      <c r="D468" s="57" t="str">
        <f t="shared" si="92"/>
        <v>赛季1关卡5第1波</v>
      </c>
      <c r="F468" s="57">
        <f t="shared" si="93"/>
        <v>0</v>
      </c>
      <c r="G468" s="102">
        <f>IF(C468="","",180)</f>
        <v>180</v>
      </c>
      <c r="H468" s="57">
        <f t="shared" si="94"/>
        <v>0</v>
      </c>
      <c r="I468" s="102">
        <f>VLOOKUP(P468&amp;"_"&amp;Q468,活动关卡!$A$4:$Z$27,3+5*MonsterWaveCallRuleCfg!R468,FALSE)</f>
        <v>7</v>
      </c>
      <c r="J468" s="102">
        <f>VLOOKUP(P468&amp;"_"&amp;Q468,活动关卡!$A$4:$Z$27,4+5*MonsterWaveCallRuleCfg!R468,FALSE)</f>
        <v>1.5</v>
      </c>
      <c r="K468" s="102">
        <f t="shared" si="96"/>
        <v>1</v>
      </c>
      <c r="L468" s="102" t="str">
        <f>IF(VLOOKUP(P468&amp;"_"&amp;Q468,活动关卡!$A$4:$Z$27,2+5*R468,FALSE)="","","Monster_Season1_Challenge"&amp;P468&amp;"_"&amp;Q468&amp;"_"&amp;R468)</f>
        <v>Monster_Season1_Challenge5_1_1</v>
      </c>
      <c r="M468" s="57">
        <f t="shared" si="97"/>
        <v>1</v>
      </c>
      <c r="O468" s="102">
        <f>VLOOKUP(P468&amp;"_"&amp;Q468,活动关卡!$A$4:$Z$27,6+5*MonsterWaveCallRuleCfg!R468,FALSE)</f>
        <v>50</v>
      </c>
      <c r="P468" s="110">
        <v>5</v>
      </c>
      <c r="Q468" s="110">
        <f t="shared" si="98"/>
        <v>1</v>
      </c>
      <c r="R468" s="110">
        <v>1</v>
      </c>
    </row>
    <row r="469" spans="2:18" x14ac:dyDescent="0.2">
      <c r="B469" s="57" t="str">
        <f t="shared" si="91"/>
        <v/>
      </c>
      <c r="D469" s="57" t="str">
        <f t="shared" si="92"/>
        <v/>
      </c>
      <c r="F469" s="57" t="str">
        <f t="shared" si="93"/>
        <v/>
      </c>
      <c r="G469" s="102" t="str">
        <f t="shared" ref="G469:G484" si="99">IF(C469="","",180)</f>
        <v/>
      </c>
      <c r="H469" s="57">
        <f t="shared" si="94"/>
        <v>0</v>
      </c>
      <c r="I469" s="102">
        <f>VLOOKUP(P469&amp;"_"&amp;Q469,活动关卡!$A$4:$Z$27,3+5*MonsterWaveCallRuleCfg!R469,FALSE)</f>
        <v>5</v>
      </c>
      <c r="J469" s="102">
        <f>VLOOKUP(P469&amp;"_"&amp;Q469,活动关卡!$A$4:$Z$27,4+5*MonsterWaveCallRuleCfg!R469,FALSE)</f>
        <v>2</v>
      </c>
      <c r="K469" s="102">
        <f t="shared" si="96"/>
        <v>1</v>
      </c>
      <c r="L469" s="102" t="str">
        <f>IF(VLOOKUP(P469&amp;"_"&amp;Q469,活动关卡!$A$4:$Z$27,2+5*R469,FALSE)="","","Monster_Season1_Challenge"&amp;P469&amp;"_"&amp;Q469&amp;"_"&amp;R469)</f>
        <v>Monster_Season1_Challenge5_1_2</v>
      </c>
      <c r="M469" s="57">
        <f t="shared" si="97"/>
        <v>1</v>
      </c>
      <c r="O469" s="102">
        <f>VLOOKUP(P469&amp;"_"&amp;Q469,活动关卡!$A$4:$Z$27,6+5*MonsterWaveCallRuleCfg!R469,FALSE)</f>
        <v>50</v>
      </c>
      <c r="P469" s="110">
        <v>5</v>
      </c>
      <c r="Q469" s="110">
        <f t="shared" si="98"/>
        <v>1</v>
      </c>
      <c r="R469" s="110">
        <v>2</v>
      </c>
    </row>
    <row r="470" spans="2:18" x14ac:dyDescent="0.2">
      <c r="B470" s="57" t="str">
        <f t="shared" si="91"/>
        <v/>
      </c>
      <c r="D470" s="57" t="str">
        <f t="shared" si="92"/>
        <v/>
      </c>
      <c r="F470" s="57" t="str">
        <f t="shared" si="93"/>
        <v/>
      </c>
      <c r="G470" s="102" t="str">
        <f t="shared" si="99"/>
        <v/>
      </c>
      <c r="H470" s="57" t="str">
        <f t="shared" si="94"/>
        <v/>
      </c>
      <c r="I470" s="102" t="str">
        <f>VLOOKUP(P470&amp;"_"&amp;Q470,活动关卡!$A$4:$Z$27,3+5*MonsterWaveCallRuleCfg!R470,FALSE)</f>
        <v/>
      </c>
      <c r="J470" s="102" t="str">
        <f>VLOOKUP(P470&amp;"_"&amp;Q470,活动关卡!$A$4:$Z$27,4+5*MonsterWaveCallRuleCfg!R470,FALSE)</f>
        <v/>
      </c>
      <c r="K470" s="102" t="str">
        <f t="shared" si="96"/>
        <v/>
      </c>
      <c r="L470" s="102" t="str">
        <f>IF(VLOOKUP(P470&amp;"_"&amp;Q470,活动关卡!$A$4:$Z$27,2+5*R470,FALSE)="","","Monster_Season1_Challenge"&amp;P470&amp;"_"&amp;Q470&amp;"_"&amp;R470)</f>
        <v/>
      </c>
      <c r="M470" s="57" t="str">
        <f t="shared" si="97"/>
        <v/>
      </c>
      <c r="O470" s="102" t="str">
        <f>VLOOKUP(P470&amp;"_"&amp;Q470,活动关卡!$A$4:$Z$27,6+5*MonsterWaveCallRuleCfg!R470,FALSE)</f>
        <v/>
      </c>
      <c r="P470" s="110">
        <v>5</v>
      </c>
      <c r="Q470" s="110">
        <f t="shared" si="98"/>
        <v>1</v>
      </c>
      <c r="R470" s="110">
        <v>3</v>
      </c>
    </row>
    <row r="471" spans="2:18" x14ac:dyDescent="0.2">
      <c r="B471" s="57" t="str">
        <f t="shared" si="91"/>
        <v/>
      </c>
      <c r="D471" s="57" t="str">
        <f t="shared" si="92"/>
        <v/>
      </c>
      <c r="F471" s="57" t="str">
        <f t="shared" si="93"/>
        <v/>
      </c>
      <c r="G471" s="102" t="str">
        <f t="shared" si="99"/>
        <v/>
      </c>
      <c r="H471" s="57" t="str">
        <f t="shared" si="94"/>
        <v/>
      </c>
      <c r="I471" s="102" t="str">
        <f>VLOOKUP(P471&amp;"_"&amp;Q471,活动关卡!$A$4:$Z$27,3+5*MonsterWaveCallRuleCfg!R471,FALSE)</f>
        <v/>
      </c>
      <c r="J471" s="102" t="str">
        <f>VLOOKUP(P471&amp;"_"&amp;Q471,活动关卡!$A$4:$Z$27,4+5*MonsterWaveCallRuleCfg!R471,FALSE)</f>
        <v/>
      </c>
      <c r="K471" s="102" t="str">
        <f t="shared" si="96"/>
        <v/>
      </c>
      <c r="L471" s="102" t="str">
        <f>IF(VLOOKUP(P471&amp;"_"&amp;Q471,活动关卡!$A$4:$Z$27,2+5*R471,FALSE)="","","Monster_Season1_Challenge"&amp;P471&amp;"_"&amp;Q471&amp;"_"&amp;R471)</f>
        <v/>
      </c>
      <c r="M471" s="57" t="str">
        <f t="shared" si="97"/>
        <v/>
      </c>
      <c r="O471" s="102" t="str">
        <f>VLOOKUP(P471&amp;"_"&amp;Q471,活动关卡!$A$4:$Z$27,6+5*MonsterWaveCallRuleCfg!R471,FALSE)</f>
        <v/>
      </c>
      <c r="P471" s="110">
        <v>5</v>
      </c>
      <c r="Q471" s="110">
        <f t="shared" si="98"/>
        <v>1</v>
      </c>
      <c r="R471" s="110">
        <v>4</v>
      </c>
    </row>
    <row r="472" spans="2:18" x14ac:dyDescent="0.2">
      <c r="B472" s="57" t="str">
        <f t="shared" si="91"/>
        <v>MonsterWaveCallRule_Season1_Challenge5</v>
      </c>
      <c r="C472" s="57">
        <v>2</v>
      </c>
      <c r="D472" s="57" t="str">
        <f t="shared" si="92"/>
        <v>赛季1关卡5第2波</v>
      </c>
      <c r="F472" s="57">
        <f t="shared" si="93"/>
        <v>0</v>
      </c>
      <c r="G472" s="102">
        <f t="shared" si="99"/>
        <v>180</v>
      </c>
      <c r="H472" s="57">
        <f t="shared" si="94"/>
        <v>0</v>
      </c>
      <c r="I472" s="102">
        <f>VLOOKUP(P472&amp;"_"&amp;Q472,活动关卡!$A$4:$Z$27,3+5*MonsterWaveCallRuleCfg!R472,FALSE)</f>
        <v>8</v>
      </c>
      <c r="J472" s="102">
        <f>VLOOKUP(P472&amp;"_"&amp;Q472,活动关卡!$A$4:$Z$27,4+5*MonsterWaveCallRuleCfg!R472,FALSE)</f>
        <v>1.5</v>
      </c>
      <c r="K472" s="102">
        <f t="shared" si="96"/>
        <v>1</v>
      </c>
      <c r="L472" s="102" t="str">
        <f>IF(VLOOKUP(P472&amp;"_"&amp;Q472,活动关卡!$A$4:$Z$27,2+5*R472,FALSE)="","","Monster_Season1_Challenge"&amp;P472&amp;"_"&amp;Q472&amp;"_"&amp;R472)</f>
        <v>Monster_Season1_Challenge5_2_1</v>
      </c>
      <c r="M472" s="57">
        <f t="shared" si="97"/>
        <v>1</v>
      </c>
      <c r="O472" s="102">
        <f>VLOOKUP(P472&amp;"_"&amp;Q472,活动关卡!$A$4:$Z$27,6+5*MonsterWaveCallRuleCfg!R472,FALSE)</f>
        <v>20</v>
      </c>
      <c r="P472" s="110">
        <v>5</v>
      </c>
      <c r="Q472" s="110">
        <f t="shared" si="98"/>
        <v>2</v>
      </c>
      <c r="R472" s="110">
        <v>1</v>
      </c>
    </row>
    <row r="473" spans="2:18" x14ac:dyDescent="0.2">
      <c r="B473" s="57" t="str">
        <f t="shared" si="91"/>
        <v/>
      </c>
      <c r="D473" s="57" t="str">
        <f t="shared" si="92"/>
        <v/>
      </c>
      <c r="F473" s="57" t="str">
        <f t="shared" si="93"/>
        <v/>
      </c>
      <c r="G473" s="102" t="str">
        <f t="shared" si="99"/>
        <v/>
      </c>
      <c r="H473" s="57">
        <f t="shared" si="94"/>
        <v>0</v>
      </c>
      <c r="I473" s="102">
        <f>VLOOKUP(P473&amp;"_"&amp;Q473,活动关卡!$A$4:$Z$27,3+5*MonsterWaveCallRuleCfg!R473,FALSE)</f>
        <v>63</v>
      </c>
      <c r="J473" s="102">
        <f>VLOOKUP(P473&amp;"_"&amp;Q473,活动关卡!$A$4:$Z$27,4+5*MonsterWaveCallRuleCfg!R473,FALSE)</f>
        <v>0.2</v>
      </c>
      <c r="K473" s="102">
        <f t="shared" si="96"/>
        <v>1</v>
      </c>
      <c r="L473" s="102" t="str">
        <f>IF(VLOOKUP(P473&amp;"_"&amp;Q473,活动关卡!$A$4:$Z$27,2+5*R473,FALSE)="","","Monster_Season1_Challenge"&amp;P473&amp;"_"&amp;Q473&amp;"_"&amp;R473)</f>
        <v>Monster_Season1_Challenge5_2_2</v>
      </c>
      <c r="M473" s="57">
        <f t="shared" si="97"/>
        <v>1</v>
      </c>
      <c r="O473" s="102">
        <f>VLOOKUP(P473&amp;"_"&amp;Q473,活动关卡!$A$4:$Z$27,6+5*MonsterWaveCallRuleCfg!R473,FALSE)</f>
        <v>5</v>
      </c>
      <c r="P473" s="110">
        <v>5</v>
      </c>
      <c r="Q473" s="110">
        <f t="shared" si="98"/>
        <v>2</v>
      </c>
      <c r="R473" s="110">
        <v>2</v>
      </c>
    </row>
    <row r="474" spans="2:18" x14ac:dyDescent="0.2">
      <c r="B474" s="57" t="str">
        <f t="shared" si="91"/>
        <v/>
      </c>
      <c r="D474" s="57" t="str">
        <f t="shared" si="92"/>
        <v/>
      </c>
      <c r="F474" s="57" t="str">
        <f t="shared" si="93"/>
        <v/>
      </c>
      <c r="G474" s="102" t="str">
        <f t="shared" si="99"/>
        <v/>
      </c>
      <c r="H474" s="57">
        <f t="shared" si="94"/>
        <v>0</v>
      </c>
      <c r="I474" s="102">
        <f>VLOOKUP(P474&amp;"_"&amp;Q474,活动关卡!$A$4:$Z$27,3+5*MonsterWaveCallRuleCfg!R474,FALSE)</f>
        <v>6</v>
      </c>
      <c r="J474" s="102">
        <f>VLOOKUP(P474&amp;"_"&amp;Q474,活动关卡!$A$4:$Z$27,4+5*MonsterWaveCallRuleCfg!R474,FALSE)</f>
        <v>2</v>
      </c>
      <c r="K474" s="102">
        <f t="shared" si="96"/>
        <v>1</v>
      </c>
      <c r="L474" s="102" t="str">
        <f>IF(VLOOKUP(P474&amp;"_"&amp;Q474,活动关卡!$A$4:$Z$27,2+5*R474,FALSE)="","","Monster_Season1_Challenge"&amp;P474&amp;"_"&amp;Q474&amp;"_"&amp;R474)</f>
        <v>Monster_Season1_Challenge5_2_3</v>
      </c>
      <c r="M474" s="57">
        <f t="shared" si="97"/>
        <v>1</v>
      </c>
      <c r="O474" s="102">
        <f>VLOOKUP(P474&amp;"_"&amp;Q474,活动关卡!$A$4:$Z$27,6+5*MonsterWaveCallRuleCfg!R474,FALSE)</f>
        <v>20</v>
      </c>
      <c r="P474" s="110">
        <v>5</v>
      </c>
      <c r="Q474" s="110">
        <f t="shared" si="98"/>
        <v>2</v>
      </c>
      <c r="R474" s="110">
        <v>3</v>
      </c>
    </row>
    <row r="475" spans="2:18" x14ac:dyDescent="0.2">
      <c r="B475" s="57" t="str">
        <f t="shared" si="91"/>
        <v/>
      </c>
      <c r="D475" s="57" t="str">
        <f t="shared" si="92"/>
        <v/>
      </c>
      <c r="F475" s="57" t="str">
        <f t="shared" si="93"/>
        <v/>
      </c>
      <c r="G475" s="102" t="str">
        <f t="shared" si="99"/>
        <v/>
      </c>
      <c r="H475" s="57" t="str">
        <f t="shared" si="94"/>
        <v/>
      </c>
      <c r="I475" s="102" t="str">
        <f>VLOOKUP(P475&amp;"_"&amp;Q475,活动关卡!$A$4:$Z$27,3+5*MonsterWaveCallRuleCfg!R475,FALSE)</f>
        <v/>
      </c>
      <c r="J475" s="102" t="str">
        <f>VLOOKUP(P475&amp;"_"&amp;Q475,活动关卡!$A$4:$Z$27,4+5*MonsterWaveCallRuleCfg!R475,FALSE)</f>
        <v/>
      </c>
      <c r="K475" s="102" t="str">
        <f t="shared" si="96"/>
        <v/>
      </c>
      <c r="L475" s="102" t="str">
        <f>IF(VLOOKUP(P475&amp;"_"&amp;Q475,活动关卡!$A$4:$Z$27,2+5*R475,FALSE)="","","Monster_Season1_Challenge"&amp;P475&amp;"_"&amp;Q475&amp;"_"&amp;R475)</f>
        <v/>
      </c>
      <c r="M475" s="57" t="str">
        <f t="shared" si="97"/>
        <v/>
      </c>
      <c r="O475" s="102" t="str">
        <f>VLOOKUP(P475&amp;"_"&amp;Q475,活动关卡!$A$4:$Z$27,6+5*MonsterWaveCallRuleCfg!R475,FALSE)</f>
        <v/>
      </c>
      <c r="P475" s="110">
        <v>5</v>
      </c>
      <c r="Q475" s="110">
        <f t="shared" si="98"/>
        <v>2</v>
      </c>
      <c r="R475" s="110">
        <v>4</v>
      </c>
    </row>
    <row r="476" spans="2:18" x14ac:dyDescent="0.2">
      <c r="B476" s="57" t="str">
        <f t="shared" si="91"/>
        <v>MonsterWaveCallRule_Season1_Challenge5</v>
      </c>
      <c r="C476" s="57">
        <v>3</v>
      </c>
      <c r="D476" s="57" t="str">
        <f t="shared" si="92"/>
        <v>赛季1关卡5第3波</v>
      </c>
      <c r="F476" s="57">
        <f t="shared" si="93"/>
        <v>0</v>
      </c>
      <c r="G476" s="102">
        <f t="shared" si="99"/>
        <v>180</v>
      </c>
      <c r="H476" s="57">
        <f t="shared" si="94"/>
        <v>0</v>
      </c>
      <c r="I476" s="102">
        <f>VLOOKUP(P476&amp;"_"&amp;Q476,活动关卡!$A$4:$Z$27,3+5*MonsterWaveCallRuleCfg!R476,FALSE)</f>
        <v>10</v>
      </c>
      <c r="J476" s="102">
        <f>VLOOKUP(P476&amp;"_"&amp;Q476,活动关卡!$A$4:$Z$27,4+5*MonsterWaveCallRuleCfg!R476,FALSE)</f>
        <v>1.5</v>
      </c>
      <c r="K476" s="102">
        <f t="shared" si="96"/>
        <v>1</v>
      </c>
      <c r="L476" s="102" t="str">
        <f>IF(VLOOKUP(P476&amp;"_"&amp;Q476,活动关卡!$A$4:$Z$27,2+5*R476,FALSE)="","","Monster_Season1_Challenge"&amp;P476&amp;"_"&amp;Q476&amp;"_"&amp;R476)</f>
        <v>Monster_Season1_Challenge5_3_1</v>
      </c>
      <c r="M476" s="57">
        <f t="shared" si="97"/>
        <v>1</v>
      </c>
      <c r="O476" s="102">
        <f>VLOOKUP(P476&amp;"_"&amp;Q476,活动关卡!$A$4:$Z$27,6+5*MonsterWaveCallRuleCfg!R476,FALSE)</f>
        <v>14</v>
      </c>
      <c r="P476" s="110">
        <v>5</v>
      </c>
      <c r="Q476" s="110">
        <f t="shared" si="98"/>
        <v>3</v>
      </c>
      <c r="R476" s="110">
        <v>1</v>
      </c>
    </row>
    <row r="477" spans="2:18" x14ac:dyDescent="0.2">
      <c r="B477" s="57" t="str">
        <f t="shared" si="91"/>
        <v/>
      </c>
      <c r="D477" s="57" t="str">
        <f t="shared" si="92"/>
        <v/>
      </c>
      <c r="F477" s="57" t="str">
        <f t="shared" si="93"/>
        <v/>
      </c>
      <c r="G477" s="102" t="str">
        <f t="shared" si="99"/>
        <v/>
      </c>
      <c r="H477" s="57">
        <f t="shared" si="94"/>
        <v>0</v>
      </c>
      <c r="I477" s="102">
        <f>VLOOKUP(P477&amp;"_"&amp;Q477,活动关卡!$A$4:$Z$27,3+5*MonsterWaveCallRuleCfg!R477,FALSE)</f>
        <v>38</v>
      </c>
      <c r="J477" s="102">
        <f>VLOOKUP(P477&amp;"_"&amp;Q477,活动关卡!$A$4:$Z$27,4+5*MonsterWaveCallRuleCfg!R477,FALSE)</f>
        <v>0.4</v>
      </c>
      <c r="K477" s="102">
        <f t="shared" si="96"/>
        <v>1</v>
      </c>
      <c r="L477" s="102" t="str">
        <f>IF(VLOOKUP(P477&amp;"_"&amp;Q477,活动关卡!$A$4:$Z$27,2+5*R477,FALSE)="","","Monster_Season1_Challenge"&amp;P477&amp;"_"&amp;Q477&amp;"_"&amp;R477)</f>
        <v>Monster_Season1_Challenge5_3_2</v>
      </c>
      <c r="M477" s="57">
        <f t="shared" si="97"/>
        <v>1</v>
      </c>
      <c r="O477" s="102">
        <f>VLOOKUP(P477&amp;"_"&amp;Q477,活动关卡!$A$4:$Z$27,6+5*MonsterWaveCallRuleCfg!R477,FALSE)</f>
        <v>7</v>
      </c>
      <c r="P477" s="110">
        <v>5</v>
      </c>
      <c r="Q477" s="110">
        <f t="shared" si="98"/>
        <v>3</v>
      </c>
      <c r="R477" s="110">
        <v>2</v>
      </c>
    </row>
    <row r="478" spans="2:18" x14ac:dyDescent="0.2">
      <c r="B478" s="57" t="str">
        <f t="shared" si="91"/>
        <v/>
      </c>
      <c r="D478" s="57" t="str">
        <f t="shared" si="92"/>
        <v/>
      </c>
      <c r="F478" s="57" t="str">
        <f t="shared" si="93"/>
        <v/>
      </c>
      <c r="G478" s="102" t="str">
        <f t="shared" si="99"/>
        <v/>
      </c>
      <c r="H478" s="57">
        <f t="shared" si="94"/>
        <v>0</v>
      </c>
      <c r="I478" s="102">
        <f>VLOOKUP(P478&amp;"_"&amp;Q478,活动关卡!$A$4:$Z$27,3+5*MonsterWaveCallRuleCfg!R478,FALSE)</f>
        <v>10</v>
      </c>
      <c r="J478" s="102">
        <f>VLOOKUP(P478&amp;"_"&amp;Q478,活动关卡!$A$4:$Z$27,4+5*MonsterWaveCallRuleCfg!R478,FALSE)</f>
        <v>1.5</v>
      </c>
      <c r="K478" s="102">
        <f t="shared" si="96"/>
        <v>1</v>
      </c>
      <c r="L478" s="102" t="str">
        <f>IF(VLOOKUP(P478&amp;"_"&amp;Q478,活动关卡!$A$4:$Z$27,2+5*R478,FALSE)="","","Monster_Season1_Challenge"&amp;P478&amp;"_"&amp;Q478&amp;"_"&amp;R478)</f>
        <v>Monster_Season1_Challenge5_3_3</v>
      </c>
      <c r="M478" s="57">
        <f t="shared" si="97"/>
        <v>1</v>
      </c>
      <c r="O478" s="102">
        <f>VLOOKUP(P478&amp;"_"&amp;Q478,活动关卡!$A$4:$Z$27,6+5*MonsterWaveCallRuleCfg!R478,FALSE)</f>
        <v>7</v>
      </c>
      <c r="P478" s="110">
        <v>5</v>
      </c>
      <c r="Q478" s="110">
        <f t="shared" si="98"/>
        <v>3</v>
      </c>
      <c r="R478" s="110">
        <v>3</v>
      </c>
    </row>
    <row r="479" spans="2:18" x14ac:dyDescent="0.2">
      <c r="B479" s="57" t="str">
        <f t="shared" si="91"/>
        <v/>
      </c>
      <c r="D479" s="57" t="str">
        <f t="shared" si="92"/>
        <v/>
      </c>
      <c r="F479" s="57" t="str">
        <f t="shared" si="93"/>
        <v/>
      </c>
      <c r="G479" s="102" t="str">
        <f t="shared" si="99"/>
        <v/>
      </c>
      <c r="H479" s="57">
        <f t="shared" si="94"/>
        <v>0</v>
      </c>
      <c r="I479" s="102">
        <f>VLOOKUP(P479&amp;"_"&amp;Q479,活动关卡!$A$4:$Z$27,3+5*MonsterWaveCallRuleCfg!R479,FALSE)</f>
        <v>8</v>
      </c>
      <c r="J479" s="102">
        <f>VLOOKUP(P479&amp;"_"&amp;Q479,活动关卡!$A$4:$Z$27,4+5*MonsterWaveCallRuleCfg!R479,FALSE)</f>
        <v>2</v>
      </c>
      <c r="K479" s="102">
        <f t="shared" si="96"/>
        <v>1</v>
      </c>
      <c r="L479" s="102" t="str">
        <f>IF(VLOOKUP(P479&amp;"_"&amp;Q479,活动关卡!$A$4:$Z$27,2+5*R479,FALSE)="","","Monster_Season1_Challenge"&amp;P479&amp;"_"&amp;Q479&amp;"_"&amp;R479)</f>
        <v>Monster_Season1_Challenge5_3_4</v>
      </c>
      <c r="M479" s="57">
        <f t="shared" si="97"/>
        <v>1</v>
      </c>
      <c r="O479" s="102">
        <f>VLOOKUP(P479&amp;"_"&amp;Q479,活动关卡!$A$4:$Z$27,6+5*MonsterWaveCallRuleCfg!R479,FALSE)</f>
        <v>14</v>
      </c>
      <c r="P479" s="110">
        <v>5</v>
      </c>
      <c r="Q479" s="110">
        <f t="shared" si="98"/>
        <v>3</v>
      </c>
      <c r="R479" s="110">
        <v>4</v>
      </c>
    </row>
    <row r="480" spans="2:18" x14ac:dyDescent="0.2">
      <c r="B480" s="57" t="str">
        <f t="shared" si="91"/>
        <v>MonsterWaveCallRule_Season1_Challenge5</v>
      </c>
      <c r="C480" s="57">
        <v>4</v>
      </c>
      <c r="D480" s="57" t="str">
        <f t="shared" si="92"/>
        <v>赛季1关卡5第4波</v>
      </c>
      <c r="F480" s="57">
        <f t="shared" si="93"/>
        <v>0</v>
      </c>
      <c r="G480" s="102">
        <f t="shared" si="99"/>
        <v>180</v>
      </c>
      <c r="H480" s="57">
        <f t="shared" si="94"/>
        <v>0</v>
      </c>
      <c r="I480" s="102">
        <f>VLOOKUP(P480&amp;"_"&amp;Q480,活动关卡!$A$4:$Z$27,3+5*MonsterWaveCallRuleCfg!R480,FALSE)</f>
        <v>12</v>
      </c>
      <c r="J480" s="102">
        <f>VLOOKUP(P480&amp;"_"&amp;Q480,活动关卡!$A$4:$Z$27,4+5*MonsterWaveCallRuleCfg!R480,FALSE)</f>
        <v>1.5</v>
      </c>
      <c r="K480" s="102">
        <f t="shared" si="96"/>
        <v>1</v>
      </c>
      <c r="L480" s="102" t="str">
        <f>IF(VLOOKUP(P480&amp;"_"&amp;Q480,活动关卡!$A$4:$Z$27,2+5*R480,FALSE)="","","Monster_Season1_Challenge"&amp;P480&amp;"_"&amp;Q480&amp;"_"&amp;R480)</f>
        <v>Monster_Season1_Challenge5_4_1</v>
      </c>
      <c r="M480" s="57">
        <f t="shared" si="97"/>
        <v>1</v>
      </c>
      <c r="O480" s="102">
        <f>VLOOKUP(P480&amp;"_"&amp;Q480,活动关卡!$A$4:$Z$27,6+5*MonsterWaveCallRuleCfg!R480,FALSE)</f>
        <v>16</v>
      </c>
      <c r="P480" s="110">
        <v>5</v>
      </c>
      <c r="Q480" s="110">
        <f t="shared" si="98"/>
        <v>4</v>
      </c>
      <c r="R480" s="110">
        <v>1</v>
      </c>
    </row>
    <row r="481" spans="2:18" x14ac:dyDescent="0.2">
      <c r="B481" s="57" t="str">
        <f t="shared" si="91"/>
        <v/>
      </c>
      <c r="D481" s="57" t="str">
        <f t="shared" si="92"/>
        <v/>
      </c>
      <c r="F481" s="57" t="str">
        <f t="shared" si="93"/>
        <v/>
      </c>
      <c r="G481" s="102" t="str">
        <f t="shared" si="99"/>
        <v/>
      </c>
      <c r="H481" s="57">
        <f t="shared" si="94"/>
        <v>0</v>
      </c>
      <c r="I481" s="102">
        <f>VLOOKUP(P481&amp;"_"&amp;Q481,活动关卡!$A$4:$Z$27,3+5*MonsterWaveCallRuleCfg!R481,FALSE)</f>
        <v>35</v>
      </c>
      <c r="J481" s="102">
        <f>VLOOKUP(P481&amp;"_"&amp;Q481,活动关卡!$A$4:$Z$27,4+5*MonsterWaveCallRuleCfg!R481,FALSE)</f>
        <v>0.5</v>
      </c>
      <c r="K481" s="102">
        <f t="shared" si="96"/>
        <v>1</v>
      </c>
      <c r="L481" s="102" t="str">
        <f>IF(VLOOKUP(P481&amp;"_"&amp;Q481,活动关卡!$A$4:$Z$27,2+5*R481,FALSE)="","","Monster_Season1_Challenge"&amp;P481&amp;"_"&amp;Q481&amp;"_"&amp;R481)</f>
        <v>Monster_Season1_Challenge5_4_2</v>
      </c>
      <c r="M481" s="57">
        <f t="shared" si="97"/>
        <v>1</v>
      </c>
      <c r="O481" s="102">
        <f>VLOOKUP(P481&amp;"_"&amp;Q481,活动关卡!$A$4:$Z$27,6+5*MonsterWaveCallRuleCfg!R481,FALSE)</f>
        <v>8</v>
      </c>
      <c r="P481" s="110">
        <v>5</v>
      </c>
      <c r="Q481" s="110">
        <f t="shared" si="98"/>
        <v>4</v>
      </c>
      <c r="R481" s="110">
        <v>2</v>
      </c>
    </row>
    <row r="482" spans="2:18" x14ac:dyDescent="0.2">
      <c r="B482" s="57" t="str">
        <f t="shared" si="91"/>
        <v/>
      </c>
      <c r="D482" s="57" t="str">
        <f t="shared" si="92"/>
        <v/>
      </c>
      <c r="F482" s="57" t="str">
        <f t="shared" si="93"/>
        <v/>
      </c>
      <c r="G482" s="102" t="str">
        <f t="shared" si="99"/>
        <v/>
      </c>
      <c r="H482" s="57">
        <f t="shared" si="94"/>
        <v>0</v>
      </c>
      <c r="I482" s="102">
        <f>VLOOKUP(P482&amp;"_"&amp;Q482,活动关卡!$A$4:$Z$27,3+5*MonsterWaveCallRuleCfg!R482,FALSE)</f>
        <v>9</v>
      </c>
      <c r="J482" s="102">
        <f>VLOOKUP(P482&amp;"_"&amp;Q482,活动关卡!$A$4:$Z$27,4+5*MonsterWaveCallRuleCfg!R482,FALSE)</f>
        <v>2</v>
      </c>
      <c r="K482" s="102">
        <f t="shared" si="96"/>
        <v>1</v>
      </c>
      <c r="L482" s="102" t="str">
        <f>IF(VLOOKUP(P482&amp;"_"&amp;Q482,活动关卡!$A$4:$Z$27,2+5*R482,FALSE)="","","Monster_Season1_Challenge"&amp;P482&amp;"_"&amp;Q482&amp;"_"&amp;R482)</f>
        <v>Monster_Season1_Challenge5_4_3</v>
      </c>
      <c r="M482" s="57">
        <f t="shared" si="97"/>
        <v>1</v>
      </c>
      <c r="O482" s="102">
        <f>VLOOKUP(P482&amp;"_"&amp;Q482,活动关卡!$A$4:$Z$27,6+5*MonsterWaveCallRuleCfg!R482,FALSE)</f>
        <v>16</v>
      </c>
      <c r="P482" s="110">
        <v>5</v>
      </c>
      <c r="Q482" s="110">
        <f t="shared" si="98"/>
        <v>4</v>
      </c>
      <c r="R482" s="110">
        <v>3</v>
      </c>
    </row>
    <row r="483" spans="2:18" x14ac:dyDescent="0.2">
      <c r="B483" s="57" t="str">
        <f t="shared" si="91"/>
        <v/>
      </c>
      <c r="D483" s="57" t="str">
        <f t="shared" si="92"/>
        <v/>
      </c>
      <c r="F483" s="57" t="str">
        <f t="shared" si="93"/>
        <v/>
      </c>
      <c r="G483" s="102" t="str">
        <f t="shared" si="99"/>
        <v/>
      </c>
      <c r="H483" s="57" t="str">
        <f t="shared" si="94"/>
        <v/>
      </c>
      <c r="I483" s="102" t="str">
        <f>VLOOKUP(P483&amp;"_"&amp;Q483,活动关卡!$A$4:$Z$27,3+5*MonsterWaveCallRuleCfg!R483,FALSE)</f>
        <v/>
      </c>
      <c r="J483" s="102" t="str">
        <f>VLOOKUP(P483&amp;"_"&amp;Q483,活动关卡!$A$4:$Z$27,4+5*MonsterWaveCallRuleCfg!R483,FALSE)</f>
        <v/>
      </c>
      <c r="K483" s="102" t="str">
        <f t="shared" si="96"/>
        <v/>
      </c>
      <c r="L483" s="102" t="str">
        <f>IF(VLOOKUP(P483&amp;"_"&amp;Q483,活动关卡!$A$4:$Z$27,2+5*R483,FALSE)="","","Monster_Season1_Challenge"&amp;P483&amp;"_"&amp;Q483&amp;"_"&amp;R483)</f>
        <v/>
      </c>
      <c r="M483" s="57" t="str">
        <f t="shared" si="97"/>
        <v/>
      </c>
      <c r="O483" s="102" t="str">
        <f>VLOOKUP(P483&amp;"_"&amp;Q483,活动关卡!$A$4:$Z$27,6+5*MonsterWaveCallRuleCfg!R483,FALSE)</f>
        <v/>
      </c>
      <c r="P483" s="110">
        <v>5</v>
      </c>
      <c r="Q483" s="110">
        <f t="shared" si="98"/>
        <v>4</v>
      </c>
      <c r="R483" s="110">
        <v>4</v>
      </c>
    </row>
    <row r="484" spans="2:18" x14ac:dyDescent="0.2">
      <c r="B484" s="57" t="str">
        <f t="shared" ref="B484" si="100">IF(C484="","","MonsterWaveCallRule_Season1_Challenge"&amp;P484)</f>
        <v>MonsterWaveCallRule_Season1_Challenge5</v>
      </c>
      <c r="C484" s="57">
        <v>5</v>
      </c>
      <c r="D484" s="57" t="str">
        <f t="shared" ref="D484" si="101">IF(C484="","","赛季1关卡"&amp;P484&amp;"第"&amp;C484&amp;"波")</f>
        <v>赛季1关卡5第5波</v>
      </c>
      <c r="F484" s="57">
        <f t="shared" si="93"/>
        <v>0</v>
      </c>
      <c r="G484" s="102">
        <f t="shared" si="99"/>
        <v>180</v>
      </c>
      <c r="H484" s="57">
        <f t="shared" si="94"/>
        <v>0</v>
      </c>
      <c r="I484" s="102">
        <f>VLOOKUP(P484&amp;"_"&amp;Q484,活动关卡!$A$4:$Z$27,3+5*MonsterWaveCallRuleCfg!R484,FALSE)</f>
        <v>13</v>
      </c>
      <c r="J484" s="102">
        <f>VLOOKUP(P484&amp;"_"&amp;Q484,活动关卡!$A$4:$Z$27,4+5*MonsterWaveCallRuleCfg!R484,FALSE)</f>
        <v>1.5</v>
      </c>
      <c r="K484" s="102">
        <f t="shared" si="96"/>
        <v>1</v>
      </c>
      <c r="L484" s="102" t="str">
        <f>IF(VLOOKUP(P484&amp;"_"&amp;Q484,活动关卡!$A$4:$Z$27,2+5*R484,FALSE)="","","Monster_Season1_Challenge"&amp;P484&amp;"_"&amp;Q484&amp;"_"&amp;R484)</f>
        <v>Monster_Season1_Challenge5_5_1</v>
      </c>
      <c r="M484" s="57">
        <f t="shared" si="97"/>
        <v>1</v>
      </c>
      <c r="O484" s="102">
        <f>VLOOKUP(P484&amp;"_"&amp;Q484,活动关卡!$A$4:$Z$27,6+5*MonsterWaveCallRuleCfg!R484,FALSE)</f>
        <v>10</v>
      </c>
      <c r="P484" s="110">
        <v>5</v>
      </c>
      <c r="Q484" s="110">
        <f t="shared" si="98"/>
        <v>5</v>
      </c>
      <c r="R484" s="110">
        <v>1</v>
      </c>
    </row>
    <row r="485" spans="2:18" x14ac:dyDescent="0.2">
      <c r="B485" s="57" t="str">
        <f t="shared" ref="B485:B496" si="102">IF(C485="","","MonsterWaveCallRule_Season1_Challenge"&amp;P485)</f>
        <v/>
      </c>
      <c r="D485" s="57" t="str">
        <f t="shared" ref="D485:D496" si="103">IF(C485="","","赛季1关卡"&amp;P485&amp;"第"&amp;C485&amp;"波")</f>
        <v/>
      </c>
      <c r="F485" s="57" t="str">
        <f t="shared" ref="F485:F496" si="104">IF(C485="","",0)</f>
        <v/>
      </c>
      <c r="G485" s="102" t="str">
        <f t="shared" ref="G485:G499" si="105">IF(C485="","",180)</f>
        <v/>
      </c>
      <c r="H485" s="57">
        <f t="shared" si="94"/>
        <v>0</v>
      </c>
      <c r="I485" s="102">
        <f>VLOOKUP(P485&amp;"_"&amp;Q485,活动关卡!$A$4:$Z$27,3+5*MonsterWaveCallRuleCfg!R485,FALSE)</f>
        <v>40</v>
      </c>
      <c r="J485" s="102">
        <f>VLOOKUP(P485&amp;"_"&amp;Q485,活动关卡!$A$4:$Z$27,4+5*MonsterWaveCallRuleCfg!R485,FALSE)</f>
        <v>0.5</v>
      </c>
      <c r="K485" s="102">
        <f t="shared" si="96"/>
        <v>1</v>
      </c>
      <c r="L485" s="102" t="str">
        <f>IF(VLOOKUP(P485&amp;"_"&amp;Q485,活动关卡!$A$4:$Z$27,2+5*R485,FALSE)="","","Monster_Season1_Challenge"&amp;P485&amp;"_"&amp;Q485&amp;"_"&amp;R485)</f>
        <v>Monster_Season1_Challenge5_5_2</v>
      </c>
      <c r="M485" s="57">
        <f t="shared" si="97"/>
        <v>1</v>
      </c>
      <c r="O485" s="102">
        <f>VLOOKUP(P485&amp;"_"&amp;Q485,活动关卡!$A$4:$Z$27,6+5*MonsterWaveCallRuleCfg!R485,FALSE)</f>
        <v>5</v>
      </c>
      <c r="P485" s="110">
        <v>5</v>
      </c>
      <c r="Q485" s="110">
        <f t="shared" si="98"/>
        <v>5</v>
      </c>
      <c r="R485" s="110">
        <v>2</v>
      </c>
    </row>
    <row r="486" spans="2:18" x14ac:dyDescent="0.2">
      <c r="B486" s="57" t="str">
        <f t="shared" si="102"/>
        <v/>
      </c>
      <c r="D486" s="57" t="str">
        <f t="shared" si="103"/>
        <v/>
      </c>
      <c r="F486" s="57" t="str">
        <f t="shared" si="104"/>
        <v/>
      </c>
      <c r="G486" s="102" t="str">
        <f t="shared" si="105"/>
        <v/>
      </c>
      <c r="H486" s="57">
        <f t="shared" si="94"/>
        <v>0</v>
      </c>
      <c r="I486" s="102">
        <f>VLOOKUP(P486&amp;"_"&amp;Q486,活动关卡!$A$4:$Z$27,3+5*MonsterWaveCallRuleCfg!R486,FALSE)</f>
        <v>10</v>
      </c>
      <c r="J486" s="102">
        <f>VLOOKUP(P486&amp;"_"&amp;Q486,活动关卡!$A$4:$Z$27,4+5*MonsterWaveCallRuleCfg!R486,FALSE)</f>
        <v>2</v>
      </c>
      <c r="K486" s="102">
        <f t="shared" si="96"/>
        <v>1</v>
      </c>
      <c r="L486" s="102" t="str">
        <f>IF(VLOOKUP(P486&amp;"_"&amp;Q486,活动关卡!$A$4:$Z$27,2+5*R486,FALSE)="","","Monster_Season1_Challenge"&amp;P486&amp;"_"&amp;Q486&amp;"_"&amp;R486)</f>
        <v>Monster_Season1_Challenge5_5_3</v>
      </c>
      <c r="M486" s="57">
        <f t="shared" si="97"/>
        <v>1</v>
      </c>
      <c r="O486" s="102">
        <f>VLOOKUP(P486&amp;"_"&amp;Q486,活动关卡!$A$4:$Z$27,6+5*MonsterWaveCallRuleCfg!R486,FALSE)</f>
        <v>10</v>
      </c>
      <c r="P486" s="110">
        <v>5</v>
      </c>
      <c r="Q486" s="110">
        <f t="shared" si="98"/>
        <v>5</v>
      </c>
      <c r="R486" s="110">
        <v>3</v>
      </c>
    </row>
    <row r="487" spans="2:18" x14ac:dyDescent="0.2">
      <c r="B487" s="57" t="str">
        <f t="shared" si="102"/>
        <v/>
      </c>
      <c r="D487" s="57" t="str">
        <f t="shared" si="103"/>
        <v/>
      </c>
      <c r="F487" s="57" t="str">
        <f t="shared" si="104"/>
        <v/>
      </c>
      <c r="G487" s="102" t="str">
        <f t="shared" si="105"/>
        <v/>
      </c>
      <c r="H487" s="57">
        <f t="shared" si="94"/>
        <v>0</v>
      </c>
      <c r="I487" s="102">
        <f>VLOOKUP(P487&amp;"_"&amp;Q487,活动关卡!$A$4:$Z$27,3+5*MonsterWaveCallRuleCfg!R487,FALSE)</f>
        <v>20</v>
      </c>
      <c r="J487" s="102">
        <f>VLOOKUP(P487&amp;"_"&amp;Q487,活动关卡!$A$4:$Z$27,4+5*MonsterWaveCallRuleCfg!R487,FALSE)</f>
        <v>1</v>
      </c>
      <c r="K487" s="102">
        <f t="shared" si="96"/>
        <v>1</v>
      </c>
      <c r="L487" s="102" t="str">
        <f>IF(VLOOKUP(P487&amp;"_"&amp;Q487,活动关卡!$A$4:$Z$27,2+5*R487,FALSE)="","","Monster_Season1_Challenge"&amp;P487&amp;"_"&amp;Q487&amp;"_"&amp;R487)</f>
        <v>Monster_Season1_Challenge5_5_4</v>
      </c>
      <c r="M487" s="57">
        <f t="shared" si="97"/>
        <v>1</v>
      </c>
      <c r="O487" s="102">
        <f>VLOOKUP(P487&amp;"_"&amp;Q487,活动关卡!$A$4:$Z$27,6+5*MonsterWaveCallRuleCfg!R487,FALSE)</f>
        <v>10</v>
      </c>
      <c r="P487" s="110">
        <v>5</v>
      </c>
      <c r="Q487" s="110">
        <f t="shared" si="98"/>
        <v>5</v>
      </c>
      <c r="R487" s="110">
        <v>4</v>
      </c>
    </row>
    <row r="488" spans="2:18" x14ac:dyDescent="0.2">
      <c r="B488" s="57" t="str">
        <f t="shared" si="102"/>
        <v>MonsterWaveCallRule_Season1_Challenge5</v>
      </c>
      <c r="C488" s="57">
        <v>6</v>
      </c>
      <c r="D488" s="57" t="str">
        <f t="shared" si="103"/>
        <v>赛季1关卡5第6波</v>
      </c>
      <c r="F488" s="57">
        <f t="shared" si="104"/>
        <v>0</v>
      </c>
      <c r="G488" s="102">
        <f t="shared" si="105"/>
        <v>180</v>
      </c>
      <c r="H488" s="57">
        <f t="shared" si="94"/>
        <v>0</v>
      </c>
      <c r="I488" s="102">
        <f>VLOOKUP(P488&amp;"_"&amp;Q488,活动关卡!$A$4:$Z$27,3+5*MonsterWaveCallRuleCfg!R488,FALSE)</f>
        <v>15</v>
      </c>
      <c r="J488" s="102">
        <f>VLOOKUP(P488&amp;"_"&amp;Q488,活动关卡!$A$4:$Z$27,4+5*MonsterWaveCallRuleCfg!R488,FALSE)</f>
        <v>1.5</v>
      </c>
      <c r="K488" s="102">
        <f t="shared" ref="K488:K499" si="106">IF(I488="","",1)</f>
        <v>1</v>
      </c>
      <c r="L488" s="102" t="str">
        <f>IF(VLOOKUP(P488&amp;"_"&amp;Q488,活动关卡!$A$4:$Z$27,2+5*R488,FALSE)="","","Monster_Season1_Challenge"&amp;P488&amp;"_"&amp;Q488&amp;"_"&amp;R488)</f>
        <v>Monster_Season1_Challenge5_6_1</v>
      </c>
      <c r="M488" s="57">
        <f t="shared" ref="M488:M499" si="107">IF(I488="","",1)</f>
        <v>1</v>
      </c>
      <c r="O488" s="102">
        <f>VLOOKUP(P488&amp;"_"&amp;Q488,活动关卡!$A$4:$Z$27,6+5*MonsterWaveCallRuleCfg!R488,FALSE)</f>
        <v>11</v>
      </c>
      <c r="P488" s="110">
        <v>5</v>
      </c>
      <c r="Q488" s="110">
        <f t="shared" si="98"/>
        <v>6</v>
      </c>
      <c r="R488" s="110">
        <v>1</v>
      </c>
    </row>
    <row r="489" spans="2:18" x14ac:dyDescent="0.2">
      <c r="B489" s="57" t="str">
        <f t="shared" si="102"/>
        <v/>
      </c>
      <c r="D489" s="57" t="str">
        <f t="shared" si="103"/>
        <v/>
      </c>
      <c r="F489" s="57" t="str">
        <f t="shared" si="104"/>
        <v/>
      </c>
      <c r="G489" s="102" t="str">
        <f t="shared" si="105"/>
        <v/>
      </c>
      <c r="H489" s="57">
        <f t="shared" si="94"/>
        <v>0</v>
      </c>
      <c r="I489" s="102">
        <f>VLOOKUP(P489&amp;"_"&amp;Q489,活动关卡!$A$4:$Z$27,3+5*MonsterWaveCallRuleCfg!R489,FALSE)</f>
        <v>11</v>
      </c>
      <c r="J489" s="102">
        <f>VLOOKUP(P489&amp;"_"&amp;Q489,活动关卡!$A$4:$Z$27,4+5*MonsterWaveCallRuleCfg!R489,FALSE)</f>
        <v>2</v>
      </c>
      <c r="K489" s="102">
        <f t="shared" si="106"/>
        <v>1</v>
      </c>
      <c r="L489" s="102" t="str">
        <f>IF(VLOOKUP(P489&amp;"_"&amp;Q489,活动关卡!$A$4:$Z$27,2+5*R489,FALSE)="","","Monster_Season1_Challenge"&amp;P489&amp;"_"&amp;Q489&amp;"_"&amp;R489)</f>
        <v>Monster_Season1_Challenge5_6_2</v>
      </c>
      <c r="M489" s="57">
        <f t="shared" si="107"/>
        <v>1</v>
      </c>
      <c r="O489" s="102">
        <f>VLOOKUP(P489&amp;"_"&amp;Q489,活动关卡!$A$4:$Z$27,6+5*MonsterWaveCallRuleCfg!R489,FALSE)</f>
        <v>11</v>
      </c>
      <c r="P489" s="110">
        <v>5</v>
      </c>
      <c r="Q489" s="110">
        <f t="shared" si="98"/>
        <v>6</v>
      </c>
      <c r="R489" s="110">
        <v>2</v>
      </c>
    </row>
    <row r="490" spans="2:18" x14ac:dyDescent="0.2">
      <c r="B490" s="57" t="str">
        <f t="shared" si="102"/>
        <v/>
      </c>
      <c r="D490" s="57" t="str">
        <f t="shared" si="103"/>
        <v/>
      </c>
      <c r="F490" s="57" t="str">
        <f t="shared" si="104"/>
        <v/>
      </c>
      <c r="G490" s="102" t="str">
        <f t="shared" si="105"/>
        <v/>
      </c>
      <c r="H490" s="57">
        <f t="shared" si="94"/>
        <v>0</v>
      </c>
      <c r="I490" s="102">
        <f>VLOOKUP(P490&amp;"_"&amp;Q490,活动关卡!$A$4:$Z$27,3+5*MonsterWaveCallRuleCfg!R490,FALSE)</f>
        <v>15</v>
      </c>
      <c r="J490" s="102">
        <f>VLOOKUP(P490&amp;"_"&amp;Q490,活动关卡!$A$4:$Z$27,4+5*MonsterWaveCallRuleCfg!R490,FALSE)</f>
        <v>1.5</v>
      </c>
      <c r="K490" s="102">
        <f t="shared" si="106"/>
        <v>1</v>
      </c>
      <c r="L490" s="102" t="str">
        <f>IF(VLOOKUP(P490&amp;"_"&amp;Q490,活动关卡!$A$4:$Z$27,2+5*R490,FALSE)="","","Monster_Season1_Challenge"&amp;P490&amp;"_"&amp;Q490&amp;"_"&amp;R490)</f>
        <v>Monster_Season1_Challenge5_6_3</v>
      </c>
      <c r="M490" s="57">
        <f t="shared" si="107"/>
        <v>1</v>
      </c>
      <c r="O490" s="102">
        <f>VLOOKUP(P490&amp;"_"&amp;Q490,活动关卡!$A$4:$Z$27,6+5*MonsterWaveCallRuleCfg!R490,FALSE)</f>
        <v>5</v>
      </c>
      <c r="P490" s="110">
        <v>5</v>
      </c>
      <c r="Q490" s="110">
        <f t="shared" si="98"/>
        <v>6</v>
      </c>
      <c r="R490" s="110">
        <v>3</v>
      </c>
    </row>
    <row r="491" spans="2:18" x14ac:dyDescent="0.2">
      <c r="B491" s="57" t="str">
        <f t="shared" si="102"/>
        <v/>
      </c>
      <c r="D491" s="57" t="str">
        <f t="shared" si="103"/>
        <v/>
      </c>
      <c r="F491" s="57" t="str">
        <f t="shared" si="104"/>
        <v/>
      </c>
      <c r="G491" s="102" t="str">
        <f t="shared" si="105"/>
        <v/>
      </c>
      <c r="H491" s="57">
        <f t="shared" si="94"/>
        <v>0</v>
      </c>
      <c r="I491" s="102">
        <f>VLOOKUP(P491&amp;"_"&amp;Q491,活动关卡!$A$4:$Z$27,3+5*MonsterWaveCallRuleCfg!R491,FALSE)</f>
        <v>23</v>
      </c>
      <c r="J491" s="102">
        <f>VLOOKUP(P491&amp;"_"&amp;Q491,活动关卡!$A$4:$Z$27,4+5*MonsterWaveCallRuleCfg!R491,FALSE)</f>
        <v>1</v>
      </c>
      <c r="K491" s="102">
        <f t="shared" si="106"/>
        <v>1</v>
      </c>
      <c r="L491" s="102" t="str">
        <f>IF(VLOOKUP(P491&amp;"_"&amp;Q491,活动关卡!$A$4:$Z$27,2+5*R491,FALSE)="","","Monster_Season1_Challenge"&amp;P491&amp;"_"&amp;Q491&amp;"_"&amp;R491)</f>
        <v>Monster_Season1_Challenge5_6_4</v>
      </c>
      <c r="M491" s="57">
        <f t="shared" si="107"/>
        <v>1</v>
      </c>
      <c r="O491" s="102">
        <f>VLOOKUP(P491&amp;"_"&amp;Q491,活动关卡!$A$4:$Z$27,6+5*MonsterWaveCallRuleCfg!R491,FALSE)</f>
        <v>11</v>
      </c>
      <c r="P491" s="110">
        <v>5</v>
      </c>
      <c r="Q491" s="110">
        <f t="shared" si="98"/>
        <v>6</v>
      </c>
      <c r="R491" s="110">
        <v>4</v>
      </c>
    </row>
    <row r="492" spans="2:18" x14ac:dyDescent="0.2">
      <c r="B492" s="57" t="str">
        <f t="shared" si="102"/>
        <v>MonsterWaveCallRule_Season1_Challenge5</v>
      </c>
      <c r="C492" s="57">
        <v>7</v>
      </c>
      <c r="D492" s="57" t="str">
        <f t="shared" si="103"/>
        <v>赛季1关卡5第7波</v>
      </c>
      <c r="F492" s="57">
        <f t="shared" si="104"/>
        <v>0</v>
      </c>
      <c r="G492" s="102">
        <f t="shared" si="105"/>
        <v>180</v>
      </c>
      <c r="H492" s="57">
        <f t="shared" si="94"/>
        <v>0</v>
      </c>
      <c r="I492" s="102">
        <f>VLOOKUP(P492&amp;"_"&amp;Q492,活动关卡!$A$4:$Z$27,3+5*MonsterWaveCallRuleCfg!R492,FALSE)</f>
        <v>25</v>
      </c>
      <c r="J492" s="102">
        <f>VLOOKUP(P492&amp;"_"&amp;Q492,活动关卡!$A$4:$Z$27,4+5*MonsterWaveCallRuleCfg!R492,FALSE)</f>
        <v>1</v>
      </c>
      <c r="K492" s="102">
        <f t="shared" si="106"/>
        <v>1</v>
      </c>
      <c r="L492" s="102" t="str">
        <f>IF(VLOOKUP(P492&amp;"_"&amp;Q492,活动关卡!$A$4:$Z$27,2+5*R492,FALSE)="","","Monster_Season1_Challenge"&amp;P492&amp;"_"&amp;Q492&amp;"_"&amp;R492)</f>
        <v>Monster_Season1_Challenge5_7_1</v>
      </c>
      <c r="M492" s="57">
        <f t="shared" si="107"/>
        <v>1</v>
      </c>
      <c r="O492" s="102">
        <f>VLOOKUP(P492&amp;"_"&amp;Q492,活动关卡!$A$4:$Z$27,6+5*MonsterWaveCallRuleCfg!R492,FALSE)</f>
        <v>6</v>
      </c>
      <c r="P492" s="110">
        <v>5</v>
      </c>
      <c r="Q492" s="110">
        <f t="shared" si="98"/>
        <v>7</v>
      </c>
      <c r="R492" s="110">
        <v>1</v>
      </c>
    </row>
    <row r="493" spans="2:18" x14ac:dyDescent="0.2">
      <c r="B493" s="57" t="str">
        <f t="shared" si="102"/>
        <v/>
      </c>
      <c r="D493" s="57" t="str">
        <f t="shared" si="103"/>
        <v/>
      </c>
      <c r="F493" s="57" t="str">
        <f t="shared" si="104"/>
        <v/>
      </c>
      <c r="G493" s="102" t="str">
        <f t="shared" si="105"/>
        <v/>
      </c>
      <c r="H493" s="57">
        <f t="shared" si="94"/>
        <v>0</v>
      </c>
      <c r="I493" s="102">
        <f>VLOOKUP(P493&amp;"_"&amp;Q493,活动关卡!$A$4:$Z$27,3+5*MonsterWaveCallRuleCfg!R493,FALSE)</f>
        <v>25</v>
      </c>
      <c r="J493" s="102">
        <f>VLOOKUP(P493&amp;"_"&amp;Q493,活动关卡!$A$4:$Z$27,4+5*MonsterWaveCallRuleCfg!R493,FALSE)</f>
        <v>1</v>
      </c>
      <c r="K493" s="102">
        <f t="shared" si="106"/>
        <v>1</v>
      </c>
      <c r="L493" s="102" t="str">
        <f>IF(VLOOKUP(P493&amp;"_"&amp;Q493,活动关卡!$A$4:$Z$27,2+5*R493,FALSE)="","","Monster_Season1_Challenge"&amp;P493&amp;"_"&amp;Q493&amp;"_"&amp;R493)</f>
        <v>Monster_Season1_Challenge5_7_2</v>
      </c>
      <c r="M493" s="57">
        <f t="shared" si="107"/>
        <v>1</v>
      </c>
      <c r="O493" s="102">
        <f>VLOOKUP(P493&amp;"_"&amp;Q493,活动关卡!$A$4:$Z$27,6+5*MonsterWaveCallRuleCfg!R493,FALSE)</f>
        <v>3</v>
      </c>
      <c r="P493" s="110">
        <v>5</v>
      </c>
      <c r="Q493" s="110">
        <f t="shared" si="98"/>
        <v>7</v>
      </c>
      <c r="R493" s="110">
        <v>2</v>
      </c>
    </row>
    <row r="494" spans="2:18" x14ac:dyDescent="0.2">
      <c r="B494" s="57" t="str">
        <f t="shared" si="102"/>
        <v/>
      </c>
      <c r="D494" s="57" t="str">
        <f t="shared" si="103"/>
        <v/>
      </c>
      <c r="F494" s="57" t="str">
        <f t="shared" si="104"/>
        <v/>
      </c>
      <c r="G494" s="102" t="str">
        <f t="shared" si="105"/>
        <v/>
      </c>
      <c r="H494" s="57">
        <f t="shared" si="94"/>
        <v>0</v>
      </c>
      <c r="I494" s="102">
        <f>VLOOKUP(P494&amp;"_"&amp;Q494,活动关卡!$A$4:$Z$27,3+5*MonsterWaveCallRuleCfg!R494,FALSE)</f>
        <v>125</v>
      </c>
      <c r="J494" s="102">
        <f>VLOOKUP(P494&amp;"_"&amp;Q494,活动关卡!$A$4:$Z$27,4+5*MonsterWaveCallRuleCfg!R494,FALSE)</f>
        <v>0.2</v>
      </c>
      <c r="K494" s="102">
        <f t="shared" si="106"/>
        <v>1</v>
      </c>
      <c r="L494" s="102" t="str">
        <f>IF(VLOOKUP(P494&amp;"_"&amp;Q494,活动关卡!$A$4:$Z$27,2+5*R494,FALSE)="","","Monster_Season1_Challenge"&amp;P494&amp;"_"&amp;Q494&amp;"_"&amp;R494)</f>
        <v>Monster_Season1_Challenge5_7_3</v>
      </c>
      <c r="M494" s="57">
        <f t="shared" si="107"/>
        <v>1</v>
      </c>
      <c r="O494" s="102">
        <f>VLOOKUP(P494&amp;"_"&amp;Q494,活动关卡!$A$4:$Z$27,6+5*MonsterWaveCallRuleCfg!R494,FALSE)</f>
        <v>2</v>
      </c>
      <c r="P494" s="110">
        <v>5</v>
      </c>
      <c r="Q494" s="110">
        <f t="shared" si="98"/>
        <v>7</v>
      </c>
      <c r="R494" s="110">
        <v>3</v>
      </c>
    </row>
    <row r="495" spans="2:18" x14ac:dyDescent="0.2">
      <c r="B495" s="57" t="str">
        <f t="shared" si="102"/>
        <v/>
      </c>
      <c r="D495" s="57" t="str">
        <f t="shared" si="103"/>
        <v/>
      </c>
      <c r="F495" s="57" t="str">
        <f t="shared" si="104"/>
        <v/>
      </c>
      <c r="G495" s="102" t="str">
        <f t="shared" si="105"/>
        <v/>
      </c>
      <c r="H495" s="57">
        <f t="shared" si="94"/>
        <v>0</v>
      </c>
      <c r="I495" s="102">
        <f>VLOOKUP(P495&amp;"_"&amp;Q495,活动关卡!$A$4:$Z$27,3+5*MonsterWaveCallRuleCfg!R495,FALSE)</f>
        <v>25</v>
      </c>
      <c r="J495" s="102">
        <f>VLOOKUP(P495&amp;"_"&amp;Q495,活动关卡!$A$4:$Z$27,4+5*MonsterWaveCallRuleCfg!R495,FALSE)</f>
        <v>1</v>
      </c>
      <c r="K495" s="102">
        <f t="shared" si="106"/>
        <v>1</v>
      </c>
      <c r="L495" s="102" t="str">
        <f>IF(VLOOKUP(P495&amp;"_"&amp;Q495,活动关卡!$A$4:$Z$27,2+5*R495,FALSE)="","","Monster_Season1_Challenge"&amp;P495&amp;"_"&amp;Q495&amp;"_"&amp;R495)</f>
        <v>Monster_Season1_Challenge5_7_4</v>
      </c>
      <c r="M495" s="57">
        <f t="shared" si="107"/>
        <v>1</v>
      </c>
      <c r="O495" s="102">
        <f>VLOOKUP(P495&amp;"_"&amp;Q495,活动关卡!$A$4:$Z$27,6+5*MonsterWaveCallRuleCfg!R495,FALSE)</f>
        <v>6</v>
      </c>
      <c r="P495" s="110">
        <v>5</v>
      </c>
      <c r="Q495" s="110">
        <f t="shared" si="98"/>
        <v>7</v>
      </c>
      <c r="R495" s="110">
        <v>4</v>
      </c>
    </row>
    <row r="496" spans="2:18" x14ac:dyDescent="0.2">
      <c r="B496" s="57" t="str">
        <f t="shared" si="102"/>
        <v>MonsterWaveCallRule_Season1_Challenge5</v>
      </c>
      <c r="C496" s="57">
        <v>8</v>
      </c>
      <c r="D496" s="57" t="str">
        <f t="shared" si="103"/>
        <v>赛季1关卡5第8波</v>
      </c>
      <c r="F496" s="57">
        <f t="shared" si="104"/>
        <v>0</v>
      </c>
      <c r="G496" s="102">
        <f t="shared" si="105"/>
        <v>180</v>
      </c>
      <c r="H496" s="57">
        <f t="shared" si="94"/>
        <v>0</v>
      </c>
      <c r="I496" s="102">
        <f>VLOOKUP(P496&amp;"_"&amp;Q496,活动关卡!$A$4:$Z$27,3+5*MonsterWaveCallRuleCfg!R496,FALSE)</f>
        <v>1</v>
      </c>
      <c r="J496" s="102">
        <f>VLOOKUP(P496&amp;"_"&amp;Q496,活动关卡!$A$4:$Z$27,4+5*MonsterWaveCallRuleCfg!R496,FALSE)</f>
        <v>0</v>
      </c>
      <c r="K496" s="102">
        <f t="shared" si="106"/>
        <v>1</v>
      </c>
      <c r="L496" s="102" t="str">
        <f>IF(VLOOKUP(P496&amp;"_"&amp;Q496,活动关卡!$A$4:$Z$27,2+5*R496,FALSE)="","","Monster_Season1_Challenge"&amp;P496&amp;"_"&amp;Q496&amp;"_"&amp;R496)</f>
        <v>Monster_Season1_Challenge5_8_1</v>
      </c>
      <c r="M496" s="57">
        <f t="shared" si="107"/>
        <v>1</v>
      </c>
      <c r="O496" s="102">
        <f>VLOOKUP(P496&amp;"_"&amp;Q496,活动关卡!$A$4:$Z$27,6+5*MonsterWaveCallRuleCfg!R496,FALSE)</f>
        <v>192</v>
      </c>
      <c r="P496" s="110">
        <v>5</v>
      </c>
      <c r="Q496" s="110">
        <f t="shared" si="98"/>
        <v>8</v>
      </c>
      <c r="R496" s="110">
        <v>1</v>
      </c>
    </row>
    <row r="497" spans="2:18" x14ac:dyDescent="0.2">
      <c r="G497" s="102" t="str">
        <f t="shared" si="105"/>
        <v/>
      </c>
      <c r="H497" s="57">
        <f t="shared" si="94"/>
        <v>0</v>
      </c>
      <c r="I497" s="102">
        <f>VLOOKUP(P497&amp;"_"&amp;Q497,活动关卡!$A$4:$Z$27,3+5*MonsterWaveCallRuleCfg!R497,FALSE)</f>
        <v>55</v>
      </c>
      <c r="J497" s="102">
        <f>VLOOKUP(P497&amp;"_"&amp;Q497,活动关卡!$A$4:$Z$27,4+5*MonsterWaveCallRuleCfg!R497,FALSE)</f>
        <v>0.5</v>
      </c>
      <c r="K497" s="102">
        <f t="shared" si="106"/>
        <v>1</v>
      </c>
      <c r="L497" s="102" t="str">
        <f>IF(VLOOKUP(P497&amp;"_"&amp;Q497,活动关卡!$A$4:$Z$27,2+5*R497,FALSE)="","","Monster_Season1_Challenge"&amp;P497&amp;"_"&amp;Q497&amp;"_"&amp;R497)</f>
        <v>Monster_Season1_Challenge5_8_2</v>
      </c>
      <c r="M497" s="57">
        <f t="shared" si="107"/>
        <v>1</v>
      </c>
      <c r="O497" s="102">
        <f>VLOOKUP(P497&amp;"_"&amp;Q497,活动关卡!$A$4:$Z$27,6+5*MonsterWaveCallRuleCfg!R497,FALSE)</f>
        <v>5</v>
      </c>
      <c r="P497" s="110">
        <v>5</v>
      </c>
      <c r="Q497" s="110">
        <f t="shared" si="98"/>
        <v>8</v>
      </c>
      <c r="R497" s="110">
        <v>2</v>
      </c>
    </row>
    <row r="498" spans="2:18" x14ac:dyDescent="0.2">
      <c r="G498" s="102" t="str">
        <f t="shared" si="105"/>
        <v/>
      </c>
      <c r="H498" s="57">
        <f t="shared" si="94"/>
        <v>0</v>
      </c>
      <c r="I498" s="102">
        <f>VLOOKUP(P498&amp;"_"&amp;Q498,活动关卡!$A$4:$Z$27,3+5*MonsterWaveCallRuleCfg!R498,FALSE)</f>
        <v>14</v>
      </c>
      <c r="J498" s="102">
        <f>VLOOKUP(P498&amp;"_"&amp;Q498,活动关卡!$A$4:$Z$27,4+5*MonsterWaveCallRuleCfg!R498,FALSE)</f>
        <v>2</v>
      </c>
      <c r="K498" s="102">
        <f t="shared" si="106"/>
        <v>1</v>
      </c>
      <c r="L498" s="102" t="str">
        <f>IF(VLOOKUP(P498&amp;"_"&amp;Q498,活动关卡!$A$4:$Z$27,2+5*R498,FALSE)="","","Monster_Season1_Challenge"&amp;P498&amp;"_"&amp;Q498&amp;"_"&amp;R498)</f>
        <v>Monster_Season1_Challenge5_8_3</v>
      </c>
      <c r="M498" s="57">
        <f t="shared" si="107"/>
        <v>1</v>
      </c>
      <c r="O498" s="102">
        <f>VLOOKUP(P498&amp;"_"&amp;Q498,活动关卡!$A$4:$Z$27,6+5*MonsterWaveCallRuleCfg!R498,FALSE)</f>
        <v>10</v>
      </c>
      <c r="P498" s="110">
        <v>5</v>
      </c>
      <c r="Q498" s="110">
        <f t="shared" si="98"/>
        <v>8</v>
      </c>
      <c r="R498" s="110">
        <v>3</v>
      </c>
    </row>
    <row r="499" spans="2:18" x14ac:dyDescent="0.2">
      <c r="G499" s="102" t="str">
        <f t="shared" si="105"/>
        <v/>
      </c>
      <c r="H499" s="57">
        <f t="shared" si="94"/>
        <v>0</v>
      </c>
      <c r="I499" s="102">
        <f>VLOOKUP(P499&amp;"_"&amp;Q499,活动关卡!$A$4:$Z$27,3+5*MonsterWaveCallRuleCfg!R499,FALSE)</f>
        <v>1</v>
      </c>
      <c r="J499" s="102">
        <f>VLOOKUP(P499&amp;"_"&amp;Q499,活动关卡!$A$4:$Z$27,4+5*MonsterWaveCallRuleCfg!R499,FALSE)</f>
        <v>0</v>
      </c>
      <c r="K499" s="102">
        <f t="shared" si="106"/>
        <v>1</v>
      </c>
      <c r="L499" s="102" t="str">
        <f>IF(VLOOKUP(P499&amp;"_"&amp;Q499,活动关卡!$A$4:$Z$27,2+5*R499,FALSE)="","","Monster_Season1_Challenge"&amp;P499&amp;"_"&amp;Q499&amp;"_"&amp;R499)</f>
        <v>Monster_Season1_Challenge5_8_4</v>
      </c>
      <c r="M499" s="57">
        <f t="shared" si="107"/>
        <v>1</v>
      </c>
      <c r="O499" s="102">
        <f>VLOOKUP(P499&amp;"_"&amp;Q499,活动关卡!$A$4:$Z$27,6+5*MonsterWaveCallRuleCfg!R499,FALSE)</f>
        <v>10</v>
      </c>
      <c r="P499" s="110">
        <v>5</v>
      </c>
      <c r="Q499" s="110">
        <f t="shared" si="98"/>
        <v>8</v>
      </c>
      <c r="R499" s="110">
        <v>4</v>
      </c>
    </row>
    <row r="500" spans="2:18" s="166" customFormat="1" x14ac:dyDescent="0.2"/>
    <row r="501" spans="2:18" x14ac:dyDescent="0.2">
      <c r="B501" s="57" t="str">
        <f t="shared" ref="B501:B532" si="108">IF(C501="","","MonsterWaveCallRule_Season2_Challenge"&amp;P501)</f>
        <v>MonsterWaveCallRule_Season2_Challenge1</v>
      </c>
      <c r="C501" s="57">
        <v>1</v>
      </c>
      <c r="D501" s="57" t="str">
        <f t="shared" ref="D501:D532" si="109">IF(C501="","","赛季2关卡"&amp;P501&amp;"第"&amp;C501&amp;"波")</f>
        <v>赛季2关卡1第1波</v>
      </c>
      <c r="F501" s="57">
        <f t="shared" ref="F501:F564" si="110">IF(C501="","",0)</f>
        <v>0</v>
      </c>
      <c r="G501" s="102">
        <f>IF(C501="","",180)</f>
        <v>180</v>
      </c>
      <c r="H501" s="57">
        <f t="shared" ref="H501:H564" si="111">IF(I501="","",0)</f>
        <v>0</v>
      </c>
      <c r="I501" s="102">
        <f>VLOOKUP(P501&amp;"_"&amp;Q501,活动关卡!$A$60:$Z$83,3+5*MonsterWaveCallRuleCfg!R501,FALSE)</f>
        <v>5</v>
      </c>
      <c r="J501" s="102">
        <f>VLOOKUP(P501&amp;"_"&amp;Q501,活动关卡!$A$60:$Z$83,4+5*MonsterWaveCallRuleCfg!R501,FALSE)</f>
        <v>2</v>
      </c>
      <c r="K501" s="102">
        <f t="shared" ref="K501:K564" si="112">IF(I501="","",1)</f>
        <v>1</v>
      </c>
      <c r="L501" s="102" t="str">
        <f>IF(VLOOKUP(P501&amp;"_"&amp;Q501,活动关卡!$A$60:$Z$83,2+5*R501,FALSE)="","","Monster_Season2_Challenge"&amp;P501&amp;"_"&amp;Q501&amp;"_"&amp;R501)</f>
        <v>Monster_Season2_Challenge1_1_1</v>
      </c>
      <c r="M501" s="57">
        <f t="shared" ref="M501:M564" si="113">IF(I501="","",1)</f>
        <v>1</v>
      </c>
      <c r="O501" s="102">
        <f>VLOOKUP(P501&amp;"_"&amp;Q501,活动关卡!$A$4:$Z$27,6+5*MonsterWaveCallRuleCfg!R501,FALSE)</f>
        <v>35</v>
      </c>
      <c r="P501" s="110">
        <v>1</v>
      </c>
      <c r="Q501" s="110">
        <f>C501</f>
        <v>1</v>
      </c>
      <c r="R501" s="110">
        <v>1</v>
      </c>
    </row>
    <row r="502" spans="2:18" x14ac:dyDescent="0.2">
      <c r="B502" s="57" t="str">
        <f t="shared" si="108"/>
        <v/>
      </c>
      <c r="D502" s="57" t="str">
        <f t="shared" si="109"/>
        <v/>
      </c>
      <c r="F502" s="57" t="str">
        <f t="shared" si="110"/>
        <v/>
      </c>
      <c r="G502" s="102" t="str">
        <f t="shared" ref="G502:G565" si="114">IF(C502="","",180)</f>
        <v/>
      </c>
      <c r="H502" s="57">
        <f t="shared" si="111"/>
        <v>0</v>
      </c>
      <c r="I502" s="102">
        <f>VLOOKUP(P502&amp;"_"&amp;Q502,活动关卡!$A$60:$Z$83,3+5*MonsterWaveCallRuleCfg!R502,FALSE)</f>
        <v>3</v>
      </c>
      <c r="J502" s="102">
        <f>VLOOKUP(P502&amp;"_"&amp;Q502,活动关卡!$A$60:$Z$83,4+5*MonsterWaveCallRuleCfg!R502,FALSE)</f>
        <v>3</v>
      </c>
      <c r="K502" s="102">
        <f t="shared" si="112"/>
        <v>1</v>
      </c>
      <c r="L502" s="102" t="str">
        <f>IF(VLOOKUP(P502&amp;"_"&amp;Q502,活动关卡!$A$60:$Z$83,2+5*R502,FALSE)="","","Monster_Season2_Challenge"&amp;P502&amp;"_"&amp;Q502&amp;"_"&amp;R502)</f>
        <v>Monster_Season2_Challenge1_1_2</v>
      </c>
      <c r="M502" s="57">
        <f t="shared" si="113"/>
        <v>1</v>
      </c>
      <c r="O502" s="102">
        <f>VLOOKUP(P502&amp;"_"&amp;Q502,活动关卡!$A$4:$Z$27,6+5*MonsterWaveCallRuleCfg!R502,FALSE)</f>
        <v>141</v>
      </c>
      <c r="P502" s="110">
        <v>1</v>
      </c>
      <c r="Q502" s="110">
        <f>IF(C502="",Q501,C502)</f>
        <v>1</v>
      </c>
      <c r="R502" s="110">
        <v>2</v>
      </c>
    </row>
    <row r="503" spans="2:18" x14ac:dyDescent="0.2">
      <c r="B503" s="57" t="str">
        <f t="shared" si="108"/>
        <v/>
      </c>
      <c r="D503" s="57" t="str">
        <f t="shared" si="109"/>
        <v/>
      </c>
      <c r="F503" s="57" t="str">
        <f t="shared" si="110"/>
        <v/>
      </c>
      <c r="G503" s="102" t="str">
        <f t="shared" si="114"/>
        <v/>
      </c>
      <c r="H503" s="57" t="str">
        <f t="shared" si="111"/>
        <v/>
      </c>
      <c r="I503" s="102" t="str">
        <f>VLOOKUP(P503&amp;"_"&amp;Q503,活动关卡!$A$60:$Z$83,3+5*MonsterWaveCallRuleCfg!R503,FALSE)</f>
        <v/>
      </c>
      <c r="J503" s="102" t="str">
        <f>VLOOKUP(P503&amp;"_"&amp;Q503,活动关卡!$A$60:$Z$83,4+5*MonsterWaveCallRuleCfg!R503,FALSE)</f>
        <v/>
      </c>
      <c r="K503" s="102" t="str">
        <f t="shared" si="112"/>
        <v/>
      </c>
      <c r="L503" s="102" t="str">
        <f>IF(VLOOKUP(P503&amp;"_"&amp;Q503,活动关卡!$A$60:$Z$83,2+5*R503,FALSE)="","","Monster_Season2_Challenge"&amp;P503&amp;"_"&amp;Q503&amp;"_"&amp;R503)</f>
        <v/>
      </c>
      <c r="M503" s="57" t="str">
        <f t="shared" si="113"/>
        <v/>
      </c>
      <c r="O503" s="102" t="str">
        <f>VLOOKUP(P503&amp;"_"&amp;Q503,活动关卡!$A$4:$Z$27,6+5*MonsterWaveCallRuleCfg!R503,FALSE)</f>
        <v/>
      </c>
      <c r="P503" s="110">
        <v>1</v>
      </c>
      <c r="Q503" s="110">
        <f t="shared" ref="Q503:Q566" si="115">IF(C503="",Q502,C503)</f>
        <v>1</v>
      </c>
      <c r="R503" s="110">
        <v>3</v>
      </c>
    </row>
    <row r="504" spans="2:18" x14ac:dyDescent="0.2">
      <c r="B504" s="57" t="str">
        <f t="shared" si="108"/>
        <v/>
      </c>
      <c r="D504" s="57" t="str">
        <f t="shared" si="109"/>
        <v/>
      </c>
      <c r="F504" s="57" t="str">
        <f t="shared" si="110"/>
        <v/>
      </c>
      <c r="G504" s="102" t="str">
        <f t="shared" si="114"/>
        <v/>
      </c>
      <c r="H504" s="57" t="str">
        <f t="shared" si="111"/>
        <v/>
      </c>
      <c r="I504" s="102" t="str">
        <f>VLOOKUP(P504&amp;"_"&amp;Q504,活动关卡!$A$60:$Z$83,3+5*MonsterWaveCallRuleCfg!R504,FALSE)</f>
        <v/>
      </c>
      <c r="J504" s="102" t="str">
        <f>VLOOKUP(P504&amp;"_"&amp;Q504,活动关卡!$A$60:$Z$83,4+5*MonsterWaveCallRuleCfg!R504,FALSE)</f>
        <v/>
      </c>
      <c r="K504" s="102" t="str">
        <f t="shared" si="112"/>
        <v/>
      </c>
      <c r="L504" s="102" t="str">
        <f>IF(VLOOKUP(P504&amp;"_"&amp;Q504,活动关卡!$A$60:$Z$83,2+5*R504,FALSE)="","","Monster_Season2_Challenge"&amp;P504&amp;"_"&amp;Q504&amp;"_"&amp;R504)</f>
        <v/>
      </c>
      <c r="M504" s="57" t="str">
        <f t="shared" si="113"/>
        <v/>
      </c>
      <c r="O504" s="102" t="str">
        <f>VLOOKUP(P504&amp;"_"&amp;Q504,活动关卡!$A$4:$Z$27,6+5*MonsterWaveCallRuleCfg!R504,FALSE)</f>
        <v/>
      </c>
      <c r="P504" s="110">
        <v>1</v>
      </c>
      <c r="Q504" s="110">
        <f t="shared" si="115"/>
        <v>1</v>
      </c>
      <c r="R504" s="110">
        <v>4</v>
      </c>
    </row>
    <row r="505" spans="2:18" x14ac:dyDescent="0.2">
      <c r="B505" s="57" t="str">
        <f t="shared" si="108"/>
        <v>MonsterWaveCallRule_Season2_Challenge1</v>
      </c>
      <c r="C505" s="57">
        <v>2</v>
      </c>
      <c r="D505" s="57" t="str">
        <f t="shared" si="109"/>
        <v>赛季2关卡1第2波</v>
      </c>
      <c r="F505" s="57">
        <f t="shared" si="110"/>
        <v>0</v>
      </c>
      <c r="G505" s="102">
        <f t="shared" si="114"/>
        <v>180</v>
      </c>
      <c r="H505" s="57">
        <f t="shared" si="111"/>
        <v>0</v>
      </c>
      <c r="I505" s="102">
        <f>VLOOKUP(P505&amp;"_"&amp;Q505,活动关卡!$A$60:$Z$83,3+5*MonsterWaveCallRuleCfg!R505,FALSE)</f>
        <v>25</v>
      </c>
      <c r="J505" s="102">
        <f>VLOOKUP(P505&amp;"_"&amp;Q505,活动关卡!$A$60:$Z$83,4+5*MonsterWaveCallRuleCfg!R505,FALSE)</f>
        <v>0.5</v>
      </c>
      <c r="K505" s="102">
        <f t="shared" si="112"/>
        <v>1</v>
      </c>
      <c r="L505" s="102" t="str">
        <f>IF(VLOOKUP(P505&amp;"_"&amp;Q505,活动关卡!$A$60:$Z$83,2+5*R505,FALSE)="","","Monster_Season2_Challenge"&amp;P505&amp;"_"&amp;Q505&amp;"_"&amp;R505)</f>
        <v>Monster_Season2_Challenge1_2_1</v>
      </c>
      <c r="M505" s="57">
        <f t="shared" si="113"/>
        <v>1</v>
      </c>
      <c r="O505" s="102">
        <f>VLOOKUP(P505&amp;"_"&amp;Q505,活动关卡!$A$4:$Z$27,6+5*MonsterWaveCallRuleCfg!R505,FALSE)</f>
        <v>15</v>
      </c>
      <c r="P505" s="110">
        <v>1</v>
      </c>
      <c r="Q505" s="110">
        <f t="shared" si="115"/>
        <v>2</v>
      </c>
      <c r="R505" s="110">
        <v>1</v>
      </c>
    </row>
    <row r="506" spans="2:18" x14ac:dyDescent="0.2">
      <c r="B506" s="57" t="str">
        <f t="shared" si="108"/>
        <v/>
      </c>
      <c r="D506" s="57" t="str">
        <f t="shared" si="109"/>
        <v/>
      </c>
      <c r="F506" s="57" t="str">
        <f t="shared" si="110"/>
        <v/>
      </c>
      <c r="G506" s="102" t="str">
        <f t="shared" si="114"/>
        <v/>
      </c>
      <c r="H506" s="57">
        <f t="shared" si="111"/>
        <v>0</v>
      </c>
      <c r="I506" s="102">
        <f>VLOOKUP(P506&amp;"_"&amp;Q506,活动关卡!$A$60:$Z$83,3+5*MonsterWaveCallRuleCfg!R506,FALSE)</f>
        <v>4</v>
      </c>
      <c r="J506" s="102">
        <f>VLOOKUP(P506&amp;"_"&amp;Q506,活动关卡!$A$60:$Z$83,4+5*MonsterWaveCallRuleCfg!R506,FALSE)</f>
        <v>3</v>
      </c>
      <c r="K506" s="102">
        <f t="shared" si="112"/>
        <v>1</v>
      </c>
      <c r="L506" s="102" t="str">
        <f>IF(VLOOKUP(P506&amp;"_"&amp;Q506,活动关卡!$A$60:$Z$83,2+5*R506,FALSE)="","","Monster_Season2_Challenge"&amp;P506&amp;"_"&amp;Q506&amp;"_"&amp;R506)</f>
        <v>Monster_Season2_Challenge1_2_2</v>
      </c>
      <c r="M506" s="57">
        <f t="shared" si="113"/>
        <v>1</v>
      </c>
      <c r="O506" s="102">
        <f>VLOOKUP(P506&amp;"_"&amp;Q506,活动关卡!$A$4:$Z$27,6+5*MonsterWaveCallRuleCfg!R506,FALSE)</f>
        <v>59</v>
      </c>
      <c r="P506" s="110">
        <v>1</v>
      </c>
      <c r="Q506" s="110">
        <f t="shared" si="115"/>
        <v>2</v>
      </c>
      <c r="R506" s="110">
        <v>2</v>
      </c>
    </row>
    <row r="507" spans="2:18" x14ac:dyDescent="0.2">
      <c r="B507" s="57" t="str">
        <f t="shared" si="108"/>
        <v/>
      </c>
      <c r="D507" s="57" t="str">
        <f t="shared" si="109"/>
        <v/>
      </c>
      <c r="F507" s="57" t="str">
        <f t="shared" si="110"/>
        <v/>
      </c>
      <c r="G507" s="102" t="str">
        <f t="shared" si="114"/>
        <v/>
      </c>
      <c r="H507" s="57" t="str">
        <f t="shared" si="111"/>
        <v/>
      </c>
      <c r="I507" s="102" t="str">
        <f>VLOOKUP(P507&amp;"_"&amp;Q507,活动关卡!$A$60:$Z$83,3+5*MonsterWaveCallRuleCfg!R507,FALSE)</f>
        <v/>
      </c>
      <c r="J507" s="102" t="str">
        <f>VLOOKUP(P507&amp;"_"&amp;Q507,活动关卡!$A$60:$Z$83,4+5*MonsterWaveCallRuleCfg!R507,FALSE)</f>
        <v/>
      </c>
      <c r="K507" s="102" t="str">
        <f t="shared" si="112"/>
        <v/>
      </c>
      <c r="L507" s="102" t="str">
        <f>IF(VLOOKUP(P507&amp;"_"&amp;Q507,活动关卡!$A$60:$Z$83,2+5*R507,FALSE)="","","Monster_Season2_Challenge"&amp;P507&amp;"_"&amp;Q507&amp;"_"&amp;R507)</f>
        <v/>
      </c>
      <c r="M507" s="57" t="str">
        <f t="shared" si="113"/>
        <v/>
      </c>
      <c r="O507" s="102" t="str">
        <f>VLOOKUP(P507&amp;"_"&amp;Q507,活动关卡!$A$4:$Z$27,6+5*MonsterWaveCallRuleCfg!R507,FALSE)</f>
        <v/>
      </c>
      <c r="P507" s="110">
        <v>1</v>
      </c>
      <c r="Q507" s="110">
        <f t="shared" si="115"/>
        <v>2</v>
      </c>
      <c r="R507" s="110">
        <v>3</v>
      </c>
    </row>
    <row r="508" spans="2:18" x14ac:dyDescent="0.2">
      <c r="B508" s="57" t="str">
        <f t="shared" si="108"/>
        <v/>
      </c>
      <c r="D508" s="57" t="str">
        <f t="shared" si="109"/>
        <v/>
      </c>
      <c r="F508" s="57" t="str">
        <f t="shared" si="110"/>
        <v/>
      </c>
      <c r="G508" s="102" t="str">
        <f t="shared" si="114"/>
        <v/>
      </c>
      <c r="H508" s="57" t="str">
        <f t="shared" si="111"/>
        <v/>
      </c>
      <c r="I508" s="102" t="str">
        <f>VLOOKUP(P508&amp;"_"&amp;Q508,活动关卡!$A$60:$Z$83,3+5*MonsterWaveCallRuleCfg!R508,FALSE)</f>
        <v/>
      </c>
      <c r="J508" s="102" t="str">
        <f>VLOOKUP(P508&amp;"_"&amp;Q508,活动关卡!$A$60:$Z$83,4+5*MonsterWaveCallRuleCfg!R508,FALSE)</f>
        <v/>
      </c>
      <c r="K508" s="102" t="str">
        <f t="shared" si="112"/>
        <v/>
      </c>
      <c r="L508" s="102" t="str">
        <f>IF(VLOOKUP(P508&amp;"_"&amp;Q508,活动关卡!$A$60:$Z$83,2+5*R508,FALSE)="","","Monster_Season2_Challenge"&amp;P508&amp;"_"&amp;Q508&amp;"_"&amp;R508)</f>
        <v/>
      </c>
      <c r="M508" s="57" t="str">
        <f t="shared" si="113"/>
        <v/>
      </c>
      <c r="O508" s="102" t="str">
        <f>VLOOKUP(P508&amp;"_"&amp;Q508,活动关卡!$A$4:$Z$27,6+5*MonsterWaveCallRuleCfg!R508,FALSE)</f>
        <v/>
      </c>
      <c r="P508" s="110">
        <v>1</v>
      </c>
      <c r="Q508" s="110">
        <f t="shared" si="115"/>
        <v>2</v>
      </c>
      <c r="R508" s="110">
        <v>4</v>
      </c>
    </row>
    <row r="509" spans="2:18" x14ac:dyDescent="0.2">
      <c r="B509" s="57" t="str">
        <f t="shared" si="108"/>
        <v>MonsterWaveCallRule_Season2_Challenge1</v>
      </c>
      <c r="C509" s="57">
        <v>3</v>
      </c>
      <c r="D509" s="57" t="str">
        <f t="shared" si="109"/>
        <v>赛季2关卡1第3波</v>
      </c>
      <c r="F509" s="57">
        <f t="shared" si="110"/>
        <v>0</v>
      </c>
      <c r="G509" s="102">
        <f t="shared" si="114"/>
        <v>180</v>
      </c>
      <c r="H509" s="57">
        <f t="shared" si="111"/>
        <v>0</v>
      </c>
      <c r="I509" s="102">
        <f>VLOOKUP(P509&amp;"_"&amp;Q509,活动关卡!$A$60:$Z$83,3+5*MonsterWaveCallRuleCfg!R509,FALSE)</f>
        <v>30</v>
      </c>
      <c r="J509" s="102">
        <f>VLOOKUP(P509&amp;"_"&amp;Q509,活动关卡!$A$60:$Z$83,4+5*MonsterWaveCallRuleCfg!R509,FALSE)</f>
        <v>0.5</v>
      </c>
      <c r="K509" s="102">
        <f t="shared" si="112"/>
        <v>1</v>
      </c>
      <c r="L509" s="102" t="str">
        <f>IF(VLOOKUP(P509&amp;"_"&amp;Q509,活动关卡!$A$60:$Z$83,2+5*R509,FALSE)="","","Monster_Season2_Challenge"&amp;P509&amp;"_"&amp;Q509&amp;"_"&amp;R509)</f>
        <v>Monster_Season2_Challenge1_3_1</v>
      </c>
      <c r="M509" s="57">
        <f t="shared" si="113"/>
        <v>1</v>
      </c>
      <c r="O509" s="102">
        <f>VLOOKUP(P509&amp;"_"&amp;Q509,活动关卡!$A$4:$Z$27,6+5*MonsterWaveCallRuleCfg!R509,FALSE)</f>
        <v>7</v>
      </c>
      <c r="P509" s="110">
        <v>1</v>
      </c>
      <c r="Q509" s="110">
        <f t="shared" si="115"/>
        <v>3</v>
      </c>
      <c r="R509" s="110">
        <v>1</v>
      </c>
    </row>
    <row r="510" spans="2:18" x14ac:dyDescent="0.2">
      <c r="B510" s="57" t="str">
        <f t="shared" si="108"/>
        <v/>
      </c>
      <c r="D510" s="57" t="str">
        <f t="shared" si="109"/>
        <v/>
      </c>
      <c r="F510" s="57" t="str">
        <f t="shared" si="110"/>
        <v/>
      </c>
      <c r="G510" s="102" t="str">
        <f t="shared" si="114"/>
        <v/>
      </c>
      <c r="H510" s="57">
        <f t="shared" si="111"/>
        <v>0</v>
      </c>
      <c r="I510" s="102">
        <f>VLOOKUP(P510&amp;"_"&amp;Q510,活动关卡!$A$60:$Z$83,3+5*MonsterWaveCallRuleCfg!R510,FALSE)</f>
        <v>5</v>
      </c>
      <c r="J510" s="102">
        <f>VLOOKUP(P510&amp;"_"&amp;Q510,活动关卡!$A$60:$Z$83,4+5*MonsterWaveCallRuleCfg!R510,FALSE)</f>
        <v>3</v>
      </c>
      <c r="K510" s="102">
        <f t="shared" si="112"/>
        <v>1</v>
      </c>
      <c r="L510" s="102" t="str">
        <f>IF(VLOOKUP(P510&amp;"_"&amp;Q510,活动关卡!$A$60:$Z$83,2+5*R510,FALSE)="","","Monster_Season2_Challenge"&amp;P510&amp;"_"&amp;Q510&amp;"_"&amp;R510)</f>
        <v>Monster_Season2_Challenge1_3_2</v>
      </c>
      <c r="M510" s="57">
        <f t="shared" si="113"/>
        <v>1</v>
      </c>
      <c r="O510" s="102">
        <f>VLOOKUP(P510&amp;"_"&amp;Q510,活动关卡!$A$4:$Z$27,6+5*MonsterWaveCallRuleCfg!R510,FALSE)</f>
        <v>27</v>
      </c>
      <c r="P510" s="110">
        <v>1</v>
      </c>
      <c r="Q510" s="110">
        <f t="shared" si="115"/>
        <v>3</v>
      </c>
      <c r="R510" s="110">
        <v>2</v>
      </c>
    </row>
    <row r="511" spans="2:18" x14ac:dyDescent="0.2">
      <c r="B511" s="57" t="str">
        <f t="shared" si="108"/>
        <v/>
      </c>
      <c r="D511" s="57" t="str">
        <f t="shared" si="109"/>
        <v/>
      </c>
      <c r="F511" s="57" t="str">
        <f t="shared" si="110"/>
        <v/>
      </c>
      <c r="G511" s="102" t="str">
        <f t="shared" si="114"/>
        <v/>
      </c>
      <c r="H511" s="57">
        <f t="shared" si="111"/>
        <v>0</v>
      </c>
      <c r="I511" s="102">
        <f>VLOOKUP(P511&amp;"_"&amp;Q511,活动关卡!$A$60:$Z$83,3+5*MonsterWaveCallRuleCfg!R511,FALSE)</f>
        <v>10</v>
      </c>
      <c r="J511" s="102">
        <f>VLOOKUP(P511&amp;"_"&amp;Q511,活动关卡!$A$60:$Z$83,4+5*MonsterWaveCallRuleCfg!R511,FALSE)</f>
        <v>1.5</v>
      </c>
      <c r="K511" s="102">
        <f t="shared" si="112"/>
        <v>1</v>
      </c>
      <c r="L511" s="102" t="str">
        <f>IF(VLOOKUP(P511&amp;"_"&amp;Q511,活动关卡!$A$60:$Z$83,2+5*R511,FALSE)="","","Monster_Season2_Challenge"&amp;P511&amp;"_"&amp;Q511&amp;"_"&amp;R511)</f>
        <v>Monster_Season2_Challenge1_3_3</v>
      </c>
      <c r="M511" s="57">
        <f t="shared" si="113"/>
        <v>1</v>
      </c>
      <c r="O511" s="102">
        <f>VLOOKUP(P511&amp;"_"&amp;Q511,活动关卡!$A$4:$Z$27,6+5*MonsterWaveCallRuleCfg!R511,FALSE)</f>
        <v>27</v>
      </c>
      <c r="P511" s="110">
        <v>1</v>
      </c>
      <c r="Q511" s="110">
        <f t="shared" si="115"/>
        <v>3</v>
      </c>
      <c r="R511" s="110">
        <v>3</v>
      </c>
    </row>
    <row r="512" spans="2:18" x14ac:dyDescent="0.2">
      <c r="B512" s="57" t="str">
        <f t="shared" si="108"/>
        <v/>
      </c>
      <c r="D512" s="57" t="str">
        <f t="shared" si="109"/>
        <v/>
      </c>
      <c r="F512" s="57" t="str">
        <f t="shared" si="110"/>
        <v/>
      </c>
      <c r="G512" s="102" t="str">
        <f t="shared" si="114"/>
        <v/>
      </c>
      <c r="H512" s="57" t="str">
        <f t="shared" si="111"/>
        <v/>
      </c>
      <c r="I512" s="102" t="str">
        <f>VLOOKUP(P512&amp;"_"&amp;Q512,活动关卡!$A$60:$Z$83,3+5*MonsterWaveCallRuleCfg!R512,FALSE)</f>
        <v/>
      </c>
      <c r="J512" s="102" t="str">
        <f>VLOOKUP(P512&amp;"_"&amp;Q512,活动关卡!$A$60:$Z$83,4+5*MonsterWaveCallRuleCfg!R512,FALSE)</f>
        <v/>
      </c>
      <c r="K512" s="102" t="str">
        <f t="shared" si="112"/>
        <v/>
      </c>
      <c r="L512" s="102" t="str">
        <f>IF(VLOOKUP(P512&amp;"_"&amp;Q512,活动关卡!$A$60:$Z$83,2+5*R512,FALSE)="","","Monster_Season2_Challenge"&amp;P512&amp;"_"&amp;Q512&amp;"_"&amp;R512)</f>
        <v/>
      </c>
      <c r="M512" s="57" t="str">
        <f t="shared" si="113"/>
        <v/>
      </c>
      <c r="O512" s="102" t="str">
        <f>VLOOKUP(P512&amp;"_"&amp;Q512,活动关卡!$A$4:$Z$27,6+5*MonsterWaveCallRuleCfg!R512,FALSE)</f>
        <v/>
      </c>
      <c r="P512" s="110">
        <v>1</v>
      </c>
      <c r="Q512" s="110">
        <f t="shared" si="115"/>
        <v>3</v>
      </c>
      <c r="R512" s="110">
        <v>4</v>
      </c>
    </row>
    <row r="513" spans="2:18" x14ac:dyDescent="0.2">
      <c r="B513" s="57" t="str">
        <f t="shared" si="108"/>
        <v>MonsterWaveCallRule_Season2_Challenge1</v>
      </c>
      <c r="C513" s="57">
        <v>4</v>
      </c>
      <c r="D513" s="57" t="str">
        <f t="shared" si="109"/>
        <v>赛季2关卡1第4波</v>
      </c>
      <c r="F513" s="57">
        <f t="shared" si="110"/>
        <v>0</v>
      </c>
      <c r="G513" s="102">
        <f t="shared" si="114"/>
        <v>180</v>
      </c>
      <c r="H513" s="57" t="e">
        <f t="shared" si="111"/>
        <v>#N/A</v>
      </c>
      <c r="I513" s="102" t="e">
        <f>VLOOKUP(P513&amp;"_"&amp;Q513,活动关卡!$A$60:$Z$83,3+5*MonsterWaveCallRuleCfg!R513,FALSE)</f>
        <v>#N/A</v>
      </c>
      <c r="J513" s="102" t="e">
        <f>VLOOKUP(P513&amp;"_"&amp;Q513,活动关卡!$A$60:$Z$83,4+5*MonsterWaveCallRuleCfg!R513,FALSE)</f>
        <v>#N/A</v>
      </c>
      <c r="K513" s="102" t="e">
        <f t="shared" si="112"/>
        <v>#N/A</v>
      </c>
      <c r="L513" s="102" t="e">
        <f>IF(VLOOKUP(P513&amp;"_"&amp;Q513,活动关卡!$A$60:$Z$83,2+5*R513,FALSE)="","","Monster_Season2_Challenge"&amp;P513&amp;"_"&amp;Q513&amp;"_"&amp;R513)</f>
        <v>#N/A</v>
      </c>
      <c r="M513" s="57" t="e">
        <f t="shared" si="113"/>
        <v>#N/A</v>
      </c>
      <c r="O513" s="102" t="e">
        <f>VLOOKUP(P513&amp;"_"&amp;Q513,活动关卡!$A$4:$Z$27,6+5*MonsterWaveCallRuleCfg!R513,FALSE)</f>
        <v>#N/A</v>
      </c>
      <c r="P513" s="110">
        <v>1</v>
      </c>
      <c r="Q513" s="110">
        <f t="shared" si="115"/>
        <v>4</v>
      </c>
      <c r="R513" s="110">
        <v>1</v>
      </c>
    </row>
    <row r="514" spans="2:18" x14ac:dyDescent="0.2">
      <c r="B514" s="57" t="str">
        <f t="shared" si="108"/>
        <v/>
      </c>
      <c r="D514" s="57" t="str">
        <f t="shared" si="109"/>
        <v/>
      </c>
      <c r="F514" s="57" t="str">
        <f t="shared" si="110"/>
        <v/>
      </c>
      <c r="G514" s="102" t="str">
        <f t="shared" si="114"/>
        <v/>
      </c>
      <c r="H514" s="57" t="e">
        <f t="shared" si="111"/>
        <v>#N/A</v>
      </c>
      <c r="I514" s="102" t="e">
        <f>VLOOKUP(P514&amp;"_"&amp;Q514,活动关卡!$A$60:$Z$83,3+5*MonsterWaveCallRuleCfg!R514,FALSE)</f>
        <v>#N/A</v>
      </c>
      <c r="J514" s="102" t="e">
        <f>VLOOKUP(P514&amp;"_"&amp;Q514,活动关卡!$A$60:$Z$83,4+5*MonsterWaveCallRuleCfg!R514,FALSE)</f>
        <v>#N/A</v>
      </c>
      <c r="K514" s="102" t="e">
        <f t="shared" si="112"/>
        <v>#N/A</v>
      </c>
      <c r="L514" s="102" t="e">
        <f>IF(VLOOKUP(P514&amp;"_"&amp;Q514,活动关卡!$A$60:$Z$83,2+5*R514,FALSE)="","","Monster_Season2_Challenge"&amp;P514&amp;"_"&amp;Q514&amp;"_"&amp;R514)</f>
        <v>#N/A</v>
      </c>
      <c r="M514" s="57" t="e">
        <f t="shared" si="113"/>
        <v>#N/A</v>
      </c>
      <c r="O514" s="102" t="e">
        <f>VLOOKUP(P514&amp;"_"&amp;Q514,活动关卡!$A$4:$Z$27,6+5*MonsterWaveCallRuleCfg!R514,FALSE)</f>
        <v>#N/A</v>
      </c>
      <c r="P514" s="110">
        <v>1</v>
      </c>
      <c r="Q514" s="110">
        <f t="shared" si="115"/>
        <v>4</v>
      </c>
      <c r="R514" s="110">
        <v>2</v>
      </c>
    </row>
    <row r="515" spans="2:18" x14ac:dyDescent="0.2">
      <c r="B515" s="57" t="str">
        <f t="shared" si="108"/>
        <v/>
      </c>
      <c r="D515" s="57" t="str">
        <f t="shared" si="109"/>
        <v/>
      </c>
      <c r="F515" s="57" t="str">
        <f t="shared" si="110"/>
        <v/>
      </c>
      <c r="G515" s="102" t="str">
        <f t="shared" si="114"/>
        <v/>
      </c>
      <c r="H515" s="57" t="e">
        <f t="shared" si="111"/>
        <v>#N/A</v>
      </c>
      <c r="I515" s="102" t="e">
        <f>VLOOKUP(P515&amp;"_"&amp;Q515,活动关卡!$A$60:$Z$83,3+5*MonsterWaveCallRuleCfg!R515,FALSE)</f>
        <v>#N/A</v>
      </c>
      <c r="J515" s="102" t="e">
        <f>VLOOKUP(P515&amp;"_"&amp;Q515,活动关卡!$A$60:$Z$83,4+5*MonsterWaveCallRuleCfg!R515,FALSE)</f>
        <v>#N/A</v>
      </c>
      <c r="K515" s="102" t="e">
        <f t="shared" si="112"/>
        <v>#N/A</v>
      </c>
      <c r="L515" s="102" t="e">
        <f>IF(VLOOKUP(P515&amp;"_"&amp;Q515,活动关卡!$A$60:$Z$83,2+5*R515,FALSE)="","","Monster_Season2_Challenge"&amp;P515&amp;"_"&amp;Q515&amp;"_"&amp;R515)</f>
        <v>#N/A</v>
      </c>
      <c r="M515" s="57" t="e">
        <f t="shared" si="113"/>
        <v>#N/A</v>
      </c>
      <c r="O515" s="102" t="e">
        <f>VLOOKUP(P515&amp;"_"&amp;Q515,活动关卡!$A$4:$Z$27,6+5*MonsterWaveCallRuleCfg!R515,FALSE)</f>
        <v>#N/A</v>
      </c>
      <c r="P515" s="110">
        <v>1</v>
      </c>
      <c r="Q515" s="110">
        <f t="shared" si="115"/>
        <v>4</v>
      </c>
      <c r="R515" s="110">
        <v>3</v>
      </c>
    </row>
    <row r="516" spans="2:18" x14ac:dyDescent="0.2">
      <c r="B516" s="57" t="str">
        <f t="shared" si="108"/>
        <v/>
      </c>
      <c r="D516" s="57" t="str">
        <f t="shared" si="109"/>
        <v/>
      </c>
      <c r="F516" s="57" t="str">
        <f t="shared" si="110"/>
        <v/>
      </c>
      <c r="G516" s="102" t="str">
        <f t="shared" si="114"/>
        <v/>
      </c>
      <c r="H516" s="57" t="e">
        <f t="shared" si="111"/>
        <v>#N/A</v>
      </c>
      <c r="I516" s="102" t="e">
        <f>VLOOKUP(P516&amp;"_"&amp;Q516,活动关卡!$A$60:$Z$83,3+5*MonsterWaveCallRuleCfg!R516,FALSE)</f>
        <v>#N/A</v>
      </c>
      <c r="J516" s="102" t="e">
        <f>VLOOKUP(P516&amp;"_"&amp;Q516,活动关卡!$A$60:$Z$83,4+5*MonsterWaveCallRuleCfg!R516,FALSE)</f>
        <v>#N/A</v>
      </c>
      <c r="K516" s="102" t="e">
        <f t="shared" si="112"/>
        <v>#N/A</v>
      </c>
      <c r="L516" s="102" t="e">
        <f>IF(VLOOKUP(P516&amp;"_"&amp;Q516,活动关卡!$A$60:$Z$83,2+5*R516,FALSE)="","","Monster_Season2_Challenge"&amp;P516&amp;"_"&amp;Q516&amp;"_"&amp;R516)</f>
        <v>#N/A</v>
      </c>
      <c r="M516" s="57" t="e">
        <f t="shared" si="113"/>
        <v>#N/A</v>
      </c>
      <c r="O516" s="102" t="e">
        <f>VLOOKUP(P516&amp;"_"&amp;Q516,活动关卡!$A$4:$Z$27,6+5*MonsterWaveCallRuleCfg!R516,FALSE)</f>
        <v>#N/A</v>
      </c>
      <c r="P516" s="110">
        <v>1</v>
      </c>
      <c r="Q516" s="110">
        <f t="shared" si="115"/>
        <v>4</v>
      </c>
      <c r="R516" s="110">
        <v>4</v>
      </c>
    </row>
    <row r="517" spans="2:18" x14ac:dyDescent="0.2">
      <c r="B517" s="57" t="str">
        <f t="shared" si="108"/>
        <v>MonsterWaveCallRule_Season2_Challenge1</v>
      </c>
      <c r="C517" s="57">
        <v>5</v>
      </c>
      <c r="D517" s="57" t="str">
        <f t="shared" si="109"/>
        <v>赛季2关卡1第5波</v>
      </c>
      <c r="F517" s="57">
        <f t="shared" si="110"/>
        <v>0</v>
      </c>
      <c r="G517" s="102">
        <f t="shared" si="114"/>
        <v>180</v>
      </c>
      <c r="H517" s="57" t="e">
        <f t="shared" si="111"/>
        <v>#N/A</v>
      </c>
      <c r="I517" s="102" t="e">
        <f>VLOOKUP(P517&amp;"_"&amp;Q517,活动关卡!$A$60:$Z$83,3+5*MonsterWaveCallRuleCfg!R517,FALSE)</f>
        <v>#N/A</v>
      </c>
      <c r="J517" s="102" t="e">
        <f>VLOOKUP(P517&amp;"_"&amp;Q517,活动关卡!$A$60:$Z$83,4+5*MonsterWaveCallRuleCfg!R517,FALSE)</f>
        <v>#N/A</v>
      </c>
      <c r="K517" s="102" t="e">
        <f t="shared" si="112"/>
        <v>#N/A</v>
      </c>
      <c r="L517" s="102" t="e">
        <f>IF(VLOOKUP(P517&amp;"_"&amp;Q517,活动关卡!$A$60:$Z$83,2+5*R517,FALSE)="","","Monster_Season2_Challenge"&amp;P517&amp;"_"&amp;Q517&amp;"_"&amp;R517)</f>
        <v>#N/A</v>
      </c>
      <c r="M517" s="57" t="e">
        <f t="shared" si="113"/>
        <v>#N/A</v>
      </c>
      <c r="O517" s="102" t="e">
        <f>VLOOKUP(P517&amp;"_"&amp;Q517,活动关卡!$A$4:$Z$27,6+5*MonsterWaveCallRuleCfg!R517,FALSE)</f>
        <v>#N/A</v>
      </c>
      <c r="P517" s="110">
        <v>1</v>
      </c>
      <c r="Q517" s="110">
        <f t="shared" si="115"/>
        <v>5</v>
      </c>
      <c r="R517" s="110">
        <v>1</v>
      </c>
    </row>
    <row r="518" spans="2:18" x14ac:dyDescent="0.2">
      <c r="B518" s="57" t="str">
        <f t="shared" si="108"/>
        <v/>
      </c>
      <c r="D518" s="57" t="str">
        <f t="shared" si="109"/>
        <v/>
      </c>
      <c r="F518" s="57" t="str">
        <f t="shared" si="110"/>
        <v/>
      </c>
      <c r="G518" s="102" t="str">
        <f t="shared" si="114"/>
        <v/>
      </c>
      <c r="H518" s="57" t="e">
        <f t="shared" si="111"/>
        <v>#N/A</v>
      </c>
      <c r="I518" s="102" t="e">
        <f>VLOOKUP(P518&amp;"_"&amp;Q518,活动关卡!$A$60:$Z$83,3+5*MonsterWaveCallRuleCfg!R518,FALSE)</f>
        <v>#N/A</v>
      </c>
      <c r="J518" s="102" t="e">
        <f>VLOOKUP(P518&amp;"_"&amp;Q518,活动关卡!$A$60:$Z$83,4+5*MonsterWaveCallRuleCfg!R518,FALSE)</f>
        <v>#N/A</v>
      </c>
      <c r="K518" s="102" t="e">
        <f t="shared" si="112"/>
        <v>#N/A</v>
      </c>
      <c r="L518" s="102" t="e">
        <f>IF(VLOOKUP(P518&amp;"_"&amp;Q518,活动关卡!$A$60:$Z$83,2+5*R518,FALSE)="","","Monster_Season2_Challenge"&amp;P518&amp;"_"&amp;Q518&amp;"_"&amp;R518)</f>
        <v>#N/A</v>
      </c>
      <c r="M518" s="57" t="e">
        <f t="shared" si="113"/>
        <v>#N/A</v>
      </c>
      <c r="O518" s="102" t="e">
        <f>VLOOKUP(P518&amp;"_"&amp;Q518,活动关卡!$A$4:$Z$27,6+5*MonsterWaveCallRuleCfg!R518,FALSE)</f>
        <v>#N/A</v>
      </c>
      <c r="P518" s="110">
        <v>1</v>
      </c>
      <c r="Q518" s="110">
        <f t="shared" si="115"/>
        <v>5</v>
      </c>
      <c r="R518" s="110">
        <v>2</v>
      </c>
    </row>
    <row r="519" spans="2:18" x14ac:dyDescent="0.2">
      <c r="B519" s="57" t="str">
        <f t="shared" si="108"/>
        <v/>
      </c>
      <c r="D519" s="57" t="str">
        <f t="shared" si="109"/>
        <v/>
      </c>
      <c r="F519" s="57" t="str">
        <f t="shared" si="110"/>
        <v/>
      </c>
      <c r="G519" s="102" t="str">
        <f t="shared" si="114"/>
        <v/>
      </c>
      <c r="H519" s="57" t="e">
        <f t="shared" si="111"/>
        <v>#N/A</v>
      </c>
      <c r="I519" s="102" t="e">
        <f>VLOOKUP(P519&amp;"_"&amp;Q519,活动关卡!$A$60:$Z$83,3+5*MonsterWaveCallRuleCfg!R519,FALSE)</f>
        <v>#N/A</v>
      </c>
      <c r="J519" s="102" t="e">
        <f>VLOOKUP(P519&amp;"_"&amp;Q519,活动关卡!$A$60:$Z$83,4+5*MonsterWaveCallRuleCfg!R519,FALSE)</f>
        <v>#N/A</v>
      </c>
      <c r="K519" s="102" t="e">
        <f t="shared" si="112"/>
        <v>#N/A</v>
      </c>
      <c r="L519" s="102" t="e">
        <f>IF(VLOOKUP(P519&amp;"_"&amp;Q519,活动关卡!$A$60:$Z$83,2+5*R519,FALSE)="","","Monster_Season2_Challenge"&amp;P519&amp;"_"&amp;Q519&amp;"_"&amp;R519)</f>
        <v>#N/A</v>
      </c>
      <c r="M519" s="57" t="e">
        <f t="shared" si="113"/>
        <v>#N/A</v>
      </c>
      <c r="O519" s="102" t="e">
        <f>VLOOKUP(P519&amp;"_"&amp;Q519,活动关卡!$A$4:$Z$27,6+5*MonsterWaveCallRuleCfg!R519,FALSE)</f>
        <v>#N/A</v>
      </c>
      <c r="P519" s="110">
        <v>1</v>
      </c>
      <c r="Q519" s="110">
        <f t="shared" si="115"/>
        <v>5</v>
      </c>
      <c r="R519" s="110">
        <v>3</v>
      </c>
    </row>
    <row r="520" spans="2:18" x14ac:dyDescent="0.2">
      <c r="B520" s="57" t="str">
        <f t="shared" si="108"/>
        <v/>
      </c>
      <c r="D520" s="57" t="str">
        <f t="shared" si="109"/>
        <v/>
      </c>
      <c r="F520" s="57" t="str">
        <f t="shared" si="110"/>
        <v/>
      </c>
      <c r="G520" s="102" t="str">
        <f t="shared" si="114"/>
        <v/>
      </c>
      <c r="H520" s="57" t="e">
        <f t="shared" si="111"/>
        <v>#N/A</v>
      </c>
      <c r="I520" s="102" t="e">
        <f>VLOOKUP(P520&amp;"_"&amp;Q520,活动关卡!$A$60:$Z$83,3+5*MonsterWaveCallRuleCfg!R520,FALSE)</f>
        <v>#N/A</v>
      </c>
      <c r="J520" s="102" t="e">
        <f>VLOOKUP(P520&amp;"_"&amp;Q520,活动关卡!$A$60:$Z$83,4+5*MonsterWaveCallRuleCfg!R520,FALSE)</f>
        <v>#N/A</v>
      </c>
      <c r="K520" s="102" t="e">
        <f t="shared" si="112"/>
        <v>#N/A</v>
      </c>
      <c r="L520" s="102" t="e">
        <f>IF(VLOOKUP(P520&amp;"_"&amp;Q520,活动关卡!$A$60:$Z$83,2+5*R520,FALSE)="","","Monster_Season2_Challenge"&amp;P520&amp;"_"&amp;Q520&amp;"_"&amp;R520)</f>
        <v>#N/A</v>
      </c>
      <c r="M520" s="57" t="e">
        <f t="shared" si="113"/>
        <v>#N/A</v>
      </c>
      <c r="O520" s="102" t="e">
        <f>VLOOKUP(P520&amp;"_"&amp;Q520,活动关卡!$A$4:$Z$27,6+5*MonsterWaveCallRuleCfg!R520,FALSE)</f>
        <v>#N/A</v>
      </c>
      <c r="P520" s="110">
        <v>1</v>
      </c>
      <c r="Q520" s="110">
        <f t="shared" si="115"/>
        <v>5</v>
      </c>
      <c r="R520" s="110">
        <v>4</v>
      </c>
    </row>
    <row r="521" spans="2:18" x14ac:dyDescent="0.2">
      <c r="B521" s="57" t="str">
        <f t="shared" si="108"/>
        <v>MonsterWaveCallRule_Season2_Challenge2</v>
      </c>
      <c r="C521" s="57">
        <v>1</v>
      </c>
      <c r="D521" s="57" t="str">
        <f t="shared" si="109"/>
        <v>赛季2关卡2第1波</v>
      </c>
      <c r="F521" s="57">
        <f t="shared" si="110"/>
        <v>0</v>
      </c>
      <c r="G521" s="102">
        <f t="shared" si="114"/>
        <v>180</v>
      </c>
      <c r="H521" s="57">
        <f t="shared" si="111"/>
        <v>0</v>
      </c>
      <c r="I521" s="102">
        <f>VLOOKUP(P521&amp;"_"&amp;Q521,活动关卡!$A$60:$Z$83,3+5*MonsterWaveCallRuleCfg!R521,FALSE)</f>
        <v>5</v>
      </c>
      <c r="J521" s="102">
        <f>VLOOKUP(P521&amp;"_"&amp;Q521,活动关卡!$A$60:$Z$83,4+5*MonsterWaveCallRuleCfg!R521,FALSE)</f>
        <v>2</v>
      </c>
      <c r="K521" s="102">
        <f t="shared" si="112"/>
        <v>1</v>
      </c>
      <c r="L521" s="102" t="str">
        <f>IF(VLOOKUP(P521&amp;"_"&amp;Q521,活动关卡!$A$60:$Z$83,2+5*R521,FALSE)="","","Monster_Season2_Challenge"&amp;P521&amp;"_"&amp;Q521&amp;"_"&amp;R521)</f>
        <v>Monster_Season2_Challenge2_1_1</v>
      </c>
      <c r="M521" s="57">
        <f t="shared" si="113"/>
        <v>1</v>
      </c>
      <c r="O521" s="102">
        <f>VLOOKUP(P521&amp;"_"&amp;Q521,活动关卡!$A$4:$Z$27,6+5*MonsterWaveCallRuleCfg!R521,FALSE)</f>
        <v>40</v>
      </c>
      <c r="P521" s="110">
        <v>2</v>
      </c>
      <c r="Q521" s="110">
        <f t="shared" si="115"/>
        <v>1</v>
      </c>
      <c r="R521" s="110">
        <v>1</v>
      </c>
    </row>
    <row r="522" spans="2:18" x14ac:dyDescent="0.2">
      <c r="B522" s="57" t="str">
        <f t="shared" si="108"/>
        <v/>
      </c>
      <c r="D522" s="57" t="str">
        <f t="shared" si="109"/>
        <v/>
      </c>
      <c r="F522" s="57" t="str">
        <f t="shared" si="110"/>
        <v/>
      </c>
      <c r="G522" s="102" t="str">
        <f t="shared" si="114"/>
        <v/>
      </c>
      <c r="H522" s="57">
        <f t="shared" si="111"/>
        <v>0</v>
      </c>
      <c r="I522" s="102">
        <f>VLOOKUP(P522&amp;"_"&amp;Q522,活动关卡!$A$60:$Z$83,3+5*MonsterWaveCallRuleCfg!R522,FALSE)</f>
        <v>5</v>
      </c>
      <c r="J522" s="102">
        <f>VLOOKUP(P522&amp;"_"&amp;Q522,活动关卡!$A$60:$Z$83,4+5*MonsterWaveCallRuleCfg!R522,FALSE)</f>
        <v>2</v>
      </c>
      <c r="K522" s="102">
        <f t="shared" si="112"/>
        <v>1</v>
      </c>
      <c r="L522" s="102" t="str">
        <f>IF(VLOOKUP(P522&amp;"_"&amp;Q522,活动关卡!$A$60:$Z$83,2+5*R522,FALSE)="","","Monster_Season2_Challenge"&amp;P522&amp;"_"&amp;Q522&amp;"_"&amp;R522)</f>
        <v>Monster_Season2_Challenge2_1_2</v>
      </c>
      <c r="M522" s="57">
        <f t="shared" si="113"/>
        <v>1</v>
      </c>
      <c r="O522" s="102">
        <f>VLOOKUP(P522&amp;"_"&amp;Q522,活动关卡!$A$4:$Z$27,6+5*MonsterWaveCallRuleCfg!R522,FALSE)</f>
        <v>80</v>
      </c>
      <c r="P522" s="110">
        <v>2</v>
      </c>
      <c r="Q522" s="110">
        <f t="shared" si="115"/>
        <v>1</v>
      </c>
      <c r="R522" s="110">
        <v>2</v>
      </c>
    </row>
    <row r="523" spans="2:18" x14ac:dyDescent="0.2">
      <c r="B523" s="57" t="str">
        <f t="shared" si="108"/>
        <v/>
      </c>
      <c r="D523" s="57" t="str">
        <f t="shared" si="109"/>
        <v/>
      </c>
      <c r="F523" s="57" t="str">
        <f t="shared" si="110"/>
        <v/>
      </c>
      <c r="G523" s="102" t="str">
        <f t="shared" si="114"/>
        <v/>
      </c>
      <c r="H523" s="57" t="str">
        <f t="shared" si="111"/>
        <v/>
      </c>
      <c r="I523" s="102" t="str">
        <f>VLOOKUP(P523&amp;"_"&amp;Q523,活动关卡!$A$60:$Z$83,3+5*MonsterWaveCallRuleCfg!R523,FALSE)</f>
        <v/>
      </c>
      <c r="J523" s="102" t="str">
        <f>VLOOKUP(P523&amp;"_"&amp;Q523,活动关卡!$A$60:$Z$83,4+5*MonsterWaveCallRuleCfg!R523,FALSE)</f>
        <v/>
      </c>
      <c r="K523" s="102" t="str">
        <f t="shared" si="112"/>
        <v/>
      </c>
      <c r="L523" s="102" t="str">
        <f>IF(VLOOKUP(P523&amp;"_"&amp;Q523,活动关卡!$A$60:$Z$83,2+5*R523,FALSE)="","","Monster_Season2_Challenge"&amp;P523&amp;"_"&amp;Q523&amp;"_"&amp;R523)</f>
        <v/>
      </c>
      <c r="M523" s="57" t="str">
        <f t="shared" si="113"/>
        <v/>
      </c>
      <c r="O523" s="102" t="str">
        <f>VLOOKUP(P523&amp;"_"&amp;Q523,活动关卡!$A$4:$Z$27,6+5*MonsterWaveCallRuleCfg!R523,FALSE)</f>
        <v/>
      </c>
      <c r="P523" s="110">
        <v>2</v>
      </c>
      <c r="Q523" s="110">
        <f t="shared" si="115"/>
        <v>1</v>
      </c>
      <c r="R523" s="110">
        <v>3</v>
      </c>
    </row>
    <row r="524" spans="2:18" x14ac:dyDescent="0.2">
      <c r="B524" s="57" t="str">
        <f t="shared" si="108"/>
        <v/>
      </c>
      <c r="D524" s="57" t="str">
        <f t="shared" si="109"/>
        <v/>
      </c>
      <c r="F524" s="57" t="str">
        <f t="shared" si="110"/>
        <v/>
      </c>
      <c r="G524" s="102" t="str">
        <f t="shared" si="114"/>
        <v/>
      </c>
      <c r="H524" s="57" t="str">
        <f t="shared" si="111"/>
        <v/>
      </c>
      <c r="I524" s="102" t="str">
        <f>VLOOKUP(P524&amp;"_"&amp;Q524,活动关卡!$A$60:$Z$83,3+5*MonsterWaveCallRuleCfg!R524,FALSE)</f>
        <v/>
      </c>
      <c r="J524" s="102" t="str">
        <f>VLOOKUP(P524&amp;"_"&amp;Q524,活动关卡!$A$60:$Z$83,4+5*MonsterWaveCallRuleCfg!R524,FALSE)</f>
        <v/>
      </c>
      <c r="K524" s="102" t="str">
        <f t="shared" si="112"/>
        <v/>
      </c>
      <c r="L524" s="102" t="str">
        <f>IF(VLOOKUP(P524&amp;"_"&amp;Q524,活动关卡!$A$60:$Z$83,2+5*R524,FALSE)="","","Monster_Season2_Challenge"&amp;P524&amp;"_"&amp;Q524&amp;"_"&amp;R524)</f>
        <v/>
      </c>
      <c r="M524" s="57" t="str">
        <f t="shared" si="113"/>
        <v/>
      </c>
      <c r="O524" s="102" t="str">
        <f>VLOOKUP(P524&amp;"_"&amp;Q524,活动关卡!$A$4:$Z$27,6+5*MonsterWaveCallRuleCfg!R524,FALSE)</f>
        <v/>
      </c>
      <c r="P524" s="110">
        <v>2</v>
      </c>
      <c r="Q524" s="110">
        <f t="shared" si="115"/>
        <v>1</v>
      </c>
      <c r="R524" s="110">
        <v>4</v>
      </c>
    </row>
    <row r="525" spans="2:18" x14ac:dyDescent="0.2">
      <c r="B525" s="57" t="str">
        <f t="shared" si="108"/>
        <v>MonsterWaveCallRule_Season2_Challenge2</v>
      </c>
      <c r="C525" s="57">
        <v>2</v>
      </c>
      <c r="D525" s="57" t="str">
        <f t="shared" si="109"/>
        <v>赛季2关卡2第2波</v>
      </c>
      <c r="F525" s="57">
        <f t="shared" si="110"/>
        <v>0</v>
      </c>
      <c r="G525" s="102">
        <f t="shared" si="114"/>
        <v>180</v>
      </c>
      <c r="H525" s="57">
        <f t="shared" si="111"/>
        <v>0</v>
      </c>
      <c r="I525" s="102">
        <f>VLOOKUP(P525&amp;"_"&amp;Q525,活动关卡!$A$60:$Z$83,3+5*MonsterWaveCallRuleCfg!R525,FALSE)</f>
        <v>6</v>
      </c>
      <c r="J525" s="102">
        <f>VLOOKUP(P525&amp;"_"&amp;Q525,活动关卡!$A$60:$Z$83,4+5*MonsterWaveCallRuleCfg!R525,FALSE)</f>
        <v>2</v>
      </c>
      <c r="K525" s="102">
        <f t="shared" si="112"/>
        <v>1</v>
      </c>
      <c r="L525" s="102" t="str">
        <f>IF(VLOOKUP(P525&amp;"_"&amp;Q525,活动关卡!$A$60:$Z$83,2+5*R525,FALSE)="","","Monster_Season2_Challenge"&amp;P525&amp;"_"&amp;Q525&amp;"_"&amp;R525)</f>
        <v>Monster_Season2_Challenge2_2_1</v>
      </c>
      <c r="M525" s="57">
        <f t="shared" si="113"/>
        <v>1</v>
      </c>
      <c r="O525" s="102">
        <f>VLOOKUP(P525&amp;"_"&amp;Q525,活动关卡!$A$4:$Z$27,6+5*MonsterWaveCallRuleCfg!R525,FALSE)</f>
        <v>20</v>
      </c>
      <c r="P525" s="110">
        <v>2</v>
      </c>
      <c r="Q525" s="110">
        <f t="shared" si="115"/>
        <v>2</v>
      </c>
      <c r="R525" s="110">
        <v>1</v>
      </c>
    </row>
    <row r="526" spans="2:18" x14ac:dyDescent="0.2">
      <c r="B526" s="57" t="str">
        <f t="shared" si="108"/>
        <v/>
      </c>
      <c r="D526" s="57" t="str">
        <f t="shared" si="109"/>
        <v/>
      </c>
      <c r="F526" s="57" t="str">
        <f t="shared" si="110"/>
        <v/>
      </c>
      <c r="G526" s="102" t="str">
        <f t="shared" si="114"/>
        <v/>
      </c>
      <c r="H526" s="57">
        <f t="shared" si="111"/>
        <v>0</v>
      </c>
      <c r="I526" s="102">
        <f>VLOOKUP(P526&amp;"_"&amp;Q526,活动关卡!$A$60:$Z$83,3+5*MonsterWaveCallRuleCfg!R526,FALSE)</f>
        <v>6</v>
      </c>
      <c r="J526" s="102">
        <f>VLOOKUP(P526&amp;"_"&amp;Q526,活动关卡!$A$60:$Z$83,4+5*MonsterWaveCallRuleCfg!R526,FALSE)</f>
        <v>2</v>
      </c>
      <c r="K526" s="102">
        <f t="shared" si="112"/>
        <v>1</v>
      </c>
      <c r="L526" s="102" t="str">
        <f>IF(VLOOKUP(P526&amp;"_"&amp;Q526,活动关卡!$A$60:$Z$83,2+5*R526,FALSE)="","","Monster_Season2_Challenge"&amp;P526&amp;"_"&amp;Q526&amp;"_"&amp;R526)</f>
        <v>Monster_Season2_Challenge2_2_2</v>
      </c>
      <c r="M526" s="57">
        <f t="shared" si="113"/>
        <v>1</v>
      </c>
      <c r="O526" s="102">
        <f>VLOOKUP(P526&amp;"_"&amp;Q526,活动关卡!$A$4:$Z$27,6+5*MonsterWaveCallRuleCfg!R526,FALSE)</f>
        <v>40</v>
      </c>
      <c r="P526" s="110">
        <v>2</v>
      </c>
      <c r="Q526" s="110">
        <f t="shared" si="115"/>
        <v>2</v>
      </c>
      <c r="R526" s="110">
        <v>2</v>
      </c>
    </row>
    <row r="527" spans="2:18" x14ac:dyDescent="0.2">
      <c r="B527" s="57" t="str">
        <f t="shared" si="108"/>
        <v/>
      </c>
      <c r="D527" s="57" t="str">
        <f t="shared" si="109"/>
        <v/>
      </c>
      <c r="F527" s="57" t="str">
        <f t="shared" si="110"/>
        <v/>
      </c>
      <c r="G527" s="102" t="str">
        <f t="shared" si="114"/>
        <v/>
      </c>
      <c r="H527" s="57">
        <f t="shared" si="111"/>
        <v>0</v>
      </c>
      <c r="I527" s="102">
        <f>VLOOKUP(P527&amp;"_"&amp;Q527,活动关卡!$A$60:$Z$83,3+5*MonsterWaveCallRuleCfg!R527,FALSE)</f>
        <v>6</v>
      </c>
      <c r="J527" s="102">
        <f>VLOOKUP(P527&amp;"_"&amp;Q527,活动关卡!$A$60:$Z$83,4+5*MonsterWaveCallRuleCfg!R527,FALSE)</f>
        <v>2</v>
      </c>
      <c r="K527" s="102">
        <f t="shared" si="112"/>
        <v>1</v>
      </c>
      <c r="L527" s="102" t="str">
        <f>IF(VLOOKUP(P527&amp;"_"&amp;Q527,活动关卡!$A$60:$Z$83,2+5*R527,FALSE)="","","Monster_Season2_Challenge"&amp;P527&amp;"_"&amp;Q527&amp;"_"&amp;R527)</f>
        <v>Monster_Season2_Challenge2_2_3</v>
      </c>
      <c r="M527" s="57">
        <f t="shared" si="113"/>
        <v>1</v>
      </c>
      <c r="O527" s="102">
        <f>VLOOKUP(P527&amp;"_"&amp;Q527,活动关卡!$A$4:$Z$27,6+5*MonsterWaveCallRuleCfg!R527,FALSE)</f>
        <v>40</v>
      </c>
      <c r="P527" s="110">
        <v>2</v>
      </c>
      <c r="Q527" s="110">
        <f t="shared" si="115"/>
        <v>2</v>
      </c>
      <c r="R527" s="110">
        <v>3</v>
      </c>
    </row>
    <row r="528" spans="2:18" x14ac:dyDescent="0.2">
      <c r="B528" s="57" t="str">
        <f t="shared" si="108"/>
        <v/>
      </c>
      <c r="D528" s="57" t="str">
        <f t="shared" si="109"/>
        <v/>
      </c>
      <c r="F528" s="57" t="str">
        <f t="shared" si="110"/>
        <v/>
      </c>
      <c r="G528" s="102" t="str">
        <f t="shared" si="114"/>
        <v/>
      </c>
      <c r="H528" s="57" t="str">
        <f t="shared" si="111"/>
        <v/>
      </c>
      <c r="I528" s="102" t="str">
        <f>VLOOKUP(P528&amp;"_"&amp;Q528,活动关卡!$A$60:$Z$83,3+5*MonsterWaveCallRuleCfg!R528,FALSE)</f>
        <v/>
      </c>
      <c r="J528" s="102" t="str">
        <f>VLOOKUP(P528&amp;"_"&amp;Q528,活动关卡!$A$60:$Z$83,4+5*MonsterWaveCallRuleCfg!R528,FALSE)</f>
        <v/>
      </c>
      <c r="K528" s="102" t="str">
        <f t="shared" si="112"/>
        <v/>
      </c>
      <c r="L528" s="102" t="str">
        <f>IF(VLOOKUP(P528&amp;"_"&amp;Q528,活动关卡!$A$60:$Z$83,2+5*R528,FALSE)="","","Monster_Season2_Challenge"&amp;P528&amp;"_"&amp;Q528&amp;"_"&amp;R528)</f>
        <v/>
      </c>
      <c r="M528" s="57" t="str">
        <f t="shared" si="113"/>
        <v/>
      </c>
      <c r="O528" s="102" t="str">
        <f>VLOOKUP(P528&amp;"_"&amp;Q528,活动关卡!$A$4:$Z$27,6+5*MonsterWaveCallRuleCfg!R528,FALSE)</f>
        <v/>
      </c>
      <c r="P528" s="110">
        <v>2</v>
      </c>
      <c r="Q528" s="110">
        <f t="shared" si="115"/>
        <v>2</v>
      </c>
      <c r="R528" s="110">
        <v>4</v>
      </c>
    </row>
    <row r="529" spans="2:18" x14ac:dyDescent="0.2">
      <c r="B529" s="57" t="str">
        <f t="shared" si="108"/>
        <v>MonsterWaveCallRule_Season2_Challenge2</v>
      </c>
      <c r="C529" s="57">
        <v>3</v>
      </c>
      <c r="D529" s="57" t="str">
        <f t="shared" si="109"/>
        <v>赛季2关卡2第3波</v>
      </c>
      <c r="F529" s="57">
        <f t="shared" si="110"/>
        <v>0</v>
      </c>
      <c r="G529" s="102">
        <f t="shared" si="114"/>
        <v>180</v>
      </c>
      <c r="H529" s="57">
        <f t="shared" si="111"/>
        <v>0</v>
      </c>
      <c r="I529" s="102">
        <f>VLOOKUP(P529&amp;"_"&amp;Q529,活动关卡!$A$60:$Z$83,3+5*MonsterWaveCallRuleCfg!R529,FALSE)</f>
        <v>15</v>
      </c>
      <c r="J529" s="102">
        <f>VLOOKUP(P529&amp;"_"&amp;Q529,活动关卡!$A$60:$Z$83,4+5*MonsterWaveCallRuleCfg!R529,FALSE)</f>
        <v>1</v>
      </c>
      <c r="K529" s="102">
        <f t="shared" si="112"/>
        <v>1</v>
      </c>
      <c r="L529" s="102" t="str">
        <f>IF(VLOOKUP(P529&amp;"_"&amp;Q529,活动关卡!$A$60:$Z$83,2+5*R529,FALSE)="","","Monster_Season2_Challenge"&amp;P529&amp;"_"&amp;Q529&amp;"_"&amp;R529)</f>
        <v>Monster_Season2_Challenge2_3_1</v>
      </c>
      <c r="M529" s="57">
        <f t="shared" si="113"/>
        <v>1</v>
      </c>
      <c r="O529" s="102">
        <f>VLOOKUP(P529&amp;"_"&amp;Q529,活动关卡!$A$4:$Z$27,6+5*MonsterWaveCallRuleCfg!R529,FALSE)</f>
        <v>11</v>
      </c>
      <c r="P529" s="110">
        <v>2</v>
      </c>
      <c r="Q529" s="110">
        <f t="shared" si="115"/>
        <v>3</v>
      </c>
      <c r="R529" s="110">
        <v>1</v>
      </c>
    </row>
    <row r="530" spans="2:18" x14ac:dyDescent="0.2">
      <c r="B530" s="57" t="str">
        <f t="shared" si="108"/>
        <v/>
      </c>
      <c r="D530" s="57" t="str">
        <f t="shared" si="109"/>
        <v/>
      </c>
      <c r="F530" s="57" t="str">
        <f t="shared" si="110"/>
        <v/>
      </c>
      <c r="G530" s="102" t="str">
        <f t="shared" si="114"/>
        <v/>
      </c>
      <c r="H530" s="57">
        <f t="shared" si="111"/>
        <v>0</v>
      </c>
      <c r="I530" s="102">
        <f>VLOOKUP(P530&amp;"_"&amp;Q530,活动关卡!$A$60:$Z$83,3+5*MonsterWaveCallRuleCfg!R530,FALSE)</f>
        <v>15</v>
      </c>
      <c r="J530" s="102">
        <f>VLOOKUP(P530&amp;"_"&amp;Q530,活动关卡!$A$60:$Z$83,4+5*MonsterWaveCallRuleCfg!R530,FALSE)</f>
        <v>1</v>
      </c>
      <c r="K530" s="102">
        <f t="shared" si="112"/>
        <v>1</v>
      </c>
      <c r="L530" s="102" t="str">
        <f>IF(VLOOKUP(P530&amp;"_"&amp;Q530,活动关卡!$A$60:$Z$83,2+5*R530,FALSE)="","","Monster_Season2_Challenge"&amp;P530&amp;"_"&amp;Q530&amp;"_"&amp;R530)</f>
        <v>Monster_Season2_Challenge2_3_2</v>
      </c>
      <c r="M530" s="57">
        <f t="shared" si="113"/>
        <v>1</v>
      </c>
      <c r="O530" s="102">
        <f>VLOOKUP(P530&amp;"_"&amp;Q530,活动关卡!$A$4:$Z$27,6+5*MonsterWaveCallRuleCfg!R530,FALSE)</f>
        <v>6</v>
      </c>
      <c r="P530" s="110">
        <v>2</v>
      </c>
      <c r="Q530" s="110">
        <f t="shared" si="115"/>
        <v>3</v>
      </c>
      <c r="R530" s="110">
        <v>2</v>
      </c>
    </row>
    <row r="531" spans="2:18" x14ac:dyDescent="0.2">
      <c r="B531" s="57" t="str">
        <f t="shared" si="108"/>
        <v/>
      </c>
      <c r="D531" s="57" t="str">
        <f t="shared" si="109"/>
        <v/>
      </c>
      <c r="F531" s="57" t="str">
        <f t="shared" si="110"/>
        <v/>
      </c>
      <c r="G531" s="102" t="str">
        <f t="shared" si="114"/>
        <v/>
      </c>
      <c r="H531" s="57">
        <f t="shared" si="111"/>
        <v>0</v>
      </c>
      <c r="I531" s="102">
        <f>VLOOKUP(P531&amp;"_"&amp;Q531,活动关卡!$A$60:$Z$83,3+5*MonsterWaveCallRuleCfg!R531,FALSE)</f>
        <v>15</v>
      </c>
      <c r="J531" s="102">
        <f>VLOOKUP(P531&amp;"_"&amp;Q531,活动关卡!$A$60:$Z$83,4+5*MonsterWaveCallRuleCfg!R531,FALSE)</f>
        <v>1</v>
      </c>
      <c r="K531" s="102">
        <f t="shared" si="112"/>
        <v>1</v>
      </c>
      <c r="L531" s="102" t="str">
        <f>IF(VLOOKUP(P531&amp;"_"&amp;Q531,活动关卡!$A$60:$Z$83,2+5*R531,FALSE)="","","Monster_Season2_Challenge"&amp;P531&amp;"_"&amp;Q531&amp;"_"&amp;R531)</f>
        <v>Monster_Season2_Challenge2_3_3</v>
      </c>
      <c r="M531" s="57">
        <f t="shared" si="113"/>
        <v>1</v>
      </c>
      <c r="O531" s="102">
        <f>VLOOKUP(P531&amp;"_"&amp;Q531,活动关卡!$A$4:$Z$27,6+5*MonsterWaveCallRuleCfg!R531,FALSE)</f>
        <v>23</v>
      </c>
      <c r="P531" s="110">
        <v>2</v>
      </c>
      <c r="Q531" s="110">
        <f t="shared" si="115"/>
        <v>3</v>
      </c>
      <c r="R531" s="110">
        <v>3</v>
      </c>
    </row>
    <row r="532" spans="2:18" x14ac:dyDescent="0.2">
      <c r="B532" s="57" t="str">
        <f t="shared" si="108"/>
        <v/>
      </c>
      <c r="D532" s="57" t="str">
        <f t="shared" si="109"/>
        <v/>
      </c>
      <c r="F532" s="57" t="str">
        <f t="shared" si="110"/>
        <v/>
      </c>
      <c r="G532" s="102" t="str">
        <f t="shared" si="114"/>
        <v/>
      </c>
      <c r="H532" s="57" t="str">
        <f t="shared" si="111"/>
        <v/>
      </c>
      <c r="I532" s="102" t="str">
        <f>VLOOKUP(P532&amp;"_"&amp;Q532,活动关卡!$A$60:$Z$83,3+5*MonsterWaveCallRuleCfg!R532,FALSE)</f>
        <v/>
      </c>
      <c r="J532" s="102" t="str">
        <f>VLOOKUP(P532&amp;"_"&amp;Q532,活动关卡!$A$60:$Z$83,4+5*MonsterWaveCallRuleCfg!R532,FALSE)</f>
        <v/>
      </c>
      <c r="K532" s="102" t="str">
        <f t="shared" si="112"/>
        <v/>
      </c>
      <c r="L532" s="102" t="str">
        <f>IF(VLOOKUP(P532&amp;"_"&amp;Q532,活动关卡!$A$60:$Z$83,2+5*R532,FALSE)="","","Monster_Season2_Challenge"&amp;P532&amp;"_"&amp;Q532&amp;"_"&amp;R532)</f>
        <v/>
      </c>
      <c r="M532" s="57" t="str">
        <f t="shared" si="113"/>
        <v/>
      </c>
      <c r="O532" s="102" t="str">
        <f>VLOOKUP(P532&amp;"_"&amp;Q532,活动关卡!$A$4:$Z$27,6+5*MonsterWaveCallRuleCfg!R532,FALSE)</f>
        <v/>
      </c>
      <c r="P532" s="110">
        <v>2</v>
      </c>
      <c r="Q532" s="110">
        <f t="shared" si="115"/>
        <v>3</v>
      </c>
      <c r="R532" s="110">
        <v>4</v>
      </c>
    </row>
    <row r="533" spans="2:18" x14ac:dyDescent="0.2">
      <c r="B533" s="57" t="str">
        <f t="shared" ref="B533:B564" si="116">IF(C533="","","MonsterWaveCallRule_Season2_Challenge"&amp;P533)</f>
        <v>MonsterWaveCallRule_Season2_Challenge2</v>
      </c>
      <c r="C533" s="57">
        <v>4</v>
      </c>
      <c r="D533" s="57" t="str">
        <f t="shared" ref="D533:D564" si="117">IF(C533="","","赛季2关卡"&amp;P533&amp;"第"&amp;C533&amp;"波")</f>
        <v>赛季2关卡2第4波</v>
      </c>
      <c r="F533" s="57">
        <f t="shared" si="110"/>
        <v>0</v>
      </c>
      <c r="G533" s="102">
        <f t="shared" si="114"/>
        <v>180</v>
      </c>
      <c r="H533" s="57">
        <f t="shared" si="111"/>
        <v>0</v>
      </c>
      <c r="I533" s="102">
        <f>VLOOKUP(P533&amp;"_"&amp;Q533,活动关卡!$A$60:$Z$83,3+5*MonsterWaveCallRuleCfg!R533,FALSE)</f>
        <v>18</v>
      </c>
      <c r="J533" s="102">
        <f>VLOOKUP(P533&amp;"_"&amp;Q533,活动关卡!$A$60:$Z$83,4+5*MonsterWaveCallRuleCfg!R533,FALSE)</f>
        <v>1</v>
      </c>
      <c r="K533" s="102">
        <f t="shared" si="112"/>
        <v>1</v>
      </c>
      <c r="L533" s="102" t="str">
        <f>IF(VLOOKUP(P533&amp;"_"&amp;Q533,活动关卡!$A$60:$Z$83,2+5*R533,FALSE)="","","Monster_Season2_Challenge"&amp;P533&amp;"_"&amp;Q533&amp;"_"&amp;R533)</f>
        <v>Monster_Season2_Challenge2_4_1</v>
      </c>
      <c r="M533" s="57">
        <f t="shared" si="113"/>
        <v>1</v>
      </c>
      <c r="O533" s="102">
        <f>VLOOKUP(P533&amp;"_"&amp;Q533,活动关卡!$A$4:$Z$27,6+5*MonsterWaveCallRuleCfg!R533,FALSE)</f>
        <v>4</v>
      </c>
      <c r="P533" s="110">
        <v>2</v>
      </c>
      <c r="Q533" s="110">
        <f t="shared" si="115"/>
        <v>4</v>
      </c>
      <c r="R533" s="110">
        <v>1</v>
      </c>
    </row>
    <row r="534" spans="2:18" x14ac:dyDescent="0.2">
      <c r="B534" s="57" t="str">
        <f t="shared" si="116"/>
        <v/>
      </c>
      <c r="D534" s="57" t="str">
        <f t="shared" si="117"/>
        <v/>
      </c>
      <c r="F534" s="57" t="str">
        <f t="shared" si="110"/>
        <v/>
      </c>
      <c r="G534" s="102" t="str">
        <f t="shared" si="114"/>
        <v/>
      </c>
      <c r="H534" s="57">
        <f t="shared" si="111"/>
        <v>0</v>
      </c>
      <c r="I534" s="102">
        <f>VLOOKUP(P534&amp;"_"&amp;Q534,活动关卡!$A$60:$Z$83,3+5*MonsterWaveCallRuleCfg!R534,FALSE)</f>
        <v>44</v>
      </c>
      <c r="J534" s="102">
        <f>VLOOKUP(P534&amp;"_"&amp;Q534,活动关卡!$A$60:$Z$83,4+5*MonsterWaveCallRuleCfg!R534,FALSE)</f>
        <v>0.4</v>
      </c>
      <c r="K534" s="102">
        <f t="shared" si="112"/>
        <v>1</v>
      </c>
      <c r="L534" s="102" t="str">
        <f>IF(VLOOKUP(P534&amp;"_"&amp;Q534,活动关卡!$A$60:$Z$83,2+5*R534,FALSE)="","","Monster_Season2_Challenge"&amp;P534&amp;"_"&amp;Q534&amp;"_"&amp;R534)</f>
        <v>Monster_Season2_Challenge2_4_2</v>
      </c>
      <c r="M534" s="57">
        <f t="shared" si="113"/>
        <v>1</v>
      </c>
      <c r="O534" s="102">
        <f>VLOOKUP(P534&amp;"_"&amp;Q534,活动关卡!$A$4:$Z$27,6+5*MonsterWaveCallRuleCfg!R534,FALSE)</f>
        <v>2</v>
      </c>
      <c r="P534" s="110">
        <v>2</v>
      </c>
      <c r="Q534" s="110">
        <f t="shared" si="115"/>
        <v>4</v>
      </c>
      <c r="R534" s="110">
        <v>2</v>
      </c>
    </row>
    <row r="535" spans="2:18" x14ac:dyDescent="0.2">
      <c r="B535" s="57" t="str">
        <f t="shared" si="116"/>
        <v/>
      </c>
      <c r="D535" s="57" t="str">
        <f t="shared" si="117"/>
        <v/>
      </c>
      <c r="F535" s="57" t="str">
        <f t="shared" si="110"/>
        <v/>
      </c>
      <c r="G535" s="102" t="str">
        <f t="shared" si="114"/>
        <v/>
      </c>
      <c r="H535" s="57">
        <f t="shared" si="111"/>
        <v>0</v>
      </c>
      <c r="I535" s="102">
        <f>VLOOKUP(P535&amp;"_"&amp;Q535,活动关卡!$A$60:$Z$83,3+5*MonsterWaveCallRuleCfg!R535,FALSE)</f>
        <v>35</v>
      </c>
      <c r="J535" s="102">
        <f>VLOOKUP(P535&amp;"_"&amp;Q535,活动关卡!$A$60:$Z$83,4+5*MonsterWaveCallRuleCfg!R535,FALSE)</f>
        <v>0.5</v>
      </c>
      <c r="K535" s="102">
        <f t="shared" si="112"/>
        <v>1</v>
      </c>
      <c r="L535" s="102" t="str">
        <f>IF(VLOOKUP(P535&amp;"_"&amp;Q535,活动关卡!$A$60:$Z$83,2+5*R535,FALSE)="","","Monster_Season2_Challenge"&amp;P535&amp;"_"&amp;Q535&amp;"_"&amp;R535)</f>
        <v>Monster_Season2_Challenge2_4_3</v>
      </c>
      <c r="M535" s="57">
        <f t="shared" si="113"/>
        <v>1</v>
      </c>
      <c r="O535" s="102">
        <f>VLOOKUP(P535&amp;"_"&amp;Q535,活动关卡!$A$4:$Z$27,6+5*MonsterWaveCallRuleCfg!R535,FALSE)</f>
        <v>8</v>
      </c>
      <c r="P535" s="110">
        <v>2</v>
      </c>
      <c r="Q535" s="110">
        <f t="shared" si="115"/>
        <v>4</v>
      </c>
      <c r="R535" s="110">
        <v>3</v>
      </c>
    </row>
    <row r="536" spans="2:18" x14ac:dyDescent="0.2">
      <c r="B536" s="57" t="str">
        <f t="shared" si="116"/>
        <v/>
      </c>
      <c r="D536" s="57" t="str">
        <f t="shared" si="117"/>
        <v/>
      </c>
      <c r="F536" s="57" t="str">
        <f t="shared" si="110"/>
        <v/>
      </c>
      <c r="G536" s="102" t="str">
        <f t="shared" si="114"/>
        <v/>
      </c>
      <c r="H536" s="57">
        <f t="shared" si="111"/>
        <v>0</v>
      </c>
      <c r="I536" s="102">
        <f>VLOOKUP(P536&amp;"_"&amp;Q536,活动关卡!$A$60:$Z$83,3+5*MonsterWaveCallRuleCfg!R536,FALSE)</f>
        <v>18</v>
      </c>
      <c r="J536" s="102">
        <f>VLOOKUP(P536&amp;"_"&amp;Q536,活动关卡!$A$60:$Z$83,4+5*MonsterWaveCallRuleCfg!R536,FALSE)</f>
        <v>1</v>
      </c>
      <c r="K536" s="102">
        <f t="shared" si="112"/>
        <v>1</v>
      </c>
      <c r="L536" s="102" t="str">
        <f>IF(VLOOKUP(P536&amp;"_"&amp;Q536,活动关卡!$A$60:$Z$83,2+5*R536,FALSE)="","","Monster_Season2_Challenge"&amp;P536&amp;"_"&amp;Q536&amp;"_"&amp;R536)</f>
        <v>Monster_Season2_Challenge2_4_4</v>
      </c>
      <c r="M536" s="57">
        <f t="shared" si="113"/>
        <v>1</v>
      </c>
      <c r="O536" s="102">
        <f>VLOOKUP(P536&amp;"_"&amp;Q536,活动关卡!$A$4:$Z$27,6+5*MonsterWaveCallRuleCfg!R536,FALSE)</f>
        <v>8</v>
      </c>
      <c r="P536" s="110">
        <v>2</v>
      </c>
      <c r="Q536" s="110">
        <f t="shared" si="115"/>
        <v>4</v>
      </c>
      <c r="R536" s="110">
        <v>4</v>
      </c>
    </row>
    <row r="537" spans="2:18" x14ac:dyDescent="0.2">
      <c r="B537" s="57" t="str">
        <f t="shared" si="116"/>
        <v>MonsterWaveCallRule_Season2_Challenge2</v>
      </c>
      <c r="C537" s="57">
        <v>5</v>
      </c>
      <c r="D537" s="57" t="str">
        <f t="shared" si="117"/>
        <v>赛季2关卡2第5波</v>
      </c>
      <c r="F537" s="57">
        <f t="shared" si="110"/>
        <v>0</v>
      </c>
      <c r="G537" s="102">
        <f t="shared" si="114"/>
        <v>180</v>
      </c>
      <c r="H537" s="57">
        <f t="shared" si="111"/>
        <v>0</v>
      </c>
      <c r="I537" s="102">
        <f>VLOOKUP(P537&amp;"_"&amp;Q537,活动关卡!$A$60:$Z$83,3+5*MonsterWaveCallRuleCfg!R537,FALSE)</f>
        <v>67</v>
      </c>
      <c r="J537" s="102">
        <f>VLOOKUP(P537&amp;"_"&amp;Q537,活动关卡!$A$60:$Z$83,4+5*MonsterWaveCallRuleCfg!R537,FALSE)</f>
        <v>0.3</v>
      </c>
      <c r="K537" s="102">
        <f t="shared" si="112"/>
        <v>1</v>
      </c>
      <c r="L537" s="102" t="str">
        <f>IF(VLOOKUP(P537&amp;"_"&amp;Q537,活动关卡!$A$60:$Z$83,2+5*R537,FALSE)="","","Monster_Season2_Challenge"&amp;P537&amp;"_"&amp;Q537&amp;"_"&amp;R537)</f>
        <v>Monster_Season2_Challenge2_5_1</v>
      </c>
      <c r="M537" s="57">
        <f t="shared" si="113"/>
        <v>1</v>
      </c>
      <c r="O537" s="102">
        <f>VLOOKUP(P537&amp;"_"&amp;Q537,活动关卡!$A$4:$Z$27,6+5*MonsterWaveCallRuleCfg!R537,FALSE)</f>
        <v>3</v>
      </c>
      <c r="P537" s="110">
        <v>2</v>
      </c>
      <c r="Q537" s="110">
        <f t="shared" si="115"/>
        <v>5</v>
      </c>
      <c r="R537" s="110">
        <v>1</v>
      </c>
    </row>
    <row r="538" spans="2:18" x14ac:dyDescent="0.2">
      <c r="B538" s="57" t="str">
        <f t="shared" si="116"/>
        <v/>
      </c>
      <c r="D538" s="57" t="str">
        <f t="shared" si="117"/>
        <v/>
      </c>
      <c r="F538" s="57" t="str">
        <f t="shared" si="110"/>
        <v/>
      </c>
      <c r="G538" s="102" t="str">
        <f t="shared" si="114"/>
        <v/>
      </c>
      <c r="H538" s="57">
        <f t="shared" si="111"/>
        <v>0</v>
      </c>
      <c r="I538" s="102">
        <f>VLOOKUP(P538&amp;"_"&amp;Q538,活动关卡!$A$60:$Z$83,3+5*MonsterWaveCallRuleCfg!R538,FALSE)</f>
        <v>100</v>
      </c>
      <c r="J538" s="102">
        <f>VLOOKUP(P538&amp;"_"&amp;Q538,活动关卡!$A$60:$Z$83,4+5*MonsterWaveCallRuleCfg!R538,FALSE)</f>
        <v>0.2</v>
      </c>
      <c r="K538" s="102">
        <f t="shared" si="112"/>
        <v>1</v>
      </c>
      <c r="L538" s="102" t="str">
        <f>IF(VLOOKUP(P538&amp;"_"&amp;Q538,活动关卡!$A$60:$Z$83,2+5*R538,FALSE)="","","Monster_Season2_Challenge"&amp;P538&amp;"_"&amp;Q538&amp;"_"&amp;R538)</f>
        <v>Monster_Season2_Challenge2_5_2</v>
      </c>
      <c r="M538" s="57">
        <f t="shared" si="113"/>
        <v>1</v>
      </c>
      <c r="O538" s="102">
        <f>VLOOKUP(P538&amp;"_"&amp;Q538,活动关卡!$A$4:$Z$27,6+5*MonsterWaveCallRuleCfg!R538,FALSE)</f>
        <v>1</v>
      </c>
      <c r="P538" s="110">
        <v>2</v>
      </c>
      <c r="Q538" s="110">
        <f t="shared" si="115"/>
        <v>5</v>
      </c>
      <c r="R538" s="110">
        <v>2</v>
      </c>
    </row>
    <row r="539" spans="2:18" x14ac:dyDescent="0.2">
      <c r="B539" s="57" t="str">
        <f t="shared" si="116"/>
        <v/>
      </c>
      <c r="D539" s="57" t="str">
        <f t="shared" si="117"/>
        <v/>
      </c>
      <c r="F539" s="57" t="str">
        <f t="shared" si="110"/>
        <v/>
      </c>
      <c r="G539" s="102" t="str">
        <f t="shared" si="114"/>
        <v/>
      </c>
      <c r="H539" s="57">
        <f t="shared" si="111"/>
        <v>0</v>
      </c>
      <c r="I539" s="102">
        <f>VLOOKUP(P539&amp;"_"&amp;Q539,活动关卡!$A$60:$Z$83,3+5*MonsterWaveCallRuleCfg!R539,FALSE)</f>
        <v>40</v>
      </c>
      <c r="J539" s="102">
        <f>VLOOKUP(P539&amp;"_"&amp;Q539,活动关卡!$A$60:$Z$83,4+5*MonsterWaveCallRuleCfg!R539,FALSE)</f>
        <v>0.5</v>
      </c>
      <c r="K539" s="102">
        <f t="shared" si="112"/>
        <v>1</v>
      </c>
      <c r="L539" s="102" t="str">
        <f>IF(VLOOKUP(P539&amp;"_"&amp;Q539,活动关卡!$A$60:$Z$83,2+5*R539,FALSE)="","","Monster_Season2_Challenge"&amp;P539&amp;"_"&amp;Q539&amp;"_"&amp;R539)</f>
        <v>Monster_Season2_Challenge2_5_3</v>
      </c>
      <c r="M539" s="57">
        <f t="shared" si="113"/>
        <v>1</v>
      </c>
      <c r="O539" s="102">
        <f>VLOOKUP(P539&amp;"_"&amp;Q539,活动关卡!$A$4:$Z$27,6+5*MonsterWaveCallRuleCfg!R539,FALSE)</f>
        <v>5</v>
      </c>
      <c r="P539" s="110">
        <v>2</v>
      </c>
      <c r="Q539" s="110">
        <f t="shared" si="115"/>
        <v>5</v>
      </c>
      <c r="R539" s="110">
        <v>3</v>
      </c>
    </row>
    <row r="540" spans="2:18" x14ac:dyDescent="0.2">
      <c r="B540" s="57" t="str">
        <f t="shared" si="116"/>
        <v/>
      </c>
      <c r="D540" s="57" t="str">
        <f t="shared" si="117"/>
        <v/>
      </c>
      <c r="F540" s="57" t="str">
        <f t="shared" si="110"/>
        <v/>
      </c>
      <c r="G540" s="102" t="str">
        <f t="shared" si="114"/>
        <v/>
      </c>
      <c r="H540" s="57">
        <f t="shared" si="111"/>
        <v>0</v>
      </c>
      <c r="I540" s="102">
        <f>VLOOKUP(P540&amp;"_"&amp;Q540,活动关卡!$A$60:$Z$83,3+5*MonsterWaveCallRuleCfg!R540,FALSE)</f>
        <v>20</v>
      </c>
      <c r="J540" s="102">
        <f>VLOOKUP(P540&amp;"_"&amp;Q540,活动关卡!$A$60:$Z$83,4+5*MonsterWaveCallRuleCfg!R540,FALSE)</f>
        <v>1</v>
      </c>
      <c r="K540" s="102">
        <f t="shared" si="112"/>
        <v>1</v>
      </c>
      <c r="L540" s="102" t="str">
        <f>IF(VLOOKUP(P540&amp;"_"&amp;Q540,活动关卡!$A$60:$Z$83,2+5*R540,FALSE)="","","Monster_Season2_Challenge"&amp;P540&amp;"_"&amp;Q540&amp;"_"&amp;R540)</f>
        <v>Monster_Season2_Challenge2_5_4</v>
      </c>
      <c r="M540" s="57">
        <f t="shared" si="113"/>
        <v>1</v>
      </c>
      <c r="O540" s="102">
        <f>VLOOKUP(P540&amp;"_"&amp;Q540,活动关卡!$A$4:$Z$27,6+5*MonsterWaveCallRuleCfg!R540,FALSE)</f>
        <v>5</v>
      </c>
      <c r="P540" s="110">
        <v>2</v>
      </c>
      <c r="Q540" s="110">
        <f t="shared" si="115"/>
        <v>5</v>
      </c>
      <c r="R540" s="110">
        <v>4</v>
      </c>
    </row>
    <row r="541" spans="2:18" x14ac:dyDescent="0.2">
      <c r="B541" s="57" t="str">
        <f t="shared" si="116"/>
        <v>MonsterWaveCallRule_Season2_Challenge3</v>
      </c>
      <c r="C541" s="57">
        <v>1</v>
      </c>
      <c r="D541" s="57" t="str">
        <f t="shared" si="117"/>
        <v>赛季2关卡3第1波</v>
      </c>
      <c r="F541" s="57">
        <f t="shared" si="110"/>
        <v>0</v>
      </c>
      <c r="G541" s="102">
        <f t="shared" si="114"/>
        <v>180</v>
      </c>
      <c r="H541" s="57">
        <f t="shared" si="111"/>
        <v>0</v>
      </c>
      <c r="I541" s="102">
        <f>VLOOKUP(P541&amp;"_"&amp;Q541,活动关卡!$A$60:$Z$83,3+5*MonsterWaveCallRuleCfg!R541,FALSE)</f>
        <v>5</v>
      </c>
      <c r="J541" s="102">
        <f>VLOOKUP(P541&amp;"_"&amp;Q541,活动关卡!$A$60:$Z$83,4+5*MonsterWaveCallRuleCfg!R541,FALSE)</f>
        <v>2</v>
      </c>
      <c r="K541" s="102">
        <f t="shared" si="112"/>
        <v>1</v>
      </c>
      <c r="L541" s="102" t="str">
        <f>IF(VLOOKUP(P541&amp;"_"&amp;Q541,活动关卡!$A$60:$Z$83,2+5*R541,FALSE)="","","Monster_Season2_Challenge"&amp;P541&amp;"_"&amp;Q541&amp;"_"&amp;R541)</f>
        <v>Monster_Season2_Challenge3_1_1</v>
      </c>
      <c r="M541" s="57">
        <f t="shared" si="113"/>
        <v>1</v>
      </c>
      <c r="O541" s="102">
        <f>VLOOKUP(P541&amp;"_"&amp;Q541,活动关卡!$A$4:$Z$27,6+5*MonsterWaveCallRuleCfg!R541,FALSE)</f>
        <v>60</v>
      </c>
      <c r="P541" s="110">
        <v>3</v>
      </c>
      <c r="Q541" s="110">
        <f t="shared" si="115"/>
        <v>1</v>
      </c>
      <c r="R541" s="110">
        <v>1</v>
      </c>
    </row>
    <row r="542" spans="2:18" x14ac:dyDescent="0.2">
      <c r="B542" s="57" t="str">
        <f t="shared" si="116"/>
        <v/>
      </c>
      <c r="D542" s="57" t="str">
        <f t="shared" si="117"/>
        <v/>
      </c>
      <c r="F542" s="57" t="str">
        <f t="shared" si="110"/>
        <v/>
      </c>
      <c r="G542" s="102" t="str">
        <f t="shared" si="114"/>
        <v/>
      </c>
      <c r="H542" s="57">
        <f t="shared" si="111"/>
        <v>0</v>
      </c>
      <c r="I542" s="102">
        <f>VLOOKUP(P542&amp;"_"&amp;Q542,活动关卡!$A$60:$Z$83,3+5*MonsterWaveCallRuleCfg!R542,FALSE)</f>
        <v>5</v>
      </c>
      <c r="J542" s="102">
        <f>VLOOKUP(P542&amp;"_"&amp;Q542,活动关卡!$A$60:$Z$83,4+5*MonsterWaveCallRuleCfg!R542,FALSE)</f>
        <v>2</v>
      </c>
      <c r="K542" s="102">
        <f t="shared" si="112"/>
        <v>1</v>
      </c>
      <c r="L542" s="102" t="str">
        <f>IF(VLOOKUP(P542&amp;"_"&amp;Q542,活动关卡!$A$60:$Z$83,2+5*R542,FALSE)="","","Monster_Season2_Challenge"&amp;P542&amp;"_"&amp;Q542&amp;"_"&amp;R542)</f>
        <v>Monster_Season2_Challenge3_1_2</v>
      </c>
      <c r="M542" s="57">
        <f t="shared" si="113"/>
        <v>1</v>
      </c>
      <c r="O542" s="102">
        <f>VLOOKUP(P542&amp;"_"&amp;Q542,活动关卡!$A$4:$Z$27,6+5*MonsterWaveCallRuleCfg!R542,FALSE)</f>
        <v>60</v>
      </c>
      <c r="P542" s="110">
        <v>3</v>
      </c>
      <c r="Q542" s="110">
        <f t="shared" si="115"/>
        <v>1</v>
      </c>
      <c r="R542" s="110">
        <v>2</v>
      </c>
    </row>
    <row r="543" spans="2:18" x14ac:dyDescent="0.2">
      <c r="B543" s="57" t="str">
        <f t="shared" si="116"/>
        <v/>
      </c>
      <c r="D543" s="57" t="str">
        <f t="shared" si="117"/>
        <v/>
      </c>
      <c r="F543" s="57" t="str">
        <f t="shared" si="110"/>
        <v/>
      </c>
      <c r="G543" s="102" t="str">
        <f t="shared" si="114"/>
        <v/>
      </c>
      <c r="H543" s="57" t="str">
        <f t="shared" si="111"/>
        <v/>
      </c>
      <c r="I543" s="102" t="str">
        <f>VLOOKUP(P543&amp;"_"&amp;Q543,活动关卡!$A$60:$Z$83,3+5*MonsterWaveCallRuleCfg!R543,FALSE)</f>
        <v/>
      </c>
      <c r="J543" s="102" t="str">
        <f>VLOOKUP(P543&amp;"_"&amp;Q543,活动关卡!$A$60:$Z$83,4+5*MonsterWaveCallRuleCfg!R543,FALSE)</f>
        <v/>
      </c>
      <c r="K543" s="102" t="str">
        <f t="shared" si="112"/>
        <v/>
      </c>
      <c r="L543" s="102" t="str">
        <f>IF(VLOOKUP(P543&amp;"_"&amp;Q543,活动关卡!$A$60:$Z$83,2+5*R543,FALSE)="","","Monster_Season2_Challenge"&amp;P543&amp;"_"&amp;Q543&amp;"_"&amp;R543)</f>
        <v/>
      </c>
      <c r="M543" s="57" t="str">
        <f t="shared" si="113"/>
        <v/>
      </c>
      <c r="O543" s="102" t="str">
        <f>VLOOKUP(P543&amp;"_"&amp;Q543,活动关卡!$A$4:$Z$27,6+5*MonsterWaveCallRuleCfg!R543,FALSE)</f>
        <v/>
      </c>
      <c r="P543" s="110">
        <v>3</v>
      </c>
      <c r="Q543" s="110">
        <f t="shared" si="115"/>
        <v>1</v>
      </c>
      <c r="R543" s="110">
        <v>3</v>
      </c>
    </row>
    <row r="544" spans="2:18" x14ac:dyDescent="0.2">
      <c r="B544" s="57" t="str">
        <f t="shared" si="116"/>
        <v/>
      </c>
      <c r="D544" s="57" t="str">
        <f t="shared" si="117"/>
        <v/>
      </c>
      <c r="F544" s="57" t="str">
        <f t="shared" si="110"/>
        <v/>
      </c>
      <c r="G544" s="102" t="str">
        <f t="shared" si="114"/>
        <v/>
      </c>
      <c r="H544" s="57" t="str">
        <f t="shared" si="111"/>
        <v/>
      </c>
      <c r="I544" s="102" t="str">
        <f>VLOOKUP(P544&amp;"_"&amp;Q544,活动关卡!$A$60:$Z$83,3+5*MonsterWaveCallRuleCfg!R544,FALSE)</f>
        <v/>
      </c>
      <c r="J544" s="102" t="str">
        <f>VLOOKUP(P544&amp;"_"&amp;Q544,活动关卡!$A$60:$Z$83,4+5*MonsterWaveCallRuleCfg!R544,FALSE)</f>
        <v/>
      </c>
      <c r="K544" s="102" t="str">
        <f t="shared" si="112"/>
        <v/>
      </c>
      <c r="L544" s="102" t="str">
        <f>IF(VLOOKUP(P544&amp;"_"&amp;Q544,活动关卡!$A$60:$Z$83,2+5*R544,FALSE)="","","Monster_Season2_Challenge"&amp;P544&amp;"_"&amp;Q544&amp;"_"&amp;R544)</f>
        <v/>
      </c>
      <c r="M544" s="57" t="str">
        <f t="shared" si="113"/>
        <v/>
      </c>
      <c r="O544" s="102" t="str">
        <f>VLOOKUP(P544&amp;"_"&amp;Q544,活动关卡!$A$4:$Z$27,6+5*MonsterWaveCallRuleCfg!R544,FALSE)</f>
        <v/>
      </c>
      <c r="P544" s="110">
        <v>3</v>
      </c>
      <c r="Q544" s="110">
        <f t="shared" si="115"/>
        <v>1</v>
      </c>
      <c r="R544" s="110">
        <v>4</v>
      </c>
    </row>
    <row r="545" spans="2:18" x14ac:dyDescent="0.2">
      <c r="B545" s="57" t="str">
        <f t="shared" si="116"/>
        <v>MonsterWaveCallRule_Season2_Challenge3</v>
      </c>
      <c r="C545" s="57">
        <v>2</v>
      </c>
      <c r="D545" s="57" t="str">
        <f t="shared" si="117"/>
        <v>赛季2关卡3第2波</v>
      </c>
      <c r="F545" s="57">
        <f t="shared" si="110"/>
        <v>0</v>
      </c>
      <c r="G545" s="102">
        <f t="shared" si="114"/>
        <v>180</v>
      </c>
      <c r="H545" s="57">
        <f t="shared" si="111"/>
        <v>0</v>
      </c>
      <c r="I545" s="102">
        <f>VLOOKUP(P545&amp;"_"&amp;Q545,活动关卡!$A$60:$Z$83,3+5*MonsterWaveCallRuleCfg!R545,FALSE)</f>
        <v>6</v>
      </c>
      <c r="J545" s="102">
        <f>VLOOKUP(P545&amp;"_"&amp;Q545,活动关卡!$A$60:$Z$83,4+5*MonsterWaveCallRuleCfg!R545,FALSE)</f>
        <v>2</v>
      </c>
      <c r="K545" s="102">
        <f t="shared" si="112"/>
        <v>1</v>
      </c>
      <c r="L545" s="102" t="str">
        <f>IF(VLOOKUP(P545&amp;"_"&amp;Q545,活动关卡!$A$60:$Z$83,2+5*R545,FALSE)="","","Monster_Season2_Challenge"&amp;P545&amp;"_"&amp;Q545&amp;"_"&amp;R545)</f>
        <v>Monster_Season2_Challenge3_2_1</v>
      </c>
      <c r="M545" s="57">
        <f t="shared" si="113"/>
        <v>1</v>
      </c>
      <c r="O545" s="102">
        <f>VLOOKUP(P545&amp;"_"&amp;Q545,活动关卡!$A$4:$Z$27,6+5*MonsterWaveCallRuleCfg!R545,FALSE)</f>
        <v>33</v>
      </c>
      <c r="P545" s="110">
        <v>3</v>
      </c>
      <c r="Q545" s="110">
        <f t="shared" si="115"/>
        <v>2</v>
      </c>
      <c r="R545" s="110">
        <v>1</v>
      </c>
    </row>
    <row r="546" spans="2:18" x14ac:dyDescent="0.2">
      <c r="B546" s="57" t="str">
        <f t="shared" si="116"/>
        <v/>
      </c>
      <c r="D546" s="57" t="str">
        <f t="shared" si="117"/>
        <v/>
      </c>
      <c r="F546" s="57" t="str">
        <f t="shared" si="110"/>
        <v/>
      </c>
      <c r="G546" s="102" t="str">
        <f t="shared" si="114"/>
        <v/>
      </c>
      <c r="H546" s="57">
        <f t="shared" si="111"/>
        <v>0</v>
      </c>
      <c r="I546" s="102">
        <f>VLOOKUP(P546&amp;"_"&amp;Q546,活动关卡!$A$60:$Z$83,3+5*MonsterWaveCallRuleCfg!R546,FALSE)</f>
        <v>6</v>
      </c>
      <c r="J546" s="102">
        <f>VLOOKUP(P546&amp;"_"&amp;Q546,活动关卡!$A$60:$Z$83,4+5*MonsterWaveCallRuleCfg!R546,FALSE)</f>
        <v>2</v>
      </c>
      <c r="K546" s="102">
        <f t="shared" si="112"/>
        <v>1</v>
      </c>
      <c r="L546" s="102" t="str">
        <f>IF(VLOOKUP(P546&amp;"_"&amp;Q546,活动关卡!$A$60:$Z$83,2+5*R546,FALSE)="","","Monster_Season2_Challenge"&amp;P546&amp;"_"&amp;Q546&amp;"_"&amp;R546)</f>
        <v>Monster_Season2_Challenge3_2_2</v>
      </c>
      <c r="M546" s="57">
        <f t="shared" si="113"/>
        <v>1</v>
      </c>
      <c r="O546" s="102">
        <f>VLOOKUP(P546&amp;"_"&amp;Q546,活动关卡!$A$4:$Z$27,6+5*MonsterWaveCallRuleCfg!R546,FALSE)</f>
        <v>33</v>
      </c>
      <c r="P546" s="110">
        <v>3</v>
      </c>
      <c r="Q546" s="110">
        <f t="shared" si="115"/>
        <v>2</v>
      </c>
      <c r="R546" s="110">
        <v>2</v>
      </c>
    </row>
    <row r="547" spans="2:18" x14ac:dyDescent="0.2">
      <c r="B547" s="57" t="str">
        <f t="shared" si="116"/>
        <v/>
      </c>
      <c r="D547" s="57" t="str">
        <f t="shared" si="117"/>
        <v/>
      </c>
      <c r="F547" s="57" t="str">
        <f t="shared" si="110"/>
        <v/>
      </c>
      <c r="G547" s="102" t="str">
        <f t="shared" si="114"/>
        <v/>
      </c>
      <c r="H547" s="57">
        <f t="shared" si="111"/>
        <v>0</v>
      </c>
      <c r="I547" s="102">
        <f>VLOOKUP(P547&amp;"_"&amp;Q547,活动关卡!$A$60:$Z$83,3+5*MonsterWaveCallRuleCfg!R547,FALSE)</f>
        <v>6</v>
      </c>
      <c r="J547" s="102">
        <f>VLOOKUP(P547&amp;"_"&amp;Q547,活动关卡!$A$60:$Z$83,4+5*MonsterWaveCallRuleCfg!R547,FALSE)</f>
        <v>2</v>
      </c>
      <c r="K547" s="102">
        <f t="shared" si="112"/>
        <v>1</v>
      </c>
      <c r="L547" s="102" t="str">
        <f>IF(VLOOKUP(P547&amp;"_"&amp;Q547,活动关卡!$A$60:$Z$83,2+5*R547,FALSE)="","","Monster_Season2_Challenge"&amp;P547&amp;"_"&amp;Q547&amp;"_"&amp;R547)</f>
        <v>Monster_Season2_Challenge3_2_3</v>
      </c>
      <c r="M547" s="57">
        <f t="shared" si="113"/>
        <v>1</v>
      </c>
      <c r="O547" s="102">
        <f>VLOOKUP(P547&amp;"_"&amp;Q547,活动关卡!$A$4:$Z$27,6+5*MonsterWaveCallRuleCfg!R547,FALSE)</f>
        <v>33</v>
      </c>
      <c r="P547" s="110">
        <v>3</v>
      </c>
      <c r="Q547" s="110">
        <f t="shared" si="115"/>
        <v>2</v>
      </c>
      <c r="R547" s="110">
        <v>3</v>
      </c>
    </row>
    <row r="548" spans="2:18" x14ac:dyDescent="0.2">
      <c r="B548" s="57" t="str">
        <f t="shared" si="116"/>
        <v/>
      </c>
      <c r="D548" s="57" t="str">
        <f t="shared" si="117"/>
        <v/>
      </c>
      <c r="F548" s="57" t="str">
        <f t="shared" si="110"/>
        <v/>
      </c>
      <c r="G548" s="102" t="str">
        <f t="shared" si="114"/>
        <v/>
      </c>
      <c r="H548" s="57" t="str">
        <f t="shared" si="111"/>
        <v/>
      </c>
      <c r="I548" s="102" t="str">
        <f>VLOOKUP(P548&amp;"_"&amp;Q548,活动关卡!$A$60:$Z$83,3+5*MonsterWaveCallRuleCfg!R548,FALSE)</f>
        <v/>
      </c>
      <c r="J548" s="102" t="str">
        <f>VLOOKUP(P548&amp;"_"&amp;Q548,活动关卡!$A$60:$Z$83,4+5*MonsterWaveCallRuleCfg!R548,FALSE)</f>
        <v/>
      </c>
      <c r="K548" s="102" t="str">
        <f t="shared" si="112"/>
        <v/>
      </c>
      <c r="L548" s="102" t="str">
        <f>IF(VLOOKUP(P548&amp;"_"&amp;Q548,活动关卡!$A$60:$Z$83,2+5*R548,FALSE)="","","Monster_Season2_Challenge"&amp;P548&amp;"_"&amp;Q548&amp;"_"&amp;R548)</f>
        <v/>
      </c>
      <c r="M548" s="57" t="str">
        <f t="shared" si="113"/>
        <v/>
      </c>
      <c r="O548" s="102" t="str">
        <f>VLOOKUP(P548&amp;"_"&amp;Q548,活动关卡!$A$4:$Z$27,6+5*MonsterWaveCallRuleCfg!R548,FALSE)</f>
        <v/>
      </c>
      <c r="P548" s="110">
        <v>3</v>
      </c>
      <c r="Q548" s="110">
        <f t="shared" si="115"/>
        <v>2</v>
      </c>
      <c r="R548" s="110">
        <v>4</v>
      </c>
    </row>
    <row r="549" spans="2:18" x14ac:dyDescent="0.2">
      <c r="B549" s="57" t="str">
        <f t="shared" si="116"/>
        <v>MonsterWaveCallRule_Season2_Challenge3</v>
      </c>
      <c r="C549" s="57">
        <v>3</v>
      </c>
      <c r="D549" s="57" t="str">
        <f t="shared" si="117"/>
        <v>赛季2关卡3第3波</v>
      </c>
      <c r="F549" s="57">
        <f t="shared" si="110"/>
        <v>0</v>
      </c>
      <c r="G549" s="102">
        <f t="shared" si="114"/>
        <v>180</v>
      </c>
      <c r="H549" s="57">
        <f t="shared" si="111"/>
        <v>0</v>
      </c>
      <c r="I549" s="102">
        <f>VLOOKUP(P549&amp;"_"&amp;Q549,活动关卡!$A$60:$Z$83,3+5*MonsterWaveCallRuleCfg!R549,FALSE)</f>
        <v>8</v>
      </c>
      <c r="J549" s="102">
        <f>VLOOKUP(P549&amp;"_"&amp;Q549,活动关卡!$A$60:$Z$83,4+5*MonsterWaveCallRuleCfg!R549,FALSE)</f>
        <v>2</v>
      </c>
      <c r="K549" s="102">
        <f t="shared" si="112"/>
        <v>1</v>
      </c>
      <c r="L549" s="102" t="str">
        <f>IF(VLOOKUP(P549&amp;"_"&amp;Q549,活动关卡!$A$60:$Z$83,2+5*R549,FALSE)="","","Monster_Season2_Challenge"&amp;P549&amp;"_"&amp;Q549&amp;"_"&amp;R549)</f>
        <v>Monster_Season2_Challenge3_3_1</v>
      </c>
      <c r="M549" s="57">
        <f t="shared" si="113"/>
        <v>1</v>
      </c>
      <c r="O549" s="102">
        <f>VLOOKUP(P549&amp;"_"&amp;Q549,活动关卡!$A$4:$Z$27,6+5*MonsterWaveCallRuleCfg!R549,FALSE)</f>
        <v>30</v>
      </c>
      <c r="P549" s="110">
        <v>3</v>
      </c>
      <c r="Q549" s="110">
        <f t="shared" si="115"/>
        <v>3</v>
      </c>
      <c r="R549" s="110">
        <v>1</v>
      </c>
    </row>
    <row r="550" spans="2:18" x14ac:dyDescent="0.2">
      <c r="B550" s="57" t="str">
        <f t="shared" si="116"/>
        <v/>
      </c>
      <c r="D550" s="57" t="str">
        <f t="shared" si="117"/>
        <v/>
      </c>
      <c r="F550" s="57" t="str">
        <f t="shared" si="110"/>
        <v/>
      </c>
      <c r="G550" s="102" t="str">
        <f t="shared" si="114"/>
        <v/>
      </c>
      <c r="H550" s="57">
        <f t="shared" si="111"/>
        <v>0</v>
      </c>
      <c r="I550" s="102">
        <f>VLOOKUP(P550&amp;"_"&amp;Q550,活动关卡!$A$60:$Z$83,3+5*MonsterWaveCallRuleCfg!R550,FALSE)</f>
        <v>15</v>
      </c>
      <c r="J550" s="102">
        <f>VLOOKUP(P550&amp;"_"&amp;Q550,活动关卡!$A$60:$Z$83,4+5*MonsterWaveCallRuleCfg!R550,FALSE)</f>
        <v>1</v>
      </c>
      <c r="K550" s="102">
        <f t="shared" si="112"/>
        <v>1</v>
      </c>
      <c r="L550" s="102" t="str">
        <f>IF(VLOOKUP(P550&amp;"_"&amp;Q550,活动关卡!$A$60:$Z$83,2+5*R550,FALSE)="","","Monster_Season2_Challenge"&amp;P550&amp;"_"&amp;Q550&amp;"_"&amp;R550)</f>
        <v>Monster_Season2_Challenge3_3_2</v>
      </c>
      <c r="M550" s="57">
        <f t="shared" si="113"/>
        <v>1</v>
      </c>
      <c r="O550" s="102">
        <f>VLOOKUP(P550&amp;"_"&amp;Q550,活动关卡!$A$4:$Z$27,6+5*MonsterWaveCallRuleCfg!R550,FALSE)</f>
        <v>8</v>
      </c>
      <c r="P550" s="110">
        <v>3</v>
      </c>
      <c r="Q550" s="110">
        <f t="shared" si="115"/>
        <v>3</v>
      </c>
      <c r="R550" s="110">
        <v>2</v>
      </c>
    </row>
    <row r="551" spans="2:18" x14ac:dyDescent="0.2">
      <c r="B551" s="57" t="str">
        <f t="shared" si="116"/>
        <v/>
      </c>
      <c r="D551" s="57" t="str">
        <f t="shared" si="117"/>
        <v/>
      </c>
      <c r="F551" s="57" t="str">
        <f t="shared" si="110"/>
        <v/>
      </c>
      <c r="G551" s="102" t="str">
        <f t="shared" si="114"/>
        <v/>
      </c>
      <c r="H551" s="57">
        <f t="shared" si="111"/>
        <v>0</v>
      </c>
      <c r="I551" s="102">
        <f>VLOOKUP(P551&amp;"_"&amp;Q551,活动关卡!$A$60:$Z$83,3+5*MonsterWaveCallRuleCfg!R551,FALSE)</f>
        <v>8</v>
      </c>
      <c r="J551" s="102">
        <f>VLOOKUP(P551&amp;"_"&amp;Q551,活动关卡!$A$60:$Z$83,4+5*MonsterWaveCallRuleCfg!R551,FALSE)</f>
        <v>2</v>
      </c>
      <c r="K551" s="102">
        <f t="shared" si="112"/>
        <v>1</v>
      </c>
      <c r="L551" s="102" t="str">
        <f>IF(VLOOKUP(P551&amp;"_"&amp;Q551,活动关卡!$A$60:$Z$83,2+5*R551,FALSE)="","","Monster_Season2_Challenge"&amp;P551&amp;"_"&amp;Q551&amp;"_"&amp;R551)</f>
        <v>Monster_Season2_Challenge3_3_3</v>
      </c>
      <c r="M551" s="57">
        <f t="shared" si="113"/>
        <v>1</v>
      </c>
      <c r="O551" s="102">
        <f>VLOOKUP(P551&amp;"_"&amp;Q551,活动关卡!$A$4:$Z$27,6+5*MonsterWaveCallRuleCfg!R551,FALSE)</f>
        <v>30</v>
      </c>
      <c r="P551" s="110">
        <v>3</v>
      </c>
      <c r="Q551" s="110">
        <f t="shared" si="115"/>
        <v>3</v>
      </c>
      <c r="R551" s="110">
        <v>3</v>
      </c>
    </row>
    <row r="552" spans="2:18" x14ac:dyDescent="0.2">
      <c r="B552" s="57" t="str">
        <f t="shared" si="116"/>
        <v/>
      </c>
      <c r="D552" s="57" t="str">
        <f t="shared" si="117"/>
        <v/>
      </c>
      <c r="F552" s="57" t="str">
        <f t="shared" si="110"/>
        <v/>
      </c>
      <c r="G552" s="102" t="str">
        <f t="shared" si="114"/>
        <v/>
      </c>
      <c r="H552" s="57" t="str">
        <f t="shared" si="111"/>
        <v/>
      </c>
      <c r="I552" s="102" t="str">
        <f>VLOOKUP(P552&amp;"_"&amp;Q552,活动关卡!$A$60:$Z$83,3+5*MonsterWaveCallRuleCfg!R552,FALSE)</f>
        <v/>
      </c>
      <c r="J552" s="102" t="str">
        <f>VLOOKUP(P552&amp;"_"&amp;Q552,活动关卡!$A$60:$Z$83,4+5*MonsterWaveCallRuleCfg!R552,FALSE)</f>
        <v/>
      </c>
      <c r="K552" s="102" t="str">
        <f t="shared" si="112"/>
        <v/>
      </c>
      <c r="L552" s="102" t="str">
        <f>IF(VLOOKUP(P552&amp;"_"&amp;Q552,活动关卡!$A$60:$Z$83,2+5*R552,FALSE)="","","Monster_Season2_Challenge"&amp;P552&amp;"_"&amp;Q552&amp;"_"&amp;R552)</f>
        <v/>
      </c>
      <c r="M552" s="57" t="str">
        <f t="shared" si="113"/>
        <v/>
      </c>
      <c r="O552" s="102" t="str">
        <f>VLOOKUP(P552&amp;"_"&amp;Q552,活动关卡!$A$4:$Z$27,6+5*MonsterWaveCallRuleCfg!R552,FALSE)</f>
        <v/>
      </c>
      <c r="P552" s="110">
        <v>3</v>
      </c>
      <c r="Q552" s="110">
        <f t="shared" si="115"/>
        <v>3</v>
      </c>
      <c r="R552" s="110">
        <v>4</v>
      </c>
    </row>
    <row r="553" spans="2:18" x14ac:dyDescent="0.2">
      <c r="B553" s="57" t="str">
        <f t="shared" si="116"/>
        <v>MonsterWaveCallRule_Season2_Challenge3</v>
      </c>
      <c r="C553" s="57">
        <v>4</v>
      </c>
      <c r="D553" s="57" t="str">
        <f t="shared" si="117"/>
        <v>赛季2关卡3第4波</v>
      </c>
      <c r="F553" s="57">
        <f t="shared" si="110"/>
        <v>0</v>
      </c>
      <c r="G553" s="102">
        <f t="shared" si="114"/>
        <v>180</v>
      </c>
      <c r="H553" s="57" t="e">
        <f t="shared" si="111"/>
        <v>#N/A</v>
      </c>
      <c r="I553" s="102" t="e">
        <f>VLOOKUP(P553&amp;"_"&amp;Q553,活动关卡!$A$60:$Z$83,3+5*MonsterWaveCallRuleCfg!R553,FALSE)</f>
        <v>#N/A</v>
      </c>
      <c r="J553" s="102" t="e">
        <f>VLOOKUP(P553&amp;"_"&amp;Q553,活动关卡!$A$60:$Z$83,4+5*MonsterWaveCallRuleCfg!R553,FALSE)</f>
        <v>#N/A</v>
      </c>
      <c r="K553" s="102" t="e">
        <f t="shared" si="112"/>
        <v>#N/A</v>
      </c>
      <c r="L553" s="102" t="e">
        <f>IF(VLOOKUP(P553&amp;"_"&amp;Q553,活动关卡!$A$60:$Z$83,2+5*R553,FALSE)="","","Monster_Season2_Challenge"&amp;P553&amp;"_"&amp;Q553&amp;"_"&amp;R553)</f>
        <v>#N/A</v>
      </c>
      <c r="M553" s="57" t="e">
        <f t="shared" si="113"/>
        <v>#N/A</v>
      </c>
      <c r="O553" s="102" t="e">
        <f>VLOOKUP(P553&amp;"_"&amp;Q553,活动关卡!$A$4:$Z$27,6+5*MonsterWaveCallRuleCfg!R553,FALSE)</f>
        <v>#N/A</v>
      </c>
      <c r="P553" s="110">
        <v>3</v>
      </c>
      <c r="Q553" s="110">
        <f t="shared" si="115"/>
        <v>4</v>
      </c>
      <c r="R553" s="110">
        <v>1</v>
      </c>
    </row>
    <row r="554" spans="2:18" x14ac:dyDescent="0.2">
      <c r="B554" s="57" t="str">
        <f t="shared" si="116"/>
        <v/>
      </c>
      <c r="D554" s="57" t="str">
        <f t="shared" si="117"/>
        <v/>
      </c>
      <c r="F554" s="57" t="str">
        <f t="shared" si="110"/>
        <v/>
      </c>
      <c r="G554" s="102" t="str">
        <f t="shared" si="114"/>
        <v/>
      </c>
      <c r="H554" s="57" t="e">
        <f t="shared" si="111"/>
        <v>#N/A</v>
      </c>
      <c r="I554" s="102" t="e">
        <f>VLOOKUP(P554&amp;"_"&amp;Q554,活动关卡!$A$60:$Z$83,3+5*MonsterWaveCallRuleCfg!R554,FALSE)</f>
        <v>#N/A</v>
      </c>
      <c r="J554" s="102" t="e">
        <f>VLOOKUP(P554&amp;"_"&amp;Q554,活动关卡!$A$60:$Z$83,4+5*MonsterWaveCallRuleCfg!R554,FALSE)</f>
        <v>#N/A</v>
      </c>
      <c r="K554" s="102" t="e">
        <f t="shared" si="112"/>
        <v>#N/A</v>
      </c>
      <c r="L554" s="102" t="e">
        <f>IF(VLOOKUP(P554&amp;"_"&amp;Q554,活动关卡!$A$60:$Z$83,2+5*R554,FALSE)="","","Monster_Season2_Challenge"&amp;P554&amp;"_"&amp;Q554&amp;"_"&amp;R554)</f>
        <v>#N/A</v>
      </c>
      <c r="M554" s="57" t="e">
        <f t="shared" si="113"/>
        <v>#N/A</v>
      </c>
      <c r="O554" s="102" t="e">
        <f>VLOOKUP(P554&amp;"_"&amp;Q554,活动关卡!$A$4:$Z$27,6+5*MonsterWaveCallRuleCfg!R554,FALSE)</f>
        <v>#N/A</v>
      </c>
      <c r="P554" s="110">
        <v>3</v>
      </c>
      <c r="Q554" s="110">
        <f t="shared" si="115"/>
        <v>4</v>
      </c>
      <c r="R554" s="110">
        <v>2</v>
      </c>
    </row>
    <row r="555" spans="2:18" x14ac:dyDescent="0.2">
      <c r="B555" s="57" t="str">
        <f t="shared" si="116"/>
        <v/>
      </c>
      <c r="D555" s="57" t="str">
        <f t="shared" si="117"/>
        <v/>
      </c>
      <c r="F555" s="57" t="str">
        <f t="shared" si="110"/>
        <v/>
      </c>
      <c r="G555" s="102" t="str">
        <f t="shared" si="114"/>
        <v/>
      </c>
      <c r="H555" s="57" t="e">
        <f t="shared" si="111"/>
        <v>#N/A</v>
      </c>
      <c r="I555" s="102" t="e">
        <f>VLOOKUP(P555&amp;"_"&amp;Q555,活动关卡!$A$60:$Z$83,3+5*MonsterWaveCallRuleCfg!R555,FALSE)</f>
        <v>#N/A</v>
      </c>
      <c r="J555" s="102" t="e">
        <f>VLOOKUP(P555&amp;"_"&amp;Q555,活动关卡!$A$60:$Z$83,4+5*MonsterWaveCallRuleCfg!R555,FALSE)</f>
        <v>#N/A</v>
      </c>
      <c r="K555" s="102" t="e">
        <f t="shared" si="112"/>
        <v>#N/A</v>
      </c>
      <c r="L555" s="102" t="e">
        <f>IF(VLOOKUP(P555&amp;"_"&amp;Q555,活动关卡!$A$60:$Z$83,2+5*R555,FALSE)="","","Monster_Season2_Challenge"&amp;P555&amp;"_"&amp;Q555&amp;"_"&amp;R555)</f>
        <v>#N/A</v>
      </c>
      <c r="M555" s="57" t="e">
        <f t="shared" si="113"/>
        <v>#N/A</v>
      </c>
      <c r="O555" s="102" t="e">
        <f>VLOOKUP(P555&amp;"_"&amp;Q555,活动关卡!$A$4:$Z$27,6+5*MonsterWaveCallRuleCfg!R555,FALSE)</f>
        <v>#N/A</v>
      </c>
      <c r="P555" s="110">
        <v>3</v>
      </c>
      <c r="Q555" s="110">
        <f t="shared" si="115"/>
        <v>4</v>
      </c>
      <c r="R555" s="110">
        <v>3</v>
      </c>
    </row>
    <row r="556" spans="2:18" x14ac:dyDescent="0.2">
      <c r="B556" s="57" t="str">
        <f t="shared" si="116"/>
        <v/>
      </c>
      <c r="D556" s="57" t="str">
        <f t="shared" si="117"/>
        <v/>
      </c>
      <c r="F556" s="57" t="str">
        <f t="shared" si="110"/>
        <v/>
      </c>
      <c r="G556" s="102" t="str">
        <f t="shared" si="114"/>
        <v/>
      </c>
      <c r="H556" s="57" t="e">
        <f t="shared" si="111"/>
        <v>#N/A</v>
      </c>
      <c r="I556" s="102" t="e">
        <f>VLOOKUP(P556&amp;"_"&amp;Q556,活动关卡!$A$60:$Z$83,3+5*MonsterWaveCallRuleCfg!R556,FALSE)</f>
        <v>#N/A</v>
      </c>
      <c r="J556" s="102" t="e">
        <f>VLOOKUP(P556&amp;"_"&amp;Q556,活动关卡!$A$60:$Z$83,4+5*MonsterWaveCallRuleCfg!R556,FALSE)</f>
        <v>#N/A</v>
      </c>
      <c r="K556" s="102" t="e">
        <f t="shared" si="112"/>
        <v>#N/A</v>
      </c>
      <c r="L556" s="102" t="e">
        <f>IF(VLOOKUP(P556&amp;"_"&amp;Q556,活动关卡!$A$60:$Z$83,2+5*R556,FALSE)="","","Monster_Season2_Challenge"&amp;P556&amp;"_"&amp;Q556&amp;"_"&amp;R556)</f>
        <v>#N/A</v>
      </c>
      <c r="M556" s="57" t="e">
        <f t="shared" si="113"/>
        <v>#N/A</v>
      </c>
      <c r="O556" s="102" t="e">
        <f>VLOOKUP(P556&amp;"_"&amp;Q556,活动关卡!$A$4:$Z$27,6+5*MonsterWaveCallRuleCfg!R556,FALSE)</f>
        <v>#N/A</v>
      </c>
      <c r="P556" s="110">
        <v>3</v>
      </c>
      <c r="Q556" s="110">
        <f t="shared" si="115"/>
        <v>4</v>
      </c>
      <c r="R556" s="110">
        <v>4</v>
      </c>
    </row>
    <row r="557" spans="2:18" x14ac:dyDescent="0.2">
      <c r="B557" s="57" t="str">
        <f t="shared" si="116"/>
        <v>MonsterWaveCallRule_Season2_Challenge3</v>
      </c>
      <c r="C557" s="57">
        <v>5</v>
      </c>
      <c r="D557" s="57" t="str">
        <f t="shared" si="117"/>
        <v>赛季2关卡3第5波</v>
      </c>
      <c r="F557" s="57">
        <f t="shared" si="110"/>
        <v>0</v>
      </c>
      <c r="G557" s="102">
        <f t="shared" si="114"/>
        <v>180</v>
      </c>
      <c r="H557" s="57" t="e">
        <f t="shared" si="111"/>
        <v>#N/A</v>
      </c>
      <c r="I557" s="102" t="e">
        <f>VLOOKUP(P557&amp;"_"&amp;Q557,活动关卡!$A$60:$Z$83,3+5*MonsterWaveCallRuleCfg!R557,FALSE)</f>
        <v>#N/A</v>
      </c>
      <c r="J557" s="102" t="e">
        <f>VLOOKUP(P557&amp;"_"&amp;Q557,活动关卡!$A$60:$Z$83,4+5*MonsterWaveCallRuleCfg!R557,FALSE)</f>
        <v>#N/A</v>
      </c>
      <c r="K557" s="102" t="e">
        <f t="shared" si="112"/>
        <v>#N/A</v>
      </c>
      <c r="L557" s="102" t="e">
        <f>IF(VLOOKUP(P557&amp;"_"&amp;Q557,活动关卡!$A$60:$Z$83,2+5*R557,FALSE)="","","Monster_Season2_Challenge"&amp;P557&amp;"_"&amp;Q557&amp;"_"&amp;R557)</f>
        <v>#N/A</v>
      </c>
      <c r="M557" s="57" t="e">
        <f t="shared" si="113"/>
        <v>#N/A</v>
      </c>
      <c r="O557" s="102" t="e">
        <f>VLOOKUP(P557&amp;"_"&amp;Q557,活动关卡!$A$4:$Z$27,6+5*MonsterWaveCallRuleCfg!R557,FALSE)</f>
        <v>#N/A</v>
      </c>
      <c r="P557" s="110">
        <v>3</v>
      </c>
      <c r="Q557" s="110">
        <f t="shared" si="115"/>
        <v>5</v>
      </c>
      <c r="R557" s="110">
        <v>1</v>
      </c>
    </row>
    <row r="558" spans="2:18" x14ac:dyDescent="0.2">
      <c r="B558" s="57" t="str">
        <f t="shared" si="116"/>
        <v/>
      </c>
      <c r="D558" s="57" t="str">
        <f t="shared" si="117"/>
        <v/>
      </c>
      <c r="F558" s="57" t="str">
        <f t="shared" si="110"/>
        <v/>
      </c>
      <c r="G558" s="102" t="str">
        <f t="shared" si="114"/>
        <v/>
      </c>
      <c r="H558" s="57" t="e">
        <f t="shared" si="111"/>
        <v>#N/A</v>
      </c>
      <c r="I558" s="102" t="e">
        <f>VLOOKUP(P558&amp;"_"&amp;Q558,活动关卡!$A$60:$Z$83,3+5*MonsterWaveCallRuleCfg!R558,FALSE)</f>
        <v>#N/A</v>
      </c>
      <c r="J558" s="102" t="e">
        <f>VLOOKUP(P558&amp;"_"&amp;Q558,活动关卡!$A$60:$Z$83,4+5*MonsterWaveCallRuleCfg!R558,FALSE)</f>
        <v>#N/A</v>
      </c>
      <c r="K558" s="102" t="e">
        <f t="shared" si="112"/>
        <v>#N/A</v>
      </c>
      <c r="L558" s="102" t="e">
        <f>IF(VLOOKUP(P558&amp;"_"&amp;Q558,活动关卡!$A$60:$Z$83,2+5*R558,FALSE)="","","Monster_Season2_Challenge"&amp;P558&amp;"_"&amp;Q558&amp;"_"&amp;R558)</f>
        <v>#N/A</v>
      </c>
      <c r="M558" s="57" t="e">
        <f t="shared" si="113"/>
        <v>#N/A</v>
      </c>
      <c r="O558" s="102" t="e">
        <f>VLOOKUP(P558&amp;"_"&amp;Q558,活动关卡!$A$4:$Z$27,6+5*MonsterWaveCallRuleCfg!R558,FALSE)</f>
        <v>#N/A</v>
      </c>
      <c r="P558" s="110">
        <v>3</v>
      </c>
      <c r="Q558" s="110">
        <f t="shared" si="115"/>
        <v>5</v>
      </c>
      <c r="R558" s="110">
        <v>2</v>
      </c>
    </row>
    <row r="559" spans="2:18" x14ac:dyDescent="0.2">
      <c r="B559" s="57" t="str">
        <f t="shared" si="116"/>
        <v/>
      </c>
      <c r="D559" s="57" t="str">
        <f t="shared" si="117"/>
        <v/>
      </c>
      <c r="F559" s="57" t="str">
        <f t="shared" si="110"/>
        <v/>
      </c>
      <c r="G559" s="102" t="str">
        <f t="shared" si="114"/>
        <v/>
      </c>
      <c r="H559" s="57" t="e">
        <f t="shared" si="111"/>
        <v>#N/A</v>
      </c>
      <c r="I559" s="102" t="e">
        <f>VLOOKUP(P559&amp;"_"&amp;Q559,活动关卡!$A$60:$Z$83,3+5*MonsterWaveCallRuleCfg!R559,FALSE)</f>
        <v>#N/A</v>
      </c>
      <c r="J559" s="102" t="e">
        <f>VLOOKUP(P559&amp;"_"&amp;Q559,活动关卡!$A$60:$Z$83,4+5*MonsterWaveCallRuleCfg!R559,FALSE)</f>
        <v>#N/A</v>
      </c>
      <c r="K559" s="102" t="e">
        <f t="shared" si="112"/>
        <v>#N/A</v>
      </c>
      <c r="L559" s="102" t="e">
        <f>IF(VLOOKUP(P559&amp;"_"&amp;Q559,活动关卡!$A$60:$Z$83,2+5*R559,FALSE)="","","Monster_Season2_Challenge"&amp;P559&amp;"_"&amp;Q559&amp;"_"&amp;R559)</f>
        <v>#N/A</v>
      </c>
      <c r="M559" s="57" t="e">
        <f t="shared" si="113"/>
        <v>#N/A</v>
      </c>
      <c r="O559" s="102" t="e">
        <f>VLOOKUP(P559&amp;"_"&amp;Q559,活动关卡!$A$4:$Z$27,6+5*MonsterWaveCallRuleCfg!R559,FALSE)</f>
        <v>#N/A</v>
      </c>
      <c r="P559" s="110">
        <v>3</v>
      </c>
      <c r="Q559" s="110">
        <f t="shared" si="115"/>
        <v>5</v>
      </c>
      <c r="R559" s="110">
        <v>3</v>
      </c>
    </row>
    <row r="560" spans="2:18" x14ac:dyDescent="0.2">
      <c r="B560" s="57" t="str">
        <f t="shared" si="116"/>
        <v/>
      </c>
      <c r="D560" s="57" t="str">
        <f t="shared" si="117"/>
        <v/>
      </c>
      <c r="F560" s="57" t="str">
        <f t="shared" si="110"/>
        <v/>
      </c>
      <c r="G560" s="102" t="str">
        <f t="shared" si="114"/>
        <v/>
      </c>
      <c r="H560" s="57" t="e">
        <f t="shared" si="111"/>
        <v>#N/A</v>
      </c>
      <c r="I560" s="102" t="e">
        <f>VLOOKUP(P560&amp;"_"&amp;Q560,活动关卡!$A$60:$Z$83,3+5*MonsterWaveCallRuleCfg!R560,FALSE)</f>
        <v>#N/A</v>
      </c>
      <c r="J560" s="102" t="e">
        <f>VLOOKUP(P560&amp;"_"&amp;Q560,活动关卡!$A$60:$Z$83,4+5*MonsterWaveCallRuleCfg!R560,FALSE)</f>
        <v>#N/A</v>
      </c>
      <c r="K560" s="102" t="e">
        <f t="shared" si="112"/>
        <v>#N/A</v>
      </c>
      <c r="L560" s="102" t="e">
        <f>IF(VLOOKUP(P560&amp;"_"&amp;Q560,活动关卡!$A$60:$Z$83,2+5*R560,FALSE)="","","Monster_Season2_Challenge"&amp;P560&amp;"_"&amp;Q560&amp;"_"&amp;R560)</f>
        <v>#N/A</v>
      </c>
      <c r="M560" s="57" t="e">
        <f t="shared" si="113"/>
        <v>#N/A</v>
      </c>
      <c r="O560" s="102" t="e">
        <f>VLOOKUP(P560&amp;"_"&amp;Q560,活动关卡!$A$4:$Z$27,6+5*MonsterWaveCallRuleCfg!R560,FALSE)</f>
        <v>#N/A</v>
      </c>
      <c r="P560" s="110">
        <v>3</v>
      </c>
      <c r="Q560" s="110">
        <f t="shared" si="115"/>
        <v>5</v>
      </c>
      <c r="R560" s="110">
        <v>4</v>
      </c>
    </row>
    <row r="561" spans="2:18" x14ac:dyDescent="0.2">
      <c r="B561" s="57" t="str">
        <f t="shared" si="116"/>
        <v>MonsterWaveCallRule_Season2_Challenge4</v>
      </c>
      <c r="C561" s="57">
        <v>1</v>
      </c>
      <c r="D561" s="57" t="str">
        <f t="shared" si="117"/>
        <v>赛季2关卡4第1波</v>
      </c>
      <c r="F561" s="57">
        <f t="shared" si="110"/>
        <v>0</v>
      </c>
      <c r="G561" s="102">
        <f t="shared" si="114"/>
        <v>180</v>
      </c>
      <c r="H561" s="57">
        <f t="shared" si="111"/>
        <v>0</v>
      </c>
      <c r="I561" s="102">
        <f>VLOOKUP(P561&amp;"_"&amp;Q561,活动关卡!$A$60:$Z$83,3+5*MonsterWaveCallRuleCfg!R561,FALSE)</f>
        <v>7</v>
      </c>
      <c r="J561" s="102">
        <f>VLOOKUP(P561&amp;"_"&amp;Q561,活动关卡!$A$60:$Z$83,4+5*MonsterWaveCallRuleCfg!R561,FALSE)</f>
        <v>1.5</v>
      </c>
      <c r="K561" s="102">
        <f t="shared" si="112"/>
        <v>1</v>
      </c>
      <c r="L561" s="102" t="str">
        <f>IF(VLOOKUP(P561&amp;"_"&amp;Q561,活动关卡!$A$60:$Z$83,2+5*R561,FALSE)="","","Monster_Season2_Challenge"&amp;P561&amp;"_"&amp;Q561&amp;"_"&amp;R561)</f>
        <v>Monster_Season2_Challenge4_1_1</v>
      </c>
      <c r="M561" s="57">
        <f t="shared" si="113"/>
        <v>1</v>
      </c>
      <c r="O561" s="102">
        <f>VLOOKUP(P561&amp;"_"&amp;Q561,活动关卡!$A$4:$Z$27,6+5*MonsterWaveCallRuleCfg!R561,FALSE)</f>
        <v>35</v>
      </c>
      <c r="P561" s="110">
        <v>4</v>
      </c>
      <c r="Q561" s="110">
        <f t="shared" si="115"/>
        <v>1</v>
      </c>
      <c r="R561" s="110">
        <v>1</v>
      </c>
    </row>
    <row r="562" spans="2:18" x14ac:dyDescent="0.2">
      <c r="B562" s="57" t="str">
        <f t="shared" si="116"/>
        <v/>
      </c>
      <c r="D562" s="57" t="str">
        <f t="shared" si="117"/>
        <v/>
      </c>
      <c r="F562" s="57" t="str">
        <f t="shared" si="110"/>
        <v/>
      </c>
      <c r="G562" s="102" t="str">
        <f t="shared" si="114"/>
        <v/>
      </c>
      <c r="H562" s="57">
        <f t="shared" si="111"/>
        <v>0</v>
      </c>
      <c r="I562" s="102">
        <f>VLOOKUP(P562&amp;"_"&amp;Q562,活动关卡!$A$60:$Z$83,3+5*MonsterWaveCallRuleCfg!R562,FALSE)</f>
        <v>5</v>
      </c>
      <c r="J562" s="102">
        <f>VLOOKUP(P562&amp;"_"&amp;Q562,活动关卡!$A$60:$Z$83,4+5*MonsterWaveCallRuleCfg!R562,FALSE)</f>
        <v>2</v>
      </c>
      <c r="K562" s="102">
        <f t="shared" si="112"/>
        <v>1</v>
      </c>
      <c r="L562" s="102" t="str">
        <f>IF(VLOOKUP(P562&amp;"_"&amp;Q562,活动关卡!$A$60:$Z$83,2+5*R562,FALSE)="","","Monster_Season2_Challenge"&amp;P562&amp;"_"&amp;Q562&amp;"_"&amp;R562)</f>
        <v>Monster_Season2_Challenge4_1_2</v>
      </c>
      <c r="M562" s="57">
        <f t="shared" si="113"/>
        <v>1</v>
      </c>
      <c r="O562" s="102">
        <f>VLOOKUP(P562&amp;"_"&amp;Q562,活动关卡!$A$4:$Z$27,6+5*MonsterWaveCallRuleCfg!R562,FALSE)</f>
        <v>71</v>
      </c>
      <c r="P562" s="110">
        <v>4</v>
      </c>
      <c r="Q562" s="110">
        <f t="shared" si="115"/>
        <v>1</v>
      </c>
      <c r="R562" s="110">
        <v>2</v>
      </c>
    </row>
    <row r="563" spans="2:18" x14ac:dyDescent="0.2">
      <c r="B563" s="57" t="str">
        <f t="shared" si="116"/>
        <v/>
      </c>
      <c r="D563" s="57" t="str">
        <f t="shared" si="117"/>
        <v/>
      </c>
      <c r="F563" s="57" t="str">
        <f t="shared" si="110"/>
        <v/>
      </c>
      <c r="G563" s="102" t="str">
        <f t="shared" si="114"/>
        <v/>
      </c>
      <c r="H563" s="57" t="str">
        <f t="shared" si="111"/>
        <v/>
      </c>
      <c r="I563" s="102" t="str">
        <f>VLOOKUP(P563&amp;"_"&amp;Q563,活动关卡!$A$60:$Z$83,3+5*MonsterWaveCallRuleCfg!R563,FALSE)</f>
        <v/>
      </c>
      <c r="J563" s="102" t="str">
        <f>VLOOKUP(P563&amp;"_"&amp;Q563,活动关卡!$A$60:$Z$83,4+5*MonsterWaveCallRuleCfg!R563,FALSE)</f>
        <v/>
      </c>
      <c r="K563" s="102" t="str">
        <f t="shared" si="112"/>
        <v/>
      </c>
      <c r="L563" s="102" t="str">
        <f>IF(VLOOKUP(P563&amp;"_"&amp;Q563,活动关卡!$A$60:$Z$83,2+5*R563,FALSE)="","","Monster_Season2_Challenge"&amp;P563&amp;"_"&amp;Q563&amp;"_"&amp;R563)</f>
        <v/>
      </c>
      <c r="M563" s="57" t="str">
        <f t="shared" si="113"/>
        <v/>
      </c>
      <c r="O563" s="102" t="str">
        <f>VLOOKUP(P563&amp;"_"&amp;Q563,活动关卡!$A$4:$Z$27,6+5*MonsterWaveCallRuleCfg!R563,FALSE)</f>
        <v/>
      </c>
      <c r="P563" s="110">
        <v>4</v>
      </c>
      <c r="Q563" s="110">
        <f t="shared" si="115"/>
        <v>1</v>
      </c>
      <c r="R563" s="110">
        <v>3</v>
      </c>
    </row>
    <row r="564" spans="2:18" x14ac:dyDescent="0.2">
      <c r="B564" s="57" t="str">
        <f t="shared" si="116"/>
        <v/>
      </c>
      <c r="D564" s="57" t="str">
        <f t="shared" si="117"/>
        <v/>
      </c>
      <c r="F564" s="57" t="str">
        <f t="shared" si="110"/>
        <v/>
      </c>
      <c r="G564" s="102" t="str">
        <f t="shared" si="114"/>
        <v/>
      </c>
      <c r="H564" s="57" t="str">
        <f t="shared" si="111"/>
        <v/>
      </c>
      <c r="I564" s="102" t="str">
        <f>VLOOKUP(P564&amp;"_"&amp;Q564,活动关卡!$A$60:$Z$83,3+5*MonsterWaveCallRuleCfg!R564,FALSE)</f>
        <v/>
      </c>
      <c r="J564" s="102" t="str">
        <f>VLOOKUP(P564&amp;"_"&amp;Q564,活动关卡!$A$60:$Z$83,4+5*MonsterWaveCallRuleCfg!R564,FALSE)</f>
        <v/>
      </c>
      <c r="K564" s="102" t="str">
        <f t="shared" si="112"/>
        <v/>
      </c>
      <c r="L564" s="102" t="str">
        <f>IF(VLOOKUP(P564&amp;"_"&amp;Q564,活动关卡!$A$60:$Z$83,2+5*R564,FALSE)="","","Monster_Season2_Challenge"&amp;P564&amp;"_"&amp;Q564&amp;"_"&amp;R564)</f>
        <v/>
      </c>
      <c r="M564" s="57" t="str">
        <f t="shared" si="113"/>
        <v/>
      </c>
      <c r="O564" s="102" t="str">
        <f>VLOOKUP(P564&amp;"_"&amp;Q564,活动关卡!$A$4:$Z$27,6+5*MonsterWaveCallRuleCfg!R564,FALSE)</f>
        <v/>
      </c>
      <c r="P564" s="110">
        <v>4</v>
      </c>
      <c r="Q564" s="110">
        <f t="shared" si="115"/>
        <v>1</v>
      </c>
      <c r="R564" s="110">
        <v>4</v>
      </c>
    </row>
    <row r="565" spans="2:18" x14ac:dyDescent="0.2">
      <c r="B565" s="57" t="str">
        <f t="shared" ref="B565:B596" si="118">IF(C565="","","MonsterWaveCallRule_Season2_Challenge"&amp;P565)</f>
        <v>MonsterWaveCallRule_Season2_Challenge4</v>
      </c>
      <c r="C565" s="57">
        <v>2</v>
      </c>
      <c r="D565" s="57" t="str">
        <f t="shared" ref="D565:D596" si="119">IF(C565="","","赛季2关卡"&amp;P565&amp;"第"&amp;C565&amp;"波")</f>
        <v>赛季2关卡4第2波</v>
      </c>
      <c r="F565" s="57">
        <f t="shared" ref="F565:F609" si="120">IF(C565="","",0)</f>
        <v>0</v>
      </c>
      <c r="G565" s="102">
        <f t="shared" si="114"/>
        <v>180</v>
      </c>
      <c r="H565" s="57">
        <f t="shared" ref="H565:H612" si="121">IF(I565="","",0)</f>
        <v>0</v>
      </c>
      <c r="I565" s="102">
        <f>VLOOKUP(P565&amp;"_"&amp;Q565,活动关卡!$A$60:$Z$83,3+5*MonsterWaveCallRuleCfg!R565,FALSE)</f>
        <v>8</v>
      </c>
      <c r="J565" s="102">
        <f>VLOOKUP(P565&amp;"_"&amp;Q565,活动关卡!$A$60:$Z$83,4+5*MonsterWaveCallRuleCfg!R565,FALSE)</f>
        <v>1.5</v>
      </c>
      <c r="K565" s="102">
        <f t="shared" ref="K565:K612" si="122">IF(I565="","",1)</f>
        <v>1</v>
      </c>
      <c r="L565" s="102" t="str">
        <f>IF(VLOOKUP(P565&amp;"_"&amp;Q565,活动关卡!$A$60:$Z$83,2+5*R565,FALSE)="","","Monster_Season2_Challenge"&amp;P565&amp;"_"&amp;Q565&amp;"_"&amp;R565)</f>
        <v>Monster_Season2_Challenge4_2_1</v>
      </c>
      <c r="M565" s="57">
        <f t="shared" ref="M565:M612" si="123">IF(I565="","",1)</f>
        <v>1</v>
      </c>
      <c r="O565" s="102">
        <f>VLOOKUP(P565&amp;"_"&amp;Q565,活动关卡!$A$4:$Z$27,6+5*MonsterWaveCallRuleCfg!R565,FALSE)</f>
        <v>9</v>
      </c>
      <c r="P565" s="110">
        <v>4</v>
      </c>
      <c r="Q565" s="110">
        <f t="shared" si="115"/>
        <v>2</v>
      </c>
      <c r="R565" s="110">
        <v>1</v>
      </c>
    </row>
    <row r="566" spans="2:18" x14ac:dyDescent="0.2">
      <c r="B566" s="57" t="str">
        <f t="shared" si="118"/>
        <v/>
      </c>
      <c r="D566" s="57" t="str">
        <f t="shared" si="119"/>
        <v/>
      </c>
      <c r="F566" s="57" t="str">
        <f t="shared" si="120"/>
        <v/>
      </c>
      <c r="G566" s="102" t="str">
        <f t="shared" ref="G566:G580" si="124">IF(C566="","",180)</f>
        <v/>
      </c>
      <c r="H566" s="57">
        <f t="shared" si="121"/>
        <v>0</v>
      </c>
      <c r="I566" s="102">
        <f>VLOOKUP(P566&amp;"_"&amp;Q566,活动关卡!$A$60:$Z$83,3+5*MonsterWaveCallRuleCfg!R566,FALSE)</f>
        <v>25</v>
      </c>
      <c r="J566" s="102">
        <f>VLOOKUP(P566&amp;"_"&amp;Q566,活动关卡!$A$60:$Z$83,4+5*MonsterWaveCallRuleCfg!R566,FALSE)</f>
        <v>0.5</v>
      </c>
      <c r="K566" s="102">
        <f t="shared" si="122"/>
        <v>1</v>
      </c>
      <c r="L566" s="102" t="str">
        <f>IF(VLOOKUP(P566&amp;"_"&amp;Q566,活动关卡!$A$60:$Z$83,2+5*R566,FALSE)="","","Monster_Season2_Challenge"&amp;P566&amp;"_"&amp;Q566&amp;"_"&amp;R566)</f>
        <v>Monster_Season2_Challenge4_2_2</v>
      </c>
      <c r="M566" s="57">
        <f t="shared" si="123"/>
        <v>1</v>
      </c>
      <c r="O566" s="102">
        <f>VLOOKUP(P566&amp;"_"&amp;Q566,活动关卡!$A$4:$Z$27,6+5*MonsterWaveCallRuleCfg!R566,FALSE)</f>
        <v>17</v>
      </c>
      <c r="P566" s="110">
        <v>4</v>
      </c>
      <c r="Q566" s="110">
        <f t="shared" si="115"/>
        <v>2</v>
      </c>
      <c r="R566" s="110">
        <v>2</v>
      </c>
    </row>
    <row r="567" spans="2:18" x14ac:dyDescent="0.2">
      <c r="B567" s="57" t="str">
        <f t="shared" si="118"/>
        <v/>
      </c>
      <c r="D567" s="57" t="str">
        <f t="shared" si="119"/>
        <v/>
      </c>
      <c r="F567" s="57" t="str">
        <f t="shared" si="120"/>
        <v/>
      </c>
      <c r="G567" s="102" t="str">
        <f t="shared" si="124"/>
        <v/>
      </c>
      <c r="H567" s="57">
        <f t="shared" si="121"/>
        <v>0</v>
      </c>
      <c r="I567" s="102">
        <f>VLOOKUP(P567&amp;"_"&amp;Q567,活动关卡!$A$60:$Z$83,3+5*MonsterWaveCallRuleCfg!R567,FALSE)</f>
        <v>6</v>
      </c>
      <c r="J567" s="102">
        <f>VLOOKUP(P567&amp;"_"&amp;Q567,活动关卡!$A$60:$Z$83,4+5*MonsterWaveCallRuleCfg!R567,FALSE)</f>
        <v>2</v>
      </c>
      <c r="K567" s="102">
        <f t="shared" si="122"/>
        <v>1</v>
      </c>
      <c r="L567" s="102" t="str">
        <f>IF(VLOOKUP(P567&amp;"_"&amp;Q567,活动关卡!$A$60:$Z$83,2+5*R567,FALSE)="","","Monster_Season2_Challenge"&amp;P567&amp;"_"&amp;Q567&amp;"_"&amp;R567)</f>
        <v>Monster_Season2_Challenge4_2_3</v>
      </c>
      <c r="M567" s="57">
        <f t="shared" si="123"/>
        <v>1</v>
      </c>
      <c r="O567" s="102">
        <f>VLOOKUP(P567&amp;"_"&amp;Q567,活动关卡!$A$4:$Z$27,6+5*MonsterWaveCallRuleCfg!R567,FALSE)</f>
        <v>17</v>
      </c>
      <c r="P567" s="110">
        <v>4</v>
      </c>
      <c r="Q567" s="110">
        <f t="shared" ref="Q567:Q612" si="125">IF(C567="",Q566,C567)</f>
        <v>2</v>
      </c>
      <c r="R567" s="110">
        <v>3</v>
      </c>
    </row>
    <row r="568" spans="2:18" x14ac:dyDescent="0.2">
      <c r="B568" s="57" t="str">
        <f t="shared" si="118"/>
        <v/>
      </c>
      <c r="D568" s="57" t="str">
        <f t="shared" si="119"/>
        <v/>
      </c>
      <c r="F568" s="57" t="str">
        <f t="shared" si="120"/>
        <v/>
      </c>
      <c r="G568" s="102" t="str">
        <f t="shared" si="124"/>
        <v/>
      </c>
      <c r="H568" s="57" t="str">
        <f t="shared" si="121"/>
        <v/>
      </c>
      <c r="I568" s="102" t="str">
        <f>VLOOKUP(P568&amp;"_"&amp;Q568,活动关卡!$A$60:$Z$83,3+5*MonsterWaveCallRuleCfg!R568,FALSE)</f>
        <v/>
      </c>
      <c r="J568" s="102" t="str">
        <f>VLOOKUP(P568&amp;"_"&amp;Q568,活动关卡!$A$60:$Z$83,4+5*MonsterWaveCallRuleCfg!R568,FALSE)</f>
        <v/>
      </c>
      <c r="K568" s="102" t="str">
        <f t="shared" si="122"/>
        <v/>
      </c>
      <c r="L568" s="102" t="str">
        <f>IF(VLOOKUP(P568&amp;"_"&amp;Q568,活动关卡!$A$60:$Z$83,2+5*R568,FALSE)="","","Monster_Season2_Challenge"&amp;P568&amp;"_"&amp;Q568&amp;"_"&amp;R568)</f>
        <v/>
      </c>
      <c r="M568" s="57" t="str">
        <f t="shared" si="123"/>
        <v/>
      </c>
      <c r="O568" s="102" t="str">
        <f>VLOOKUP(P568&amp;"_"&amp;Q568,活动关卡!$A$4:$Z$27,6+5*MonsterWaveCallRuleCfg!R568,FALSE)</f>
        <v/>
      </c>
      <c r="P568" s="110">
        <v>4</v>
      </c>
      <c r="Q568" s="110">
        <f t="shared" si="125"/>
        <v>2</v>
      </c>
      <c r="R568" s="110">
        <v>4</v>
      </c>
    </row>
    <row r="569" spans="2:18" x14ac:dyDescent="0.2">
      <c r="B569" s="57" t="str">
        <f t="shared" si="118"/>
        <v>MonsterWaveCallRule_Season2_Challenge4</v>
      </c>
      <c r="C569" s="57">
        <v>3</v>
      </c>
      <c r="D569" s="57" t="str">
        <f t="shared" si="119"/>
        <v>赛季2关卡4第3波</v>
      </c>
      <c r="F569" s="57">
        <f t="shared" si="120"/>
        <v>0</v>
      </c>
      <c r="G569" s="102">
        <f t="shared" si="124"/>
        <v>180</v>
      </c>
      <c r="H569" s="57">
        <f t="shared" si="121"/>
        <v>0</v>
      </c>
      <c r="I569" s="102">
        <f>VLOOKUP(P569&amp;"_"&amp;Q569,活动关卡!$A$60:$Z$83,3+5*MonsterWaveCallRuleCfg!R569,FALSE)</f>
        <v>10</v>
      </c>
      <c r="J569" s="102">
        <f>VLOOKUP(P569&amp;"_"&amp;Q569,活动关卡!$A$60:$Z$83,4+5*MonsterWaveCallRuleCfg!R569,FALSE)</f>
        <v>1.5</v>
      </c>
      <c r="K569" s="102">
        <f t="shared" si="122"/>
        <v>1</v>
      </c>
      <c r="L569" s="102" t="str">
        <f>IF(VLOOKUP(P569&amp;"_"&amp;Q569,活动关卡!$A$60:$Z$83,2+5*R569,FALSE)="","","Monster_Season2_Challenge"&amp;P569&amp;"_"&amp;Q569&amp;"_"&amp;R569)</f>
        <v>Monster_Season2_Challenge4_3_1</v>
      </c>
      <c r="M569" s="57">
        <f t="shared" si="123"/>
        <v>1</v>
      </c>
      <c r="O569" s="102">
        <f>VLOOKUP(P569&amp;"_"&amp;Q569,活动关卡!$A$4:$Z$27,6+5*MonsterWaveCallRuleCfg!R569,FALSE)</f>
        <v>9</v>
      </c>
      <c r="P569" s="110">
        <v>4</v>
      </c>
      <c r="Q569" s="110">
        <f t="shared" si="125"/>
        <v>3</v>
      </c>
      <c r="R569" s="110">
        <v>1</v>
      </c>
    </row>
    <row r="570" spans="2:18" x14ac:dyDescent="0.2">
      <c r="B570" s="57" t="str">
        <f t="shared" si="118"/>
        <v/>
      </c>
      <c r="D570" s="57" t="str">
        <f t="shared" si="119"/>
        <v/>
      </c>
      <c r="F570" s="57" t="str">
        <f t="shared" si="120"/>
        <v/>
      </c>
      <c r="G570" s="102" t="str">
        <f t="shared" si="124"/>
        <v/>
      </c>
      <c r="H570" s="57">
        <f t="shared" si="121"/>
        <v>0</v>
      </c>
      <c r="I570" s="102">
        <f>VLOOKUP(P570&amp;"_"&amp;Q570,活动关卡!$A$60:$Z$83,3+5*MonsterWaveCallRuleCfg!R570,FALSE)</f>
        <v>75</v>
      </c>
      <c r="J570" s="102">
        <f>VLOOKUP(P570&amp;"_"&amp;Q570,活动关卡!$A$60:$Z$83,4+5*MonsterWaveCallRuleCfg!R570,FALSE)</f>
        <v>0.2</v>
      </c>
      <c r="K570" s="102">
        <f t="shared" si="122"/>
        <v>1</v>
      </c>
      <c r="L570" s="102" t="str">
        <f>IF(VLOOKUP(P570&amp;"_"&amp;Q570,活动关卡!$A$60:$Z$83,2+5*R570,FALSE)="","","Monster_Season2_Challenge"&amp;P570&amp;"_"&amp;Q570&amp;"_"&amp;R570)</f>
        <v>Monster_Season2_Challenge4_3_2</v>
      </c>
      <c r="M570" s="57">
        <f t="shared" si="123"/>
        <v>1</v>
      </c>
      <c r="O570" s="102">
        <f>VLOOKUP(P570&amp;"_"&amp;Q570,活动关卡!$A$4:$Z$27,6+5*MonsterWaveCallRuleCfg!R570,FALSE)</f>
        <v>5</v>
      </c>
      <c r="P570" s="110">
        <v>4</v>
      </c>
      <c r="Q570" s="110">
        <f t="shared" si="125"/>
        <v>3</v>
      </c>
      <c r="R570" s="110">
        <v>2</v>
      </c>
    </row>
    <row r="571" spans="2:18" x14ac:dyDescent="0.2">
      <c r="B571" s="57" t="str">
        <f t="shared" si="118"/>
        <v/>
      </c>
      <c r="D571" s="57" t="str">
        <f t="shared" si="119"/>
        <v/>
      </c>
      <c r="F571" s="57" t="str">
        <f t="shared" si="120"/>
        <v/>
      </c>
      <c r="G571" s="102" t="str">
        <f t="shared" si="124"/>
        <v/>
      </c>
      <c r="H571" s="57">
        <f t="shared" si="121"/>
        <v>0</v>
      </c>
      <c r="I571" s="102">
        <f>VLOOKUP(P571&amp;"_"&amp;Q571,活动关卡!$A$60:$Z$83,3+5*MonsterWaveCallRuleCfg!R571,FALSE)</f>
        <v>8</v>
      </c>
      <c r="J571" s="102">
        <f>VLOOKUP(P571&amp;"_"&amp;Q571,活动关卡!$A$60:$Z$83,4+5*MonsterWaveCallRuleCfg!R571,FALSE)</f>
        <v>2</v>
      </c>
      <c r="K571" s="102">
        <f t="shared" si="122"/>
        <v>1</v>
      </c>
      <c r="L571" s="102" t="str">
        <f>IF(VLOOKUP(P571&amp;"_"&amp;Q571,活动关卡!$A$60:$Z$83,2+5*R571,FALSE)="","","Monster_Season2_Challenge"&amp;P571&amp;"_"&amp;Q571&amp;"_"&amp;R571)</f>
        <v>Monster_Season2_Challenge4_3_3</v>
      </c>
      <c r="M571" s="57">
        <f t="shared" si="123"/>
        <v>1</v>
      </c>
      <c r="O571" s="102">
        <f>VLOOKUP(P571&amp;"_"&amp;Q571,活动关卡!$A$4:$Z$27,6+5*MonsterWaveCallRuleCfg!R571,FALSE)</f>
        <v>19</v>
      </c>
      <c r="P571" s="110">
        <v>4</v>
      </c>
      <c r="Q571" s="110">
        <f t="shared" si="125"/>
        <v>3</v>
      </c>
      <c r="R571" s="110">
        <v>3</v>
      </c>
    </row>
    <row r="572" spans="2:18" x14ac:dyDescent="0.2">
      <c r="B572" s="57" t="str">
        <f t="shared" si="118"/>
        <v/>
      </c>
      <c r="D572" s="57" t="str">
        <f t="shared" si="119"/>
        <v/>
      </c>
      <c r="F572" s="57" t="str">
        <f t="shared" si="120"/>
        <v/>
      </c>
      <c r="G572" s="102" t="str">
        <f t="shared" si="124"/>
        <v/>
      </c>
      <c r="H572" s="57" t="str">
        <f t="shared" si="121"/>
        <v/>
      </c>
      <c r="I572" s="102" t="str">
        <f>VLOOKUP(P572&amp;"_"&amp;Q572,活动关卡!$A$60:$Z$83,3+5*MonsterWaveCallRuleCfg!R572,FALSE)</f>
        <v/>
      </c>
      <c r="J572" s="102" t="str">
        <f>VLOOKUP(P572&amp;"_"&amp;Q572,活动关卡!$A$60:$Z$83,4+5*MonsterWaveCallRuleCfg!R572,FALSE)</f>
        <v/>
      </c>
      <c r="K572" s="102" t="str">
        <f t="shared" si="122"/>
        <v/>
      </c>
      <c r="L572" s="102" t="str">
        <f>IF(VLOOKUP(P572&amp;"_"&amp;Q572,活动关卡!$A$60:$Z$83,2+5*R572,FALSE)="","","Monster_Season2_Challenge"&amp;P572&amp;"_"&amp;Q572&amp;"_"&amp;R572)</f>
        <v/>
      </c>
      <c r="M572" s="57" t="str">
        <f t="shared" si="123"/>
        <v/>
      </c>
      <c r="O572" s="102" t="str">
        <f>VLOOKUP(P572&amp;"_"&amp;Q572,活动关卡!$A$4:$Z$27,6+5*MonsterWaveCallRuleCfg!R572,FALSE)</f>
        <v/>
      </c>
      <c r="P572" s="110">
        <v>4</v>
      </c>
      <c r="Q572" s="110">
        <f t="shared" si="125"/>
        <v>3</v>
      </c>
      <c r="R572" s="110">
        <v>4</v>
      </c>
    </row>
    <row r="573" spans="2:18" x14ac:dyDescent="0.2">
      <c r="B573" s="57" t="str">
        <f t="shared" si="118"/>
        <v>MonsterWaveCallRule_Season2_Challenge4</v>
      </c>
      <c r="C573" s="57">
        <v>4</v>
      </c>
      <c r="D573" s="57" t="str">
        <f t="shared" si="119"/>
        <v>赛季2关卡4第4波</v>
      </c>
      <c r="F573" s="57">
        <f t="shared" si="120"/>
        <v>0</v>
      </c>
      <c r="G573" s="102">
        <f t="shared" si="124"/>
        <v>180</v>
      </c>
      <c r="H573" s="57">
        <f t="shared" si="121"/>
        <v>0</v>
      </c>
      <c r="I573" s="102">
        <f>VLOOKUP(P573&amp;"_"&amp;Q573,活动关卡!$A$60:$Z$83,3+5*MonsterWaveCallRuleCfg!R573,FALSE)</f>
        <v>12</v>
      </c>
      <c r="J573" s="102">
        <f>VLOOKUP(P573&amp;"_"&amp;Q573,活动关卡!$A$60:$Z$83,4+5*MonsterWaveCallRuleCfg!R573,FALSE)</f>
        <v>1.5</v>
      </c>
      <c r="K573" s="102">
        <f t="shared" si="122"/>
        <v>1</v>
      </c>
      <c r="L573" s="102" t="str">
        <f>IF(VLOOKUP(P573&amp;"_"&amp;Q573,活动关卡!$A$60:$Z$83,2+5*R573,FALSE)="","","Monster_Season2_Challenge"&amp;P573&amp;"_"&amp;Q573&amp;"_"&amp;R573)</f>
        <v>Monster_Season2_Challenge4_4_1</v>
      </c>
      <c r="M573" s="57">
        <f t="shared" si="123"/>
        <v>1</v>
      </c>
      <c r="O573" s="102">
        <f>VLOOKUP(P573&amp;"_"&amp;Q573,活动关卡!$A$4:$Z$27,6+5*MonsterWaveCallRuleCfg!R573,FALSE)</f>
        <v>7</v>
      </c>
      <c r="P573" s="110">
        <v>4</v>
      </c>
      <c r="Q573" s="110">
        <f t="shared" si="125"/>
        <v>4</v>
      </c>
      <c r="R573" s="110">
        <v>1</v>
      </c>
    </row>
    <row r="574" spans="2:18" x14ac:dyDescent="0.2">
      <c r="B574" s="57" t="str">
        <f t="shared" si="118"/>
        <v/>
      </c>
      <c r="D574" s="57" t="str">
        <f t="shared" si="119"/>
        <v/>
      </c>
      <c r="F574" s="57" t="str">
        <f t="shared" si="120"/>
        <v/>
      </c>
      <c r="G574" s="102" t="str">
        <f t="shared" si="124"/>
        <v/>
      </c>
      <c r="H574" s="57">
        <f t="shared" si="121"/>
        <v>0</v>
      </c>
      <c r="I574" s="102">
        <f>VLOOKUP(P574&amp;"_"&amp;Q574,活动关卡!$A$60:$Z$83,3+5*MonsterWaveCallRuleCfg!R574,FALSE)</f>
        <v>44</v>
      </c>
      <c r="J574" s="102">
        <f>VLOOKUP(P574&amp;"_"&amp;Q574,活动关卡!$A$60:$Z$83,4+5*MonsterWaveCallRuleCfg!R574,FALSE)</f>
        <v>0.4</v>
      </c>
      <c r="K574" s="102">
        <f t="shared" si="122"/>
        <v>1</v>
      </c>
      <c r="L574" s="102" t="str">
        <f>IF(VLOOKUP(P574&amp;"_"&amp;Q574,活动关卡!$A$60:$Z$83,2+5*R574,FALSE)="","","Monster_Season2_Challenge"&amp;P574&amp;"_"&amp;Q574&amp;"_"&amp;R574)</f>
        <v>Monster_Season2_Challenge4_4_2</v>
      </c>
      <c r="M574" s="57">
        <f t="shared" si="123"/>
        <v>1</v>
      </c>
      <c r="O574" s="102">
        <f>VLOOKUP(P574&amp;"_"&amp;Q574,活动关卡!$A$4:$Z$27,6+5*MonsterWaveCallRuleCfg!R574,FALSE)</f>
        <v>7</v>
      </c>
      <c r="P574" s="110">
        <v>4</v>
      </c>
      <c r="Q574" s="110">
        <f t="shared" si="125"/>
        <v>4</v>
      </c>
      <c r="R574" s="110">
        <v>2</v>
      </c>
    </row>
    <row r="575" spans="2:18" x14ac:dyDescent="0.2">
      <c r="B575" s="57" t="str">
        <f t="shared" si="118"/>
        <v/>
      </c>
      <c r="D575" s="57" t="str">
        <f t="shared" si="119"/>
        <v/>
      </c>
      <c r="F575" s="57" t="str">
        <f t="shared" si="120"/>
        <v/>
      </c>
      <c r="G575" s="102" t="str">
        <f t="shared" si="124"/>
        <v/>
      </c>
      <c r="H575" s="57">
        <f t="shared" si="121"/>
        <v>0</v>
      </c>
      <c r="I575" s="102">
        <f>VLOOKUP(P575&amp;"_"&amp;Q575,活动关卡!$A$60:$Z$83,3+5*MonsterWaveCallRuleCfg!R575,FALSE)</f>
        <v>18</v>
      </c>
      <c r="J575" s="102">
        <f>VLOOKUP(P575&amp;"_"&amp;Q575,活动关卡!$A$60:$Z$83,4+5*MonsterWaveCallRuleCfg!R575,FALSE)</f>
        <v>1</v>
      </c>
      <c r="K575" s="102">
        <f t="shared" si="122"/>
        <v>1</v>
      </c>
      <c r="L575" s="102" t="str">
        <f>IF(VLOOKUP(P575&amp;"_"&amp;Q575,活动关卡!$A$60:$Z$83,2+5*R575,FALSE)="","","Monster_Season2_Challenge"&amp;P575&amp;"_"&amp;Q575&amp;"_"&amp;R575)</f>
        <v>Monster_Season2_Challenge4_4_3</v>
      </c>
      <c r="M575" s="57">
        <f t="shared" si="123"/>
        <v>1</v>
      </c>
      <c r="O575" s="102">
        <f>VLOOKUP(P575&amp;"_"&amp;Q575,活动关卡!$A$4:$Z$27,6+5*MonsterWaveCallRuleCfg!R575,FALSE)</f>
        <v>13</v>
      </c>
      <c r="P575" s="110">
        <v>4</v>
      </c>
      <c r="Q575" s="110">
        <f t="shared" si="125"/>
        <v>4</v>
      </c>
      <c r="R575" s="110">
        <v>3</v>
      </c>
    </row>
    <row r="576" spans="2:18" x14ac:dyDescent="0.2">
      <c r="B576" s="57" t="str">
        <f t="shared" si="118"/>
        <v/>
      </c>
      <c r="D576" s="57" t="str">
        <f t="shared" si="119"/>
        <v/>
      </c>
      <c r="F576" s="57" t="str">
        <f t="shared" si="120"/>
        <v/>
      </c>
      <c r="G576" s="102" t="str">
        <f t="shared" si="124"/>
        <v/>
      </c>
      <c r="H576" s="57" t="str">
        <f t="shared" si="121"/>
        <v/>
      </c>
      <c r="I576" s="102" t="str">
        <f>VLOOKUP(P576&amp;"_"&amp;Q576,活动关卡!$A$60:$Z$83,3+5*MonsterWaveCallRuleCfg!R576,FALSE)</f>
        <v/>
      </c>
      <c r="J576" s="102" t="str">
        <f>VLOOKUP(P576&amp;"_"&amp;Q576,活动关卡!$A$60:$Z$83,4+5*MonsterWaveCallRuleCfg!R576,FALSE)</f>
        <v/>
      </c>
      <c r="K576" s="102" t="str">
        <f t="shared" si="122"/>
        <v/>
      </c>
      <c r="L576" s="102" t="str">
        <f>IF(VLOOKUP(P576&amp;"_"&amp;Q576,活动关卡!$A$60:$Z$83,2+5*R576,FALSE)="","","Monster_Season2_Challenge"&amp;P576&amp;"_"&amp;Q576&amp;"_"&amp;R576)</f>
        <v/>
      </c>
      <c r="M576" s="57" t="str">
        <f t="shared" si="123"/>
        <v/>
      </c>
      <c r="O576" s="102" t="str">
        <f>VLOOKUP(P576&amp;"_"&amp;Q576,活动关卡!$A$4:$Z$27,6+5*MonsterWaveCallRuleCfg!R576,FALSE)</f>
        <v/>
      </c>
      <c r="P576" s="110">
        <v>4</v>
      </c>
      <c r="Q576" s="110">
        <f t="shared" si="125"/>
        <v>4</v>
      </c>
      <c r="R576" s="110">
        <v>4</v>
      </c>
    </row>
    <row r="577" spans="2:18" x14ac:dyDescent="0.2">
      <c r="B577" s="57" t="str">
        <f t="shared" si="118"/>
        <v>MonsterWaveCallRule_Season2_Challenge4</v>
      </c>
      <c r="C577" s="57">
        <v>5</v>
      </c>
      <c r="D577" s="57" t="str">
        <f t="shared" si="119"/>
        <v>赛季2关卡4第5波</v>
      </c>
      <c r="F577" s="57">
        <f t="shared" si="120"/>
        <v>0</v>
      </c>
      <c r="G577" s="102">
        <f t="shared" si="124"/>
        <v>180</v>
      </c>
      <c r="H577" s="57">
        <f t="shared" si="121"/>
        <v>0</v>
      </c>
      <c r="I577" s="102">
        <f>VLOOKUP(P577&amp;"_"&amp;Q577,活动关卡!$A$60:$Z$83,3+5*MonsterWaveCallRuleCfg!R577,FALSE)</f>
        <v>40</v>
      </c>
      <c r="J577" s="102">
        <f>VLOOKUP(P577&amp;"_"&amp;Q577,活动关卡!$A$60:$Z$83,4+5*MonsterWaveCallRuleCfg!R577,FALSE)</f>
        <v>0.5</v>
      </c>
      <c r="K577" s="102">
        <f t="shared" si="122"/>
        <v>1</v>
      </c>
      <c r="L577" s="102" t="str">
        <f>IF(VLOOKUP(P577&amp;"_"&amp;Q577,活动关卡!$A$60:$Z$83,2+5*R577,FALSE)="","","Monster_Season2_Challenge"&amp;P577&amp;"_"&amp;Q577&amp;"_"&amp;R577)</f>
        <v>Monster_Season2_Challenge4_5_1</v>
      </c>
      <c r="M577" s="57">
        <f t="shared" si="123"/>
        <v>1</v>
      </c>
      <c r="O577" s="102">
        <f>VLOOKUP(P577&amp;"_"&amp;Q577,活动关卡!$A$4:$Z$27,6+5*MonsterWaveCallRuleCfg!R577,FALSE)</f>
        <v>6</v>
      </c>
      <c r="P577" s="110">
        <v>4</v>
      </c>
      <c r="Q577" s="110">
        <f t="shared" si="125"/>
        <v>5</v>
      </c>
      <c r="R577" s="110">
        <v>1</v>
      </c>
    </row>
    <row r="578" spans="2:18" x14ac:dyDescent="0.2">
      <c r="B578" s="57" t="str">
        <f t="shared" si="118"/>
        <v/>
      </c>
      <c r="D578" s="57" t="str">
        <f t="shared" si="119"/>
        <v/>
      </c>
      <c r="F578" s="57" t="str">
        <f t="shared" si="120"/>
        <v/>
      </c>
      <c r="G578" s="102" t="str">
        <f t="shared" si="124"/>
        <v/>
      </c>
      <c r="H578" s="57">
        <f t="shared" si="121"/>
        <v>0</v>
      </c>
      <c r="I578" s="102">
        <f>VLOOKUP(P578&amp;"_"&amp;Q578,活动关卡!$A$60:$Z$83,3+5*MonsterWaveCallRuleCfg!R578,FALSE)</f>
        <v>10</v>
      </c>
      <c r="J578" s="102">
        <f>VLOOKUP(P578&amp;"_"&amp;Q578,活动关卡!$A$60:$Z$83,4+5*MonsterWaveCallRuleCfg!R578,FALSE)</f>
        <v>2</v>
      </c>
      <c r="K578" s="102">
        <f t="shared" si="122"/>
        <v>1</v>
      </c>
      <c r="L578" s="102" t="str">
        <f>IF(VLOOKUP(P578&amp;"_"&amp;Q578,活动关卡!$A$60:$Z$83,2+5*R578,FALSE)="","","Monster_Season2_Challenge"&amp;P578&amp;"_"&amp;Q578&amp;"_"&amp;R578)</f>
        <v>Monster_Season2_Challenge4_5_2</v>
      </c>
      <c r="M578" s="57">
        <f t="shared" si="123"/>
        <v>1</v>
      </c>
      <c r="O578" s="102">
        <f>VLOOKUP(P578&amp;"_"&amp;Q578,活动关卡!$A$4:$Z$27,6+5*MonsterWaveCallRuleCfg!R578,FALSE)</f>
        <v>12</v>
      </c>
      <c r="P578" s="110">
        <v>4</v>
      </c>
      <c r="Q578" s="110">
        <f t="shared" si="125"/>
        <v>5</v>
      </c>
      <c r="R578" s="110">
        <v>2</v>
      </c>
    </row>
    <row r="579" spans="2:18" x14ac:dyDescent="0.2">
      <c r="B579" s="57" t="str">
        <f t="shared" si="118"/>
        <v/>
      </c>
      <c r="D579" s="57" t="str">
        <f t="shared" si="119"/>
        <v/>
      </c>
      <c r="F579" s="57" t="str">
        <f t="shared" si="120"/>
        <v/>
      </c>
      <c r="G579" s="102" t="str">
        <f t="shared" si="124"/>
        <v/>
      </c>
      <c r="H579" s="57">
        <f t="shared" si="121"/>
        <v>0</v>
      </c>
      <c r="I579" s="102">
        <f>VLOOKUP(P579&amp;"_"&amp;Q579,活动关卡!$A$60:$Z$83,3+5*MonsterWaveCallRuleCfg!R579,FALSE)</f>
        <v>20</v>
      </c>
      <c r="J579" s="102">
        <f>VLOOKUP(P579&amp;"_"&amp;Q579,活动关卡!$A$60:$Z$83,4+5*MonsterWaveCallRuleCfg!R579,FALSE)</f>
        <v>1</v>
      </c>
      <c r="K579" s="102">
        <f t="shared" si="122"/>
        <v>1</v>
      </c>
      <c r="L579" s="102" t="str">
        <f>IF(VLOOKUP(P579&amp;"_"&amp;Q579,活动关卡!$A$60:$Z$83,2+5*R579,FALSE)="","","Monster_Season2_Challenge"&amp;P579&amp;"_"&amp;Q579&amp;"_"&amp;R579)</f>
        <v>Monster_Season2_Challenge4_5_3</v>
      </c>
      <c r="M579" s="57">
        <f t="shared" si="123"/>
        <v>1</v>
      </c>
      <c r="O579" s="102">
        <f>VLOOKUP(P579&amp;"_"&amp;Q579,活动关卡!$A$4:$Z$27,6+5*MonsterWaveCallRuleCfg!R579,FALSE)</f>
        <v>12</v>
      </c>
      <c r="P579" s="110">
        <v>4</v>
      </c>
      <c r="Q579" s="110">
        <f t="shared" si="125"/>
        <v>5</v>
      </c>
      <c r="R579" s="110">
        <v>3</v>
      </c>
    </row>
    <row r="580" spans="2:18" x14ac:dyDescent="0.2">
      <c r="B580" s="57" t="str">
        <f t="shared" si="118"/>
        <v/>
      </c>
      <c r="D580" s="57" t="str">
        <f t="shared" si="119"/>
        <v/>
      </c>
      <c r="F580" s="57" t="str">
        <f t="shared" si="120"/>
        <v/>
      </c>
      <c r="G580" s="102" t="str">
        <f t="shared" si="124"/>
        <v/>
      </c>
      <c r="H580" s="57" t="str">
        <f t="shared" si="121"/>
        <v/>
      </c>
      <c r="I580" s="102" t="str">
        <f>VLOOKUP(P580&amp;"_"&amp;Q580,活动关卡!$A$60:$Z$83,3+5*MonsterWaveCallRuleCfg!R580,FALSE)</f>
        <v/>
      </c>
      <c r="J580" s="102" t="str">
        <f>VLOOKUP(P580&amp;"_"&amp;Q580,活动关卡!$A$60:$Z$83,4+5*MonsterWaveCallRuleCfg!R580,FALSE)</f>
        <v/>
      </c>
      <c r="K580" s="102" t="str">
        <f t="shared" si="122"/>
        <v/>
      </c>
      <c r="L580" s="102" t="str">
        <f>IF(VLOOKUP(P580&amp;"_"&amp;Q580,活动关卡!$A$60:$Z$83,2+5*R580,FALSE)="","","Monster_Season2_Challenge"&amp;P580&amp;"_"&amp;Q580&amp;"_"&amp;R580)</f>
        <v/>
      </c>
      <c r="M580" s="57" t="str">
        <f t="shared" si="123"/>
        <v/>
      </c>
      <c r="O580" s="102" t="str">
        <f>VLOOKUP(P580&amp;"_"&amp;Q580,活动关卡!$A$4:$Z$27,6+5*MonsterWaveCallRuleCfg!R580,FALSE)</f>
        <v/>
      </c>
      <c r="P580" s="110">
        <v>4</v>
      </c>
      <c r="Q580" s="110">
        <f t="shared" si="125"/>
        <v>5</v>
      </c>
      <c r="R580" s="110">
        <v>4</v>
      </c>
    </row>
    <row r="581" spans="2:18" x14ac:dyDescent="0.2">
      <c r="B581" s="57" t="str">
        <f t="shared" si="118"/>
        <v>MonsterWaveCallRule_Season2_Challenge5</v>
      </c>
      <c r="C581" s="57">
        <v>1</v>
      </c>
      <c r="D581" s="57" t="str">
        <f t="shared" si="119"/>
        <v>赛季2关卡5第1波</v>
      </c>
      <c r="F581" s="57">
        <f t="shared" si="120"/>
        <v>0</v>
      </c>
      <c r="G581" s="102">
        <f>IF(C581="","",180)</f>
        <v>180</v>
      </c>
      <c r="H581" s="57">
        <f t="shared" si="121"/>
        <v>0</v>
      </c>
      <c r="I581" s="102">
        <f>VLOOKUP(P581&amp;"_"&amp;Q581,活动关卡!$A$60:$Z$83,3+5*MonsterWaveCallRuleCfg!R581,FALSE)</f>
        <v>7</v>
      </c>
      <c r="J581" s="102">
        <f>VLOOKUP(P581&amp;"_"&amp;Q581,活动关卡!$A$60:$Z$83,4+5*MonsterWaveCallRuleCfg!R581,FALSE)</f>
        <v>1.5</v>
      </c>
      <c r="K581" s="102">
        <f t="shared" si="122"/>
        <v>1</v>
      </c>
      <c r="L581" s="102" t="str">
        <f>IF(VLOOKUP(P581&amp;"_"&amp;Q581,活动关卡!$A$60:$Z$83,2+5*R581,FALSE)="","","Monster_Season2_Challenge"&amp;P581&amp;"_"&amp;Q581&amp;"_"&amp;R581)</f>
        <v>Monster_Season2_Challenge5_1_1</v>
      </c>
      <c r="M581" s="57">
        <f t="shared" si="123"/>
        <v>1</v>
      </c>
      <c r="O581" s="102">
        <f>VLOOKUP(P581&amp;"_"&amp;Q581,活动关卡!$A$4:$Z$27,6+5*MonsterWaveCallRuleCfg!R581,FALSE)</f>
        <v>50</v>
      </c>
      <c r="P581" s="110">
        <v>5</v>
      </c>
      <c r="Q581" s="110">
        <f t="shared" si="125"/>
        <v>1</v>
      </c>
      <c r="R581" s="110">
        <v>1</v>
      </c>
    </row>
    <row r="582" spans="2:18" x14ac:dyDescent="0.2">
      <c r="B582" s="57" t="str">
        <f t="shared" si="118"/>
        <v/>
      </c>
      <c r="D582" s="57" t="str">
        <f t="shared" si="119"/>
        <v/>
      </c>
      <c r="F582" s="57" t="str">
        <f t="shared" si="120"/>
        <v/>
      </c>
      <c r="G582" s="102" t="str">
        <f t="shared" ref="G582:G612" si="126">IF(C582="","",180)</f>
        <v/>
      </c>
      <c r="H582" s="57">
        <f t="shared" si="121"/>
        <v>0</v>
      </c>
      <c r="I582" s="102">
        <f>VLOOKUP(P582&amp;"_"&amp;Q582,活动关卡!$A$60:$Z$83,3+5*MonsterWaveCallRuleCfg!R582,FALSE)</f>
        <v>5</v>
      </c>
      <c r="J582" s="102">
        <f>VLOOKUP(P582&amp;"_"&amp;Q582,活动关卡!$A$60:$Z$83,4+5*MonsterWaveCallRuleCfg!R582,FALSE)</f>
        <v>2</v>
      </c>
      <c r="K582" s="102">
        <f t="shared" si="122"/>
        <v>1</v>
      </c>
      <c r="L582" s="102" t="str">
        <f>IF(VLOOKUP(P582&amp;"_"&amp;Q582,活动关卡!$A$60:$Z$83,2+5*R582,FALSE)="","","Monster_Season2_Challenge"&amp;P582&amp;"_"&amp;Q582&amp;"_"&amp;R582)</f>
        <v>Monster_Season2_Challenge5_1_2</v>
      </c>
      <c r="M582" s="57">
        <f t="shared" si="123"/>
        <v>1</v>
      </c>
      <c r="O582" s="102">
        <f>VLOOKUP(P582&amp;"_"&amp;Q582,活动关卡!$A$4:$Z$27,6+5*MonsterWaveCallRuleCfg!R582,FALSE)</f>
        <v>50</v>
      </c>
      <c r="P582" s="110">
        <v>5</v>
      </c>
      <c r="Q582" s="110">
        <f t="shared" si="125"/>
        <v>1</v>
      </c>
      <c r="R582" s="110">
        <v>2</v>
      </c>
    </row>
    <row r="583" spans="2:18" x14ac:dyDescent="0.2">
      <c r="B583" s="57" t="str">
        <f t="shared" si="118"/>
        <v/>
      </c>
      <c r="D583" s="57" t="str">
        <f t="shared" si="119"/>
        <v/>
      </c>
      <c r="F583" s="57" t="str">
        <f t="shared" si="120"/>
        <v/>
      </c>
      <c r="G583" s="102" t="str">
        <f t="shared" si="126"/>
        <v/>
      </c>
      <c r="H583" s="57" t="str">
        <f t="shared" si="121"/>
        <v/>
      </c>
      <c r="I583" s="102" t="str">
        <f>VLOOKUP(P583&amp;"_"&amp;Q583,活动关卡!$A$60:$Z$83,3+5*MonsterWaveCallRuleCfg!R583,FALSE)</f>
        <v/>
      </c>
      <c r="J583" s="102" t="str">
        <f>VLOOKUP(P583&amp;"_"&amp;Q583,活动关卡!$A$60:$Z$83,4+5*MonsterWaveCallRuleCfg!R583,FALSE)</f>
        <v/>
      </c>
      <c r="K583" s="102" t="str">
        <f t="shared" si="122"/>
        <v/>
      </c>
      <c r="L583" s="102" t="str">
        <f>IF(VLOOKUP(P583&amp;"_"&amp;Q583,活动关卡!$A$60:$Z$83,2+5*R583,FALSE)="","","Monster_Season2_Challenge"&amp;P583&amp;"_"&amp;Q583&amp;"_"&amp;R583)</f>
        <v/>
      </c>
      <c r="M583" s="57" t="str">
        <f t="shared" si="123"/>
        <v/>
      </c>
      <c r="O583" s="102" t="str">
        <f>VLOOKUP(P583&amp;"_"&amp;Q583,活动关卡!$A$4:$Z$27,6+5*MonsterWaveCallRuleCfg!R583,FALSE)</f>
        <v/>
      </c>
      <c r="P583" s="110">
        <v>5</v>
      </c>
      <c r="Q583" s="110">
        <f t="shared" si="125"/>
        <v>1</v>
      </c>
      <c r="R583" s="110">
        <v>3</v>
      </c>
    </row>
    <row r="584" spans="2:18" x14ac:dyDescent="0.2">
      <c r="B584" s="57" t="str">
        <f t="shared" si="118"/>
        <v/>
      </c>
      <c r="D584" s="57" t="str">
        <f t="shared" si="119"/>
        <v/>
      </c>
      <c r="F584" s="57" t="str">
        <f t="shared" si="120"/>
        <v/>
      </c>
      <c r="G584" s="102" t="str">
        <f t="shared" si="126"/>
        <v/>
      </c>
      <c r="H584" s="57" t="str">
        <f t="shared" si="121"/>
        <v/>
      </c>
      <c r="I584" s="102" t="str">
        <f>VLOOKUP(P584&amp;"_"&amp;Q584,活动关卡!$A$60:$Z$83,3+5*MonsterWaveCallRuleCfg!R584,FALSE)</f>
        <v/>
      </c>
      <c r="J584" s="102" t="str">
        <f>VLOOKUP(P584&amp;"_"&amp;Q584,活动关卡!$A$60:$Z$83,4+5*MonsterWaveCallRuleCfg!R584,FALSE)</f>
        <v/>
      </c>
      <c r="K584" s="102" t="str">
        <f t="shared" si="122"/>
        <v/>
      </c>
      <c r="L584" s="102" t="str">
        <f>IF(VLOOKUP(P584&amp;"_"&amp;Q584,活动关卡!$A$60:$Z$83,2+5*R584,FALSE)="","","Monster_Season2_Challenge"&amp;P584&amp;"_"&amp;Q584&amp;"_"&amp;R584)</f>
        <v/>
      </c>
      <c r="M584" s="57" t="str">
        <f t="shared" si="123"/>
        <v/>
      </c>
      <c r="O584" s="102" t="str">
        <f>VLOOKUP(P584&amp;"_"&amp;Q584,活动关卡!$A$4:$Z$27,6+5*MonsterWaveCallRuleCfg!R584,FALSE)</f>
        <v/>
      </c>
      <c r="P584" s="110">
        <v>5</v>
      </c>
      <c r="Q584" s="110">
        <f t="shared" si="125"/>
        <v>1</v>
      </c>
      <c r="R584" s="110">
        <v>4</v>
      </c>
    </row>
    <row r="585" spans="2:18" x14ac:dyDescent="0.2">
      <c r="B585" s="57" t="str">
        <f t="shared" si="118"/>
        <v>MonsterWaveCallRule_Season2_Challenge5</v>
      </c>
      <c r="C585" s="57">
        <v>2</v>
      </c>
      <c r="D585" s="57" t="str">
        <f t="shared" si="119"/>
        <v>赛季2关卡5第2波</v>
      </c>
      <c r="F585" s="57">
        <f t="shared" si="120"/>
        <v>0</v>
      </c>
      <c r="G585" s="102">
        <f t="shared" si="126"/>
        <v>180</v>
      </c>
      <c r="H585" s="57">
        <f t="shared" si="121"/>
        <v>0</v>
      </c>
      <c r="I585" s="102">
        <f>VLOOKUP(P585&amp;"_"&amp;Q585,活动关卡!$A$60:$Z$83,3+5*MonsterWaveCallRuleCfg!R585,FALSE)</f>
        <v>8</v>
      </c>
      <c r="J585" s="102">
        <f>VLOOKUP(P585&amp;"_"&amp;Q585,活动关卡!$A$60:$Z$83,4+5*MonsterWaveCallRuleCfg!R585,FALSE)</f>
        <v>1.5</v>
      </c>
      <c r="K585" s="102">
        <f t="shared" si="122"/>
        <v>1</v>
      </c>
      <c r="L585" s="102" t="str">
        <f>IF(VLOOKUP(P585&amp;"_"&amp;Q585,活动关卡!$A$60:$Z$83,2+5*R585,FALSE)="","","Monster_Season2_Challenge"&amp;P585&amp;"_"&amp;Q585&amp;"_"&amp;R585)</f>
        <v>Monster_Season2_Challenge5_2_1</v>
      </c>
      <c r="M585" s="57">
        <f t="shared" si="123"/>
        <v>1</v>
      </c>
      <c r="O585" s="102">
        <f>VLOOKUP(P585&amp;"_"&amp;Q585,活动关卡!$A$4:$Z$27,6+5*MonsterWaveCallRuleCfg!R585,FALSE)</f>
        <v>20</v>
      </c>
      <c r="P585" s="110">
        <v>5</v>
      </c>
      <c r="Q585" s="110">
        <f t="shared" si="125"/>
        <v>2</v>
      </c>
      <c r="R585" s="110">
        <v>1</v>
      </c>
    </row>
    <row r="586" spans="2:18" x14ac:dyDescent="0.2">
      <c r="B586" s="57" t="str">
        <f t="shared" si="118"/>
        <v/>
      </c>
      <c r="D586" s="57" t="str">
        <f t="shared" si="119"/>
        <v/>
      </c>
      <c r="F586" s="57" t="str">
        <f t="shared" si="120"/>
        <v/>
      </c>
      <c r="G586" s="102" t="str">
        <f t="shared" si="126"/>
        <v/>
      </c>
      <c r="H586" s="57">
        <f t="shared" si="121"/>
        <v>0</v>
      </c>
      <c r="I586" s="102">
        <f>VLOOKUP(P586&amp;"_"&amp;Q586,活动关卡!$A$60:$Z$83,3+5*MonsterWaveCallRuleCfg!R586,FALSE)</f>
        <v>63</v>
      </c>
      <c r="J586" s="102">
        <f>VLOOKUP(P586&amp;"_"&amp;Q586,活动关卡!$A$60:$Z$83,4+5*MonsterWaveCallRuleCfg!R586,FALSE)</f>
        <v>0.2</v>
      </c>
      <c r="K586" s="102">
        <f t="shared" si="122"/>
        <v>1</v>
      </c>
      <c r="L586" s="102" t="str">
        <f>IF(VLOOKUP(P586&amp;"_"&amp;Q586,活动关卡!$A$60:$Z$83,2+5*R586,FALSE)="","","Monster_Season2_Challenge"&amp;P586&amp;"_"&amp;Q586&amp;"_"&amp;R586)</f>
        <v>Monster_Season2_Challenge5_2_2</v>
      </c>
      <c r="M586" s="57">
        <f t="shared" si="123"/>
        <v>1</v>
      </c>
      <c r="O586" s="102">
        <f>VLOOKUP(P586&amp;"_"&amp;Q586,活动关卡!$A$4:$Z$27,6+5*MonsterWaveCallRuleCfg!R586,FALSE)</f>
        <v>5</v>
      </c>
      <c r="P586" s="110">
        <v>5</v>
      </c>
      <c r="Q586" s="110">
        <f t="shared" si="125"/>
        <v>2</v>
      </c>
      <c r="R586" s="110">
        <v>2</v>
      </c>
    </row>
    <row r="587" spans="2:18" x14ac:dyDescent="0.2">
      <c r="B587" s="57" t="str">
        <f t="shared" si="118"/>
        <v/>
      </c>
      <c r="D587" s="57" t="str">
        <f t="shared" si="119"/>
        <v/>
      </c>
      <c r="F587" s="57" t="str">
        <f t="shared" si="120"/>
        <v/>
      </c>
      <c r="G587" s="102" t="str">
        <f t="shared" si="126"/>
        <v/>
      </c>
      <c r="H587" s="57">
        <f t="shared" si="121"/>
        <v>0</v>
      </c>
      <c r="I587" s="102">
        <f>VLOOKUP(P587&amp;"_"&amp;Q587,活动关卡!$A$60:$Z$83,3+5*MonsterWaveCallRuleCfg!R587,FALSE)</f>
        <v>6</v>
      </c>
      <c r="J587" s="102">
        <f>VLOOKUP(P587&amp;"_"&amp;Q587,活动关卡!$A$60:$Z$83,4+5*MonsterWaveCallRuleCfg!R587,FALSE)</f>
        <v>2</v>
      </c>
      <c r="K587" s="102">
        <f t="shared" si="122"/>
        <v>1</v>
      </c>
      <c r="L587" s="102" t="str">
        <f>IF(VLOOKUP(P587&amp;"_"&amp;Q587,活动关卡!$A$60:$Z$83,2+5*R587,FALSE)="","","Monster_Season2_Challenge"&amp;P587&amp;"_"&amp;Q587&amp;"_"&amp;R587)</f>
        <v>Monster_Season2_Challenge5_2_3</v>
      </c>
      <c r="M587" s="57">
        <f t="shared" si="123"/>
        <v>1</v>
      </c>
      <c r="O587" s="102">
        <f>VLOOKUP(P587&amp;"_"&amp;Q587,活动关卡!$A$4:$Z$27,6+5*MonsterWaveCallRuleCfg!R587,FALSE)</f>
        <v>20</v>
      </c>
      <c r="P587" s="110">
        <v>5</v>
      </c>
      <c r="Q587" s="110">
        <f t="shared" si="125"/>
        <v>2</v>
      </c>
      <c r="R587" s="110">
        <v>3</v>
      </c>
    </row>
    <row r="588" spans="2:18" x14ac:dyDescent="0.2">
      <c r="B588" s="57" t="str">
        <f t="shared" si="118"/>
        <v/>
      </c>
      <c r="D588" s="57" t="str">
        <f t="shared" si="119"/>
        <v/>
      </c>
      <c r="F588" s="57" t="str">
        <f t="shared" si="120"/>
        <v/>
      </c>
      <c r="G588" s="102" t="str">
        <f t="shared" si="126"/>
        <v/>
      </c>
      <c r="H588" s="57" t="str">
        <f t="shared" si="121"/>
        <v/>
      </c>
      <c r="I588" s="102" t="str">
        <f>VLOOKUP(P588&amp;"_"&amp;Q588,活动关卡!$A$60:$Z$83,3+5*MonsterWaveCallRuleCfg!R588,FALSE)</f>
        <v/>
      </c>
      <c r="J588" s="102" t="str">
        <f>VLOOKUP(P588&amp;"_"&amp;Q588,活动关卡!$A$60:$Z$83,4+5*MonsterWaveCallRuleCfg!R588,FALSE)</f>
        <v/>
      </c>
      <c r="K588" s="102" t="str">
        <f t="shared" si="122"/>
        <v/>
      </c>
      <c r="L588" s="102" t="str">
        <f>IF(VLOOKUP(P588&amp;"_"&amp;Q588,活动关卡!$A$60:$Z$83,2+5*R588,FALSE)="","","Monster_Season2_Challenge"&amp;P588&amp;"_"&amp;Q588&amp;"_"&amp;R588)</f>
        <v/>
      </c>
      <c r="M588" s="57" t="str">
        <f t="shared" si="123"/>
        <v/>
      </c>
      <c r="O588" s="102" t="str">
        <f>VLOOKUP(P588&amp;"_"&amp;Q588,活动关卡!$A$4:$Z$27,6+5*MonsterWaveCallRuleCfg!R588,FALSE)</f>
        <v/>
      </c>
      <c r="P588" s="110">
        <v>5</v>
      </c>
      <c r="Q588" s="110">
        <f t="shared" si="125"/>
        <v>2</v>
      </c>
      <c r="R588" s="110">
        <v>4</v>
      </c>
    </row>
    <row r="589" spans="2:18" x14ac:dyDescent="0.2">
      <c r="B589" s="57" t="str">
        <f t="shared" si="118"/>
        <v>MonsterWaveCallRule_Season2_Challenge5</v>
      </c>
      <c r="C589" s="57">
        <v>3</v>
      </c>
      <c r="D589" s="57" t="str">
        <f t="shared" si="119"/>
        <v>赛季2关卡5第3波</v>
      </c>
      <c r="F589" s="57">
        <f t="shared" si="120"/>
        <v>0</v>
      </c>
      <c r="G589" s="102">
        <f t="shared" si="126"/>
        <v>180</v>
      </c>
      <c r="H589" s="57">
        <f t="shared" si="121"/>
        <v>0</v>
      </c>
      <c r="I589" s="102">
        <f>VLOOKUP(P589&amp;"_"&amp;Q589,活动关卡!$A$60:$Z$83,3+5*MonsterWaveCallRuleCfg!R589,FALSE)</f>
        <v>10</v>
      </c>
      <c r="J589" s="102">
        <f>VLOOKUP(P589&amp;"_"&amp;Q589,活动关卡!$A$60:$Z$83,4+5*MonsterWaveCallRuleCfg!R589,FALSE)</f>
        <v>1.5</v>
      </c>
      <c r="K589" s="102">
        <f t="shared" si="122"/>
        <v>1</v>
      </c>
      <c r="L589" s="102" t="str">
        <f>IF(VLOOKUP(P589&amp;"_"&amp;Q589,活动关卡!$A$60:$Z$83,2+5*R589,FALSE)="","","Monster_Season2_Challenge"&amp;P589&amp;"_"&amp;Q589&amp;"_"&amp;R589)</f>
        <v>Monster_Season2_Challenge5_3_1</v>
      </c>
      <c r="M589" s="57">
        <f t="shared" si="123"/>
        <v>1</v>
      </c>
      <c r="O589" s="102">
        <f>VLOOKUP(P589&amp;"_"&amp;Q589,活动关卡!$A$4:$Z$27,6+5*MonsterWaveCallRuleCfg!R589,FALSE)</f>
        <v>14</v>
      </c>
      <c r="P589" s="110">
        <v>5</v>
      </c>
      <c r="Q589" s="110">
        <f t="shared" si="125"/>
        <v>3</v>
      </c>
      <c r="R589" s="110">
        <v>1</v>
      </c>
    </row>
    <row r="590" spans="2:18" x14ac:dyDescent="0.2">
      <c r="B590" s="57" t="str">
        <f t="shared" si="118"/>
        <v/>
      </c>
      <c r="D590" s="57" t="str">
        <f t="shared" si="119"/>
        <v/>
      </c>
      <c r="F590" s="57" t="str">
        <f t="shared" si="120"/>
        <v/>
      </c>
      <c r="G590" s="102" t="str">
        <f t="shared" si="126"/>
        <v/>
      </c>
      <c r="H590" s="57">
        <f t="shared" si="121"/>
        <v>0</v>
      </c>
      <c r="I590" s="102">
        <f>VLOOKUP(P590&amp;"_"&amp;Q590,活动关卡!$A$60:$Z$83,3+5*MonsterWaveCallRuleCfg!R590,FALSE)</f>
        <v>38</v>
      </c>
      <c r="J590" s="102">
        <f>VLOOKUP(P590&amp;"_"&amp;Q590,活动关卡!$A$60:$Z$83,4+5*MonsterWaveCallRuleCfg!R590,FALSE)</f>
        <v>0.4</v>
      </c>
      <c r="K590" s="102">
        <f t="shared" si="122"/>
        <v>1</v>
      </c>
      <c r="L590" s="102" t="str">
        <f>IF(VLOOKUP(P590&amp;"_"&amp;Q590,活动关卡!$A$60:$Z$83,2+5*R590,FALSE)="","","Monster_Season2_Challenge"&amp;P590&amp;"_"&amp;Q590&amp;"_"&amp;R590)</f>
        <v>Monster_Season2_Challenge5_3_2</v>
      </c>
      <c r="M590" s="57">
        <f t="shared" si="123"/>
        <v>1</v>
      </c>
      <c r="O590" s="102">
        <f>VLOOKUP(P590&amp;"_"&amp;Q590,活动关卡!$A$4:$Z$27,6+5*MonsterWaveCallRuleCfg!R590,FALSE)</f>
        <v>7</v>
      </c>
      <c r="P590" s="110">
        <v>5</v>
      </c>
      <c r="Q590" s="110">
        <f t="shared" si="125"/>
        <v>3</v>
      </c>
      <c r="R590" s="110">
        <v>2</v>
      </c>
    </row>
    <row r="591" spans="2:18" x14ac:dyDescent="0.2">
      <c r="B591" s="57" t="str">
        <f t="shared" si="118"/>
        <v/>
      </c>
      <c r="D591" s="57" t="str">
        <f t="shared" si="119"/>
        <v/>
      </c>
      <c r="F591" s="57" t="str">
        <f t="shared" si="120"/>
        <v/>
      </c>
      <c r="G591" s="102" t="str">
        <f t="shared" si="126"/>
        <v/>
      </c>
      <c r="H591" s="57">
        <f t="shared" si="121"/>
        <v>0</v>
      </c>
      <c r="I591" s="102">
        <f>VLOOKUP(P591&amp;"_"&amp;Q591,活动关卡!$A$60:$Z$83,3+5*MonsterWaveCallRuleCfg!R591,FALSE)</f>
        <v>10</v>
      </c>
      <c r="J591" s="102">
        <f>VLOOKUP(P591&amp;"_"&amp;Q591,活动关卡!$A$60:$Z$83,4+5*MonsterWaveCallRuleCfg!R591,FALSE)</f>
        <v>1.5</v>
      </c>
      <c r="K591" s="102">
        <f t="shared" si="122"/>
        <v>1</v>
      </c>
      <c r="L591" s="102" t="str">
        <f>IF(VLOOKUP(P591&amp;"_"&amp;Q591,活动关卡!$A$60:$Z$83,2+5*R591,FALSE)="","","Monster_Season2_Challenge"&amp;P591&amp;"_"&amp;Q591&amp;"_"&amp;R591)</f>
        <v>Monster_Season2_Challenge5_3_3</v>
      </c>
      <c r="M591" s="57">
        <f t="shared" si="123"/>
        <v>1</v>
      </c>
      <c r="O591" s="102">
        <f>VLOOKUP(P591&amp;"_"&amp;Q591,活动关卡!$A$4:$Z$27,6+5*MonsterWaveCallRuleCfg!R591,FALSE)</f>
        <v>7</v>
      </c>
      <c r="P591" s="110">
        <v>5</v>
      </c>
      <c r="Q591" s="110">
        <f t="shared" si="125"/>
        <v>3</v>
      </c>
      <c r="R591" s="110">
        <v>3</v>
      </c>
    </row>
    <row r="592" spans="2:18" x14ac:dyDescent="0.2">
      <c r="B592" s="57" t="str">
        <f t="shared" si="118"/>
        <v/>
      </c>
      <c r="D592" s="57" t="str">
        <f t="shared" si="119"/>
        <v/>
      </c>
      <c r="F592" s="57" t="str">
        <f t="shared" si="120"/>
        <v/>
      </c>
      <c r="G592" s="102" t="str">
        <f t="shared" si="126"/>
        <v/>
      </c>
      <c r="H592" s="57">
        <f t="shared" si="121"/>
        <v>0</v>
      </c>
      <c r="I592" s="102">
        <f>VLOOKUP(P592&amp;"_"&amp;Q592,活动关卡!$A$60:$Z$83,3+5*MonsterWaveCallRuleCfg!R592,FALSE)</f>
        <v>8</v>
      </c>
      <c r="J592" s="102">
        <f>VLOOKUP(P592&amp;"_"&amp;Q592,活动关卡!$A$60:$Z$83,4+5*MonsterWaveCallRuleCfg!R592,FALSE)</f>
        <v>2</v>
      </c>
      <c r="K592" s="102">
        <f t="shared" si="122"/>
        <v>1</v>
      </c>
      <c r="L592" s="102" t="str">
        <f>IF(VLOOKUP(P592&amp;"_"&amp;Q592,活动关卡!$A$60:$Z$83,2+5*R592,FALSE)="","","Monster_Season2_Challenge"&amp;P592&amp;"_"&amp;Q592&amp;"_"&amp;R592)</f>
        <v>Monster_Season2_Challenge5_3_4</v>
      </c>
      <c r="M592" s="57">
        <f t="shared" si="123"/>
        <v>1</v>
      </c>
      <c r="O592" s="102">
        <f>VLOOKUP(P592&amp;"_"&amp;Q592,活动关卡!$A$4:$Z$27,6+5*MonsterWaveCallRuleCfg!R592,FALSE)</f>
        <v>14</v>
      </c>
      <c r="P592" s="110">
        <v>5</v>
      </c>
      <c r="Q592" s="110">
        <f t="shared" si="125"/>
        <v>3</v>
      </c>
      <c r="R592" s="110">
        <v>4</v>
      </c>
    </row>
    <row r="593" spans="2:18" x14ac:dyDescent="0.2">
      <c r="B593" s="57" t="str">
        <f t="shared" si="118"/>
        <v>MonsterWaveCallRule_Season2_Challenge5</v>
      </c>
      <c r="C593" s="57">
        <v>4</v>
      </c>
      <c r="D593" s="57" t="str">
        <f t="shared" si="119"/>
        <v>赛季2关卡5第4波</v>
      </c>
      <c r="F593" s="57">
        <f t="shared" si="120"/>
        <v>0</v>
      </c>
      <c r="G593" s="102">
        <f t="shared" si="126"/>
        <v>180</v>
      </c>
      <c r="H593" s="57">
        <f t="shared" si="121"/>
        <v>0</v>
      </c>
      <c r="I593" s="102">
        <f>VLOOKUP(P593&amp;"_"&amp;Q593,活动关卡!$A$60:$Z$83,3+5*MonsterWaveCallRuleCfg!R593,FALSE)</f>
        <v>12</v>
      </c>
      <c r="J593" s="102">
        <f>VLOOKUP(P593&amp;"_"&amp;Q593,活动关卡!$A$60:$Z$83,4+5*MonsterWaveCallRuleCfg!R593,FALSE)</f>
        <v>1.5</v>
      </c>
      <c r="K593" s="102">
        <f t="shared" si="122"/>
        <v>1</v>
      </c>
      <c r="L593" s="102" t="str">
        <f>IF(VLOOKUP(P593&amp;"_"&amp;Q593,活动关卡!$A$60:$Z$83,2+5*R593,FALSE)="","","Monster_Season2_Challenge"&amp;P593&amp;"_"&amp;Q593&amp;"_"&amp;R593)</f>
        <v>Monster_Season2_Challenge5_4_1</v>
      </c>
      <c r="M593" s="57">
        <f t="shared" si="123"/>
        <v>1</v>
      </c>
      <c r="O593" s="102">
        <f>VLOOKUP(P593&amp;"_"&amp;Q593,活动关卡!$A$4:$Z$27,6+5*MonsterWaveCallRuleCfg!R593,FALSE)</f>
        <v>16</v>
      </c>
      <c r="P593" s="110">
        <v>5</v>
      </c>
      <c r="Q593" s="110">
        <f t="shared" si="125"/>
        <v>4</v>
      </c>
      <c r="R593" s="110">
        <v>1</v>
      </c>
    </row>
    <row r="594" spans="2:18" x14ac:dyDescent="0.2">
      <c r="B594" s="57" t="str">
        <f t="shared" si="118"/>
        <v/>
      </c>
      <c r="D594" s="57" t="str">
        <f t="shared" si="119"/>
        <v/>
      </c>
      <c r="F594" s="57" t="str">
        <f t="shared" si="120"/>
        <v/>
      </c>
      <c r="G594" s="102" t="str">
        <f t="shared" si="126"/>
        <v/>
      </c>
      <c r="H594" s="57">
        <f t="shared" si="121"/>
        <v>0</v>
      </c>
      <c r="I594" s="102">
        <f>VLOOKUP(P594&amp;"_"&amp;Q594,活动关卡!$A$60:$Z$83,3+5*MonsterWaveCallRuleCfg!R594,FALSE)</f>
        <v>35</v>
      </c>
      <c r="J594" s="102">
        <f>VLOOKUP(P594&amp;"_"&amp;Q594,活动关卡!$A$60:$Z$83,4+5*MonsterWaveCallRuleCfg!R594,FALSE)</f>
        <v>0.5</v>
      </c>
      <c r="K594" s="102">
        <f t="shared" si="122"/>
        <v>1</v>
      </c>
      <c r="L594" s="102" t="str">
        <f>IF(VLOOKUP(P594&amp;"_"&amp;Q594,活动关卡!$A$60:$Z$83,2+5*R594,FALSE)="","","Monster_Season2_Challenge"&amp;P594&amp;"_"&amp;Q594&amp;"_"&amp;R594)</f>
        <v>Monster_Season2_Challenge5_4_2</v>
      </c>
      <c r="M594" s="57">
        <f t="shared" si="123"/>
        <v>1</v>
      </c>
      <c r="O594" s="102">
        <f>VLOOKUP(P594&amp;"_"&amp;Q594,活动关卡!$A$4:$Z$27,6+5*MonsterWaveCallRuleCfg!R594,FALSE)</f>
        <v>8</v>
      </c>
      <c r="P594" s="110">
        <v>5</v>
      </c>
      <c r="Q594" s="110">
        <f t="shared" si="125"/>
        <v>4</v>
      </c>
      <c r="R594" s="110">
        <v>2</v>
      </c>
    </row>
    <row r="595" spans="2:18" x14ac:dyDescent="0.2">
      <c r="B595" s="57" t="str">
        <f t="shared" si="118"/>
        <v/>
      </c>
      <c r="D595" s="57" t="str">
        <f t="shared" si="119"/>
        <v/>
      </c>
      <c r="F595" s="57" t="str">
        <f t="shared" si="120"/>
        <v/>
      </c>
      <c r="G595" s="102" t="str">
        <f t="shared" si="126"/>
        <v/>
      </c>
      <c r="H595" s="57">
        <f t="shared" si="121"/>
        <v>0</v>
      </c>
      <c r="I595" s="102">
        <f>VLOOKUP(P595&amp;"_"&amp;Q595,活动关卡!$A$60:$Z$83,3+5*MonsterWaveCallRuleCfg!R595,FALSE)</f>
        <v>9</v>
      </c>
      <c r="J595" s="102">
        <f>VLOOKUP(P595&amp;"_"&amp;Q595,活动关卡!$A$60:$Z$83,4+5*MonsterWaveCallRuleCfg!R595,FALSE)</f>
        <v>2</v>
      </c>
      <c r="K595" s="102">
        <f t="shared" si="122"/>
        <v>1</v>
      </c>
      <c r="L595" s="102" t="str">
        <f>IF(VLOOKUP(P595&amp;"_"&amp;Q595,活动关卡!$A$60:$Z$83,2+5*R595,FALSE)="","","Monster_Season2_Challenge"&amp;P595&amp;"_"&amp;Q595&amp;"_"&amp;R595)</f>
        <v>Monster_Season2_Challenge5_4_3</v>
      </c>
      <c r="M595" s="57">
        <f t="shared" si="123"/>
        <v>1</v>
      </c>
      <c r="O595" s="102">
        <f>VLOOKUP(P595&amp;"_"&amp;Q595,活动关卡!$A$4:$Z$27,6+5*MonsterWaveCallRuleCfg!R595,FALSE)</f>
        <v>16</v>
      </c>
      <c r="P595" s="110">
        <v>5</v>
      </c>
      <c r="Q595" s="110">
        <f t="shared" si="125"/>
        <v>4</v>
      </c>
      <c r="R595" s="110">
        <v>3</v>
      </c>
    </row>
    <row r="596" spans="2:18" x14ac:dyDescent="0.2">
      <c r="B596" s="57" t="str">
        <f t="shared" si="118"/>
        <v/>
      </c>
      <c r="D596" s="57" t="str">
        <f t="shared" si="119"/>
        <v/>
      </c>
      <c r="F596" s="57" t="str">
        <f t="shared" si="120"/>
        <v/>
      </c>
      <c r="G596" s="102" t="str">
        <f t="shared" si="126"/>
        <v/>
      </c>
      <c r="H596" s="57" t="str">
        <f t="shared" si="121"/>
        <v/>
      </c>
      <c r="I596" s="102" t="str">
        <f>VLOOKUP(P596&amp;"_"&amp;Q596,活动关卡!$A$60:$Z$83,3+5*MonsterWaveCallRuleCfg!R596,FALSE)</f>
        <v/>
      </c>
      <c r="J596" s="102" t="str">
        <f>VLOOKUP(P596&amp;"_"&amp;Q596,活动关卡!$A$60:$Z$83,4+5*MonsterWaveCallRuleCfg!R596,FALSE)</f>
        <v/>
      </c>
      <c r="K596" s="102" t="str">
        <f t="shared" si="122"/>
        <v/>
      </c>
      <c r="L596" s="102" t="str">
        <f>IF(VLOOKUP(P596&amp;"_"&amp;Q596,活动关卡!$A$60:$Z$83,2+5*R596,FALSE)="","","Monster_Season2_Challenge"&amp;P596&amp;"_"&amp;Q596&amp;"_"&amp;R596)</f>
        <v/>
      </c>
      <c r="M596" s="57" t="str">
        <f t="shared" si="123"/>
        <v/>
      </c>
      <c r="O596" s="102" t="str">
        <f>VLOOKUP(P596&amp;"_"&amp;Q596,活动关卡!$A$4:$Z$27,6+5*MonsterWaveCallRuleCfg!R596,FALSE)</f>
        <v/>
      </c>
      <c r="P596" s="110">
        <v>5</v>
      </c>
      <c r="Q596" s="110">
        <f t="shared" si="125"/>
        <v>4</v>
      </c>
      <c r="R596" s="110">
        <v>4</v>
      </c>
    </row>
    <row r="597" spans="2:18" x14ac:dyDescent="0.2">
      <c r="B597" s="57" t="str">
        <f t="shared" ref="B597:B609" si="127">IF(C597="","","MonsterWaveCallRule_Season2_Challenge"&amp;P597)</f>
        <v>MonsterWaveCallRule_Season2_Challenge5</v>
      </c>
      <c r="C597" s="57">
        <v>5</v>
      </c>
      <c r="D597" s="57" t="str">
        <f t="shared" ref="D597:D609" si="128">IF(C597="","","赛季2关卡"&amp;P597&amp;"第"&amp;C597&amp;"波")</f>
        <v>赛季2关卡5第5波</v>
      </c>
      <c r="F597" s="57">
        <f t="shared" si="120"/>
        <v>0</v>
      </c>
      <c r="G597" s="102">
        <f t="shared" si="126"/>
        <v>180</v>
      </c>
      <c r="H597" s="57">
        <f t="shared" si="121"/>
        <v>0</v>
      </c>
      <c r="I597" s="102">
        <f>VLOOKUP(P597&amp;"_"&amp;Q597,活动关卡!$A$60:$Z$83,3+5*MonsterWaveCallRuleCfg!R597,FALSE)</f>
        <v>13</v>
      </c>
      <c r="J597" s="102">
        <f>VLOOKUP(P597&amp;"_"&amp;Q597,活动关卡!$A$60:$Z$83,4+5*MonsterWaveCallRuleCfg!R597,FALSE)</f>
        <v>1.5</v>
      </c>
      <c r="K597" s="102">
        <f t="shared" si="122"/>
        <v>1</v>
      </c>
      <c r="L597" s="102" t="str">
        <f>IF(VLOOKUP(P597&amp;"_"&amp;Q597,活动关卡!$A$60:$Z$83,2+5*R597,FALSE)="","","Monster_Season2_Challenge"&amp;P597&amp;"_"&amp;Q597&amp;"_"&amp;R597)</f>
        <v>Monster_Season2_Challenge5_5_1</v>
      </c>
      <c r="M597" s="57">
        <f t="shared" si="123"/>
        <v>1</v>
      </c>
      <c r="O597" s="102">
        <f>VLOOKUP(P597&amp;"_"&amp;Q597,活动关卡!$A$4:$Z$27,6+5*MonsterWaveCallRuleCfg!R597,FALSE)</f>
        <v>10</v>
      </c>
      <c r="P597" s="110">
        <v>5</v>
      </c>
      <c r="Q597" s="110">
        <f t="shared" si="125"/>
        <v>5</v>
      </c>
      <c r="R597" s="110">
        <v>1</v>
      </c>
    </row>
    <row r="598" spans="2:18" x14ac:dyDescent="0.2">
      <c r="B598" s="57" t="str">
        <f t="shared" si="127"/>
        <v/>
      </c>
      <c r="D598" s="57" t="str">
        <f t="shared" si="128"/>
        <v/>
      </c>
      <c r="F598" s="57" t="str">
        <f t="shared" si="120"/>
        <v/>
      </c>
      <c r="G598" s="102" t="str">
        <f t="shared" si="126"/>
        <v/>
      </c>
      <c r="H598" s="57">
        <f t="shared" si="121"/>
        <v>0</v>
      </c>
      <c r="I598" s="102">
        <f>VLOOKUP(P598&amp;"_"&amp;Q598,活动关卡!$A$60:$Z$83,3+5*MonsterWaveCallRuleCfg!R598,FALSE)</f>
        <v>40</v>
      </c>
      <c r="J598" s="102">
        <f>VLOOKUP(P598&amp;"_"&amp;Q598,活动关卡!$A$60:$Z$83,4+5*MonsterWaveCallRuleCfg!R598,FALSE)</f>
        <v>0.5</v>
      </c>
      <c r="K598" s="102">
        <f t="shared" si="122"/>
        <v>1</v>
      </c>
      <c r="L598" s="102" t="str">
        <f>IF(VLOOKUP(P598&amp;"_"&amp;Q598,活动关卡!$A$60:$Z$83,2+5*R598,FALSE)="","","Monster_Season2_Challenge"&amp;P598&amp;"_"&amp;Q598&amp;"_"&amp;R598)</f>
        <v>Monster_Season2_Challenge5_5_2</v>
      </c>
      <c r="M598" s="57">
        <f t="shared" si="123"/>
        <v>1</v>
      </c>
      <c r="O598" s="102">
        <f>VLOOKUP(P598&amp;"_"&amp;Q598,活动关卡!$A$4:$Z$27,6+5*MonsterWaveCallRuleCfg!R598,FALSE)</f>
        <v>5</v>
      </c>
      <c r="P598" s="110">
        <v>5</v>
      </c>
      <c r="Q598" s="110">
        <f t="shared" si="125"/>
        <v>5</v>
      </c>
      <c r="R598" s="110">
        <v>2</v>
      </c>
    </row>
    <row r="599" spans="2:18" x14ac:dyDescent="0.2">
      <c r="B599" s="57" t="str">
        <f t="shared" si="127"/>
        <v/>
      </c>
      <c r="D599" s="57" t="str">
        <f t="shared" si="128"/>
        <v/>
      </c>
      <c r="F599" s="57" t="str">
        <f t="shared" si="120"/>
        <v/>
      </c>
      <c r="G599" s="102" t="str">
        <f t="shared" si="126"/>
        <v/>
      </c>
      <c r="H599" s="57">
        <f t="shared" si="121"/>
        <v>0</v>
      </c>
      <c r="I599" s="102">
        <f>VLOOKUP(P599&amp;"_"&amp;Q599,活动关卡!$A$60:$Z$83,3+5*MonsterWaveCallRuleCfg!R599,FALSE)</f>
        <v>10</v>
      </c>
      <c r="J599" s="102">
        <f>VLOOKUP(P599&amp;"_"&amp;Q599,活动关卡!$A$60:$Z$83,4+5*MonsterWaveCallRuleCfg!R599,FALSE)</f>
        <v>2</v>
      </c>
      <c r="K599" s="102">
        <f t="shared" si="122"/>
        <v>1</v>
      </c>
      <c r="L599" s="102" t="str">
        <f>IF(VLOOKUP(P599&amp;"_"&amp;Q599,活动关卡!$A$60:$Z$83,2+5*R599,FALSE)="","","Monster_Season2_Challenge"&amp;P599&amp;"_"&amp;Q599&amp;"_"&amp;R599)</f>
        <v>Monster_Season2_Challenge5_5_3</v>
      </c>
      <c r="M599" s="57">
        <f t="shared" si="123"/>
        <v>1</v>
      </c>
      <c r="O599" s="102">
        <f>VLOOKUP(P599&amp;"_"&amp;Q599,活动关卡!$A$4:$Z$27,6+5*MonsterWaveCallRuleCfg!R599,FALSE)</f>
        <v>10</v>
      </c>
      <c r="P599" s="110">
        <v>5</v>
      </c>
      <c r="Q599" s="110">
        <f t="shared" si="125"/>
        <v>5</v>
      </c>
      <c r="R599" s="110">
        <v>3</v>
      </c>
    </row>
    <row r="600" spans="2:18" x14ac:dyDescent="0.2">
      <c r="B600" s="57" t="str">
        <f t="shared" si="127"/>
        <v/>
      </c>
      <c r="D600" s="57" t="str">
        <f t="shared" si="128"/>
        <v/>
      </c>
      <c r="F600" s="57" t="str">
        <f t="shared" si="120"/>
        <v/>
      </c>
      <c r="G600" s="102" t="str">
        <f t="shared" si="126"/>
        <v/>
      </c>
      <c r="H600" s="57">
        <f t="shared" si="121"/>
        <v>0</v>
      </c>
      <c r="I600" s="102">
        <f>VLOOKUP(P600&amp;"_"&amp;Q600,活动关卡!$A$60:$Z$83,3+5*MonsterWaveCallRuleCfg!R600,FALSE)</f>
        <v>20</v>
      </c>
      <c r="J600" s="102">
        <f>VLOOKUP(P600&amp;"_"&amp;Q600,活动关卡!$A$60:$Z$83,4+5*MonsterWaveCallRuleCfg!R600,FALSE)</f>
        <v>1</v>
      </c>
      <c r="K600" s="102">
        <f t="shared" si="122"/>
        <v>1</v>
      </c>
      <c r="L600" s="102" t="str">
        <f>IF(VLOOKUP(P600&amp;"_"&amp;Q600,活动关卡!$A$60:$Z$83,2+5*R600,FALSE)="","","Monster_Season2_Challenge"&amp;P600&amp;"_"&amp;Q600&amp;"_"&amp;R600)</f>
        <v>Monster_Season2_Challenge5_5_4</v>
      </c>
      <c r="M600" s="57">
        <f t="shared" si="123"/>
        <v>1</v>
      </c>
      <c r="O600" s="102">
        <f>VLOOKUP(P600&amp;"_"&amp;Q600,活动关卡!$A$4:$Z$27,6+5*MonsterWaveCallRuleCfg!R600,FALSE)</f>
        <v>10</v>
      </c>
      <c r="P600" s="110">
        <v>5</v>
      </c>
      <c r="Q600" s="110">
        <f t="shared" si="125"/>
        <v>5</v>
      </c>
      <c r="R600" s="110">
        <v>4</v>
      </c>
    </row>
    <row r="601" spans="2:18" x14ac:dyDescent="0.2">
      <c r="B601" s="57" t="str">
        <f t="shared" si="127"/>
        <v>MonsterWaveCallRule_Season2_Challenge5</v>
      </c>
      <c r="C601" s="57">
        <v>6</v>
      </c>
      <c r="D601" s="57" t="str">
        <f t="shared" si="128"/>
        <v>赛季2关卡5第6波</v>
      </c>
      <c r="F601" s="57">
        <f t="shared" si="120"/>
        <v>0</v>
      </c>
      <c r="G601" s="102">
        <f t="shared" si="126"/>
        <v>180</v>
      </c>
      <c r="H601" s="57">
        <f t="shared" si="121"/>
        <v>0</v>
      </c>
      <c r="I601" s="102">
        <f>VLOOKUP(P601&amp;"_"&amp;Q601,活动关卡!$A$60:$Z$83,3+5*MonsterWaveCallRuleCfg!R601,FALSE)</f>
        <v>15</v>
      </c>
      <c r="J601" s="102">
        <f>VLOOKUP(P601&amp;"_"&amp;Q601,活动关卡!$A$60:$Z$83,4+5*MonsterWaveCallRuleCfg!R601,FALSE)</f>
        <v>1.5</v>
      </c>
      <c r="K601" s="102">
        <f t="shared" si="122"/>
        <v>1</v>
      </c>
      <c r="L601" s="102" t="str">
        <f>IF(VLOOKUP(P601&amp;"_"&amp;Q601,活动关卡!$A$60:$Z$83,2+5*R601,FALSE)="","","Monster_Season2_Challenge"&amp;P601&amp;"_"&amp;Q601&amp;"_"&amp;R601)</f>
        <v>Monster_Season2_Challenge5_6_1</v>
      </c>
      <c r="M601" s="57">
        <f t="shared" si="123"/>
        <v>1</v>
      </c>
      <c r="O601" s="102">
        <f>VLOOKUP(P601&amp;"_"&amp;Q601,活动关卡!$A$4:$Z$27,6+5*MonsterWaveCallRuleCfg!R601,FALSE)</f>
        <v>11</v>
      </c>
      <c r="P601" s="110">
        <v>5</v>
      </c>
      <c r="Q601" s="110">
        <f t="shared" si="125"/>
        <v>6</v>
      </c>
      <c r="R601" s="110">
        <v>1</v>
      </c>
    </row>
    <row r="602" spans="2:18" x14ac:dyDescent="0.2">
      <c r="B602" s="57" t="str">
        <f t="shared" si="127"/>
        <v/>
      </c>
      <c r="D602" s="57" t="str">
        <f t="shared" si="128"/>
        <v/>
      </c>
      <c r="F602" s="57" t="str">
        <f t="shared" si="120"/>
        <v/>
      </c>
      <c r="G602" s="102" t="str">
        <f t="shared" si="126"/>
        <v/>
      </c>
      <c r="H602" s="57">
        <f t="shared" si="121"/>
        <v>0</v>
      </c>
      <c r="I602" s="102">
        <f>VLOOKUP(P602&amp;"_"&amp;Q602,活动关卡!$A$60:$Z$83,3+5*MonsterWaveCallRuleCfg!R602,FALSE)</f>
        <v>11</v>
      </c>
      <c r="J602" s="102">
        <f>VLOOKUP(P602&amp;"_"&amp;Q602,活动关卡!$A$60:$Z$83,4+5*MonsterWaveCallRuleCfg!R602,FALSE)</f>
        <v>2</v>
      </c>
      <c r="K602" s="102">
        <f t="shared" si="122"/>
        <v>1</v>
      </c>
      <c r="L602" s="102" t="str">
        <f>IF(VLOOKUP(P602&amp;"_"&amp;Q602,活动关卡!$A$60:$Z$83,2+5*R602,FALSE)="","","Monster_Season2_Challenge"&amp;P602&amp;"_"&amp;Q602&amp;"_"&amp;R602)</f>
        <v>Monster_Season2_Challenge5_6_2</v>
      </c>
      <c r="M602" s="57">
        <f t="shared" si="123"/>
        <v>1</v>
      </c>
      <c r="O602" s="102">
        <f>VLOOKUP(P602&amp;"_"&amp;Q602,活动关卡!$A$4:$Z$27,6+5*MonsterWaveCallRuleCfg!R602,FALSE)</f>
        <v>11</v>
      </c>
      <c r="P602" s="110">
        <v>5</v>
      </c>
      <c r="Q602" s="110">
        <f t="shared" si="125"/>
        <v>6</v>
      </c>
      <c r="R602" s="110">
        <v>2</v>
      </c>
    </row>
    <row r="603" spans="2:18" x14ac:dyDescent="0.2">
      <c r="B603" s="57" t="str">
        <f t="shared" si="127"/>
        <v/>
      </c>
      <c r="D603" s="57" t="str">
        <f t="shared" si="128"/>
        <v/>
      </c>
      <c r="F603" s="57" t="str">
        <f t="shared" si="120"/>
        <v/>
      </c>
      <c r="G603" s="102" t="str">
        <f t="shared" si="126"/>
        <v/>
      </c>
      <c r="H603" s="57">
        <f t="shared" si="121"/>
        <v>0</v>
      </c>
      <c r="I603" s="102">
        <f>VLOOKUP(P603&amp;"_"&amp;Q603,活动关卡!$A$60:$Z$83,3+5*MonsterWaveCallRuleCfg!R603,FALSE)</f>
        <v>15</v>
      </c>
      <c r="J603" s="102">
        <f>VLOOKUP(P603&amp;"_"&amp;Q603,活动关卡!$A$60:$Z$83,4+5*MonsterWaveCallRuleCfg!R603,FALSE)</f>
        <v>1.5</v>
      </c>
      <c r="K603" s="102">
        <f t="shared" si="122"/>
        <v>1</v>
      </c>
      <c r="L603" s="102" t="str">
        <f>IF(VLOOKUP(P603&amp;"_"&amp;Q603,活动关卡!$A$60:$Z$83,2+5*R603,FALSE)="","","Monster_Season2_Challenge"&amp;P603&amp;"_"&amp;Q603&amp;"_"&amp;R603)</f>
        <v>Monster_Season2_Challenge5_6_3</v>
      </c>
      <c r="M603" s="57">
        <f t="shared" si="123"/>
        <v>1</v>
      </c>
      <c r="O603" s="102">
        <f>VLOOKUP(P603&amp;"_"&amp;Q603,活动关卡!$A$4:$Z$27,6+5*MonsterWaveCallRuleCfg!R603,FALSE)</f>
        <v>5</v>
      </c>
      <c r="P603" s="110">
        <v>5</v>
      </c>
      <c r="Q603" s="110">
        <f t="shared" si="125"/>
        <v>6</v>
      </c>
      <c r="R603" s="110">
        <v>3</v>
      </c>
    </row>
    <row r="604" spans="2:18" x14ac:dyDescent="0.2">
      <c r="B604" s="57" t="str">
        <f t="shared" si="127"/>
        <v/>
      </c>
      <c r="D604" s="57" t="str">
        <f t="shared" si="128"/>
        <v/>
      </c>
      <c r="F604" s="57" t="str">
        <f t="shared" si="120"/>
        <v/>
      </c>
      <c r="G604" s="102" t="str">
        <f t="shared" si="126"/>
        <v/>
      </c>
      <c r="H604" s="57">
        <f t="shared" si="121"/>
        <v>0</v>
      </c>
      <c r="I604" s="102">
        <f>VLOOKUP(P604&amp;"_"&amp;Q604,活动关卡!$A$60:$Z$83,3+5*MonsterWaveCallRuleCfg!R604,FALSE)</f>
        <v>23</v>
      </c>
      <c r="J604" s="102">
        <f>VLOOKUP(P604&amp;"_"&amp;Q604,活动关卡!$A$60:$Z$83,4+5*MonsterWaveCallRuleCfg!R604,FALSE)</f>
        <v>1</v>
      </c>
      <c r="K604" s="102">
        <f t="shared" si="122"/>
        <v>1</v>
      </c>
      <c r="L604" s="102" t="str">
        <f>IF(VLOOKUP(P604&amp;"_"&amp;Q604,活动关卡!$A$60:$Z$83,2+5*R604,FALSE)="","","Monster_Season2_Challenge"&amp;P604&amp;"_"&amp;Q604&amp;"_"&amp;R604)</f>
        <v>Monster_Season2_Challenge5_6_4</v>
      </c>
      <c r="M604" s="57">
        <f t="shared" si="123"/>
        <v>1</v>
      </c>
      <c r="O604" s="102">
        <f>VLOOKUP(P604&amp;"_"&amp;Q604,活动关卡!$A$4:$Z$27,6+5*MonsterWaveCallRuleCfg!R604,FALSE)</f>
        <v>11</v>
      </c>
      <c r="P604" s="110">
        <v>5</v>
      </c>
      <c r="Q604" s="110">
        <f t="shared" si="125"/>
        <v>6</v>
      </c>
      <c r="R604" s="110">
        <v>4</v>
      </c>
    </row>
    <row r="605" spans="2:18" x14ac:dyDescent="0.2">
      <c r="B605" s="57" t="str">
        <f t="shared" si="127"/>
        <v>MonsterWaveCallRule_Season2_Challenge5</v>
      </c>
      <c r="C605" s="57">
        <v>7</v>
      </c>
      <c r="D605" s="57" t="str">
        <f t="shared" si="128"/>
        <v>赛季2关卡5第7波</v>
      </c>
      <c r="F605" s="57">
        <f t="shared" si="120"/>
        <v>0</v>
      </c>
      <c r="G605" s="102">
        <f t="shared" si="126"/>
        <v>180</v>
      </c>
      <c r="H605" s="57">
        <f t="shared" si="121"/>
        <v>0</v>
      </c>
      <c r="I605" s="102">
        <f>VLOOKUP(P605&amp;"_"&amp;Q605,活动关卡!$A$60:$Z$83,3+5*MonsterWaveCallRuleCfg!R605,FALSE)</f>
        <v>25</v>
      </c>
      <c r="J605" s="102">
        <f>VLOOKUP(P605&amp;"_"&amp;Q605,活动关卡!$A$60:$Z$83,4+5*MonsterWaveCallRuleCfg!R605,FALSE)</f>
        <v>1</v>
      </c>
      <c r="K605" s="102">
        <f t="shared" si="122"/>
        <v>1</v>
      </c>
      <c r="L605" s="102" t="str">
        <f>IF(VLOOKUP(P605&amp;"_"&amp;Q605,活动关卡!$A$60:$Z$83,2+5*R605,FALSE)="","","Monster_Season2_Challenge"&amp;P605&amp;"_"&amp;Q605&amp;"_"&amp;R605)</f>
        <v>Monster_Season2_Challenge5_7_1</v>
      </c>
      <c r="M605" s="57">
        <f t="shared" si="123"/>
        <v>1</v>
      </c>
      <c r="O605" s="102">
        <f>VLOOKUP(P605&amp;"_"&amp;Q605,活动关卡!$A$4:$Z$27,6+5*MonsterWaveCallRuleCfg!R605,FALSE)</f>
        <v>6</v>
      </c>
      <c r="P605" s="110">
        <v>5</v>
      </c>
      <c r="Q605" s="110">
        <f t="shared" si="125"/>
        <v>7</v>
      </c>
      <c r="R605" s="110">
        <v>1</v>
      </c>
    </row>
    <row r="606" spans="2:18" x14ac:dyDescent="0.2">
      <c r="B606" s="57" t="str">
        <f t="shared" si="127"/>
        <v/>
      </c>
      <c r="D606" s="57" t="str">
        <f t="shared" si="128"/>
        <v/>
      </c>
      <c r="F606" s="57" t="str">
        <f t="shared" si="120"/>
        <v/>
      </c>
      <c r="G606" s="102" t="str">
        <f t="shared" si="126"/>
        <v/>
      </c>
      <c r="H606" s="57">
        <f t="shared" si="121"/>
        <v>0</v>
      </c>
      <c r="I606" s="102">
        <f>VLOOKUP(P606&amp;"_"&amp;Q606,活动关卡!$A$60:$Z$83,3+5*MonsterWaveCallRuleCfg!R606,FALSE)</f>
        <v>25</v>
      </c>
      <c r="J606" s="102">
        <f>VLOOKUP(P606&amp;"_"&amp;Q606,活动关卡!$A$60:$Z$83,4+5*MonsterWaveCallRuleCfg!R606,FALSE)</f>
        <v>1</v>
      </c>
      <c r="K606" s="102">
        <f t="shared" si="122"/>
        <v>1</v>
      </c>
      <c r="L606" s="102" t="str">
        <f>IF(VLOOKUP(P606&amp;"_"&amp;Q606,活动关卡!$A$60:$Z$83,2+5*R606,FALSE)="","","Monster_Season2_Challenge"&amp;P606&amp;"_"&amp;Q606&amp;"_"&amp;R606)</f>
        <v>Monster_Season2_Challenge5_7_2</v>
      </c>
      <c r="M606" s="57">
        <f t="shared" si="123"/>
        <v>1</v>
      </c>
      <c r="O606" s="102">
        <f>VLOOKUP(P606&amp;"_"&amp;Q606,活动关卡!$A$4:$Z$27,6+5*MonsterWaveCallRuleCfg!R606,FALSE)</f>
        <v>3</v>
      </c>
      <c r="P606" s="110">
        <v>5</v>
      </c>
      <c r="Q606" s="110">
        <f t="shared" si="125"/>
        <v>7</v>
      </c>
      <c r="R606" s="110">
        <v>2</v>
      </c>
    </row>
    <row r="607" spans="2:18" x14ac:dyDescent="0.2">
      <c r="B607" s="57" t="str">
        <f t="shared" si="127"/>
        <v/>
      </c>
      <c r="D607" s="57" t="str">
        <f t="shared" si="128"/>
        <v/>
      </c>
      <c r="F607" s="57" t="str">
        <f t="shared" si="120"/>
        <v/>
      </c>
      <c r="G607" s="102" t="str">
        <f t="shared" si="126"/>
        <v/>
      </c>
      <c r="H607" s="57">
        <f t="shared" si="121"/>
        <v>0</v>
      </c>
      <c r="I607" s="102">
        <f>VLOOKUP(P607&amp;"_"&amp;Q607,活动关卡!$A$60:$Z$83,3+5*MonsterWaveCallRuleCfg!R607,FALSE)</f>
        <v>125</v>
      </c>
      <c r="J607" s="102">
        <f>VLOOKUP(P607&amp;"_"&amp;Q607,活动关卡!$A$60:$Z$83,4+5*MonsterWaveCallRuleCfg!R607,FALSE)</f>
        <v>0.2</v>
      </c>
      <c r="K607" s="102">
        <f t="shared" si="122"/>
        <v>1</v>
      </c>
      <c r="L607" s="102" t="str">
        <f>IF(VLOOKUP(P607&amp;"_"&amp;Q607,活动关卡!$A$60:$Z$83,2+5*R607,FALSE)="","","Monster_Season2_Challenge"&amp;P607&amp;"_"&amp;Q607&amp;"_"&amp;R607)</f>
        <v>Monster_Season2_Challenge5_7_3</v>
      </c>
      <c r="M607" s="57">
        <f t="shared" si="123"/>
        <v>1</v>
      </c>
      <c r="O607" s="102">
        <f>VLOOKUP(P607&amp;"_"&amp;Q607,活动关卡!$A$4:$Z$27,6+5*MonsterWaveCallRuleCfg!R607,FALSE)</f>
        <v>2</v>
      </c>
      <c r="P607" s="110">
        <v>5</v>
      </c>
      <c r="Q607" s="110">
        <f t="shared" si="125"/>
        <v>7</v>
      </c>
      <c r="R607" s="110">
        <v>3</v>
      </c>
    </row>
    <row r="608" spans="2:18" x14ac:dyDescent="0.2">
      <c r="B608" s="57" t="str">
        <f t="shared" si="127"/>
        <v/>
      </c>
      <c r="D608" s="57" t="str">
        <f t="shared" si="128"/>
        <v/>
      </c>
      <c r="F608" s="57" t="str">
        <f t="shared" si="120"/>
        <v/>
      </c>
      <c r="G608" s="102" t="str">
        <f t="shared" si="126"/>
        <v/>
      </c>
      <c r="H608" s="57">
        <f t="shared" si="121"/>
        <v>0</v>
      </c>
      <c r="I608" s="102">
        <f>VLOOKUP(P608&amp;"_"&amp;Q608,活动关卡!$A$60:$Z$83,3+5*MonsterWaveCallRuleCfg!R608,FALSE)</f>
        <v>25</v>
      </c>
      <c r="J608" s="102">
        <f>VLOOKUP(P608&amp;"_"&amp;Q608,活动关卡!$A$60:$Z$83,4+5*MonsterWaveCallRuleCfg!R608,FALSE)</f>
        <v>1</v>
      </c>
      <c r="K608" s="102">
        <f t="shared" si="122"/>
        <v>1</v>
      </c>
      <c r="L608" s="102" t="str">
        <f>IF(VLOOKUP(P608&amp;"_"&amp;Q608,活动关卡!$A$60:$Z$83,2+5*R608,FALSE)="","","Monster_Season2_Challenge"&amp;P608&amp;"_"&amp;Q608&amp;"_"&amp;R608)</f>
        <v>Monster_Season2_Challenge5_7_4</v>
      </c>
      <c r="M608" s="57">
        <f t="shared" si="123"/>
        <v>1</v>
      </c>
      <c r="O608" s="102">
        <f>VLOOKUP(P608&amp;"_"&amp;Q608,活动关卡!$A$4:$Z$27,6+5*MonsterWaveCallRuleCfg!R608,FALSE)</f>
        <v>6</v>
      </c>
      <c r="P608" s="110">
        <v>5</v>
      </c>
      <c r="Q608" s="110">
        <f t="shared" si="125"/>
        <v>7</v>
      </c>
      <c r="R608" s="110">
        <v>4</v>
      </c>
    </row>
    <row r="609" spans="2:18" x14ac:dyDescent="0.2">
      <c r="B609" s="57" t="str">
        <f t="shared" si="127"/>
        <v>MonsterWaveCallRule_Season2_Challenge5</v>
      </c>
      <c r="C609" s="57">
        <v>8</v>
      </c>
      <c r="D609" s="57" t="str">
        <f t="shared" si="128"/>
        <v>赛季2关卡5第8波</v>
      </c>
      <c r="F609" s="57">
        <f t="shared" si="120"/>
        <v>0</v>
      </c>
      <c r="G609" s="102">
        <f t="shared" si="126"/>
        <v>180</v>
      </c>
      <c r="H609" s="57">
        <f t="shared" si="121"/>
        <v>0</v>
      </c>
      <c r="I609" s="102">
        <f>VLOOKUP(P609&amp;"_"&amp;Q609,活动关卡!$A$60:$Z$83,3+5*MonsterWaveCallRuleCfg!R609,FALSE)</f>
        <v>1</v>
      </c>
      <c r="J609" s="102">
        <f>VLOOKUP(P609&amp;"_"&amp;Q609,活动关卡!$A$60:$Z$83,4+5*MonsterWaveCallRuleCfg!R609,FALSE)</f>
        <v>0</v>
      </c>
      <c r="K609" s="102">
        <f t="shared" si="122"/>
        <v>1</v>
      </c>
      <c r="L609" s="102" t="str">
        <f>IF(VLOOKUP(P609&amp;"_"&amp;Q609,活动关卡!$A$60:$Z$83,2+5*R609,FALSE)="","","Monster_Season2_Challenge"&amp;P609&amp;"_"&amp;Q609&amp;"_"&amp;R609)</f>
        <v>Monster_Season2_Challenge5_8_1</v>
      </c>
      <c r="M609" s="57">
        <f t="shared" si="123"/>
        <v>1</v>
      </c>
      <c r="O609" s="102">
        <f>VLOOKUP(P609&amp;"_"&amp;Q609,活动关卡!$A$4:$Z$27,6+5*MonsterWaveCallRuleCfg!R609,FALSE)</f>
        <v>192</v>
      </c>
      <c r="P609" s="110">
        <v>5</v>
      </c>
      <c r="Q609" s="110">
        <f t="shared" si="125"/>
        <v>8</v>
      </c>
      <c r="R609" s="110">
        <v>1</v>
      </c>
    </row>
    <row r="610" spans="2:18" x14ac:dyDescent="0.2">
      <c r="G610" s="102" t="str">
        <f t="shared" si="126"/>
        <v/>
      </c>
      <c r="H610" s="57">
        <f t="shared" si="121"/>
        <v>0</v>
      </c>
      <c r="I610" s="102">
        <f>VLOOKUP(P610&amp;"_"&amp;Q610,活动关卡!$A$60:$Z$83,3+5*MonsterWaveCallRuleCfg!R610,FALSE)</f>
        <v>55</v>
      </c>
      <c r="J610" s="102">
        <f>VLOOKUP(P610&amp;"_"&amp;Q610,活动关卡!$A$60:$Z$83,4+5*MonsterWaveCallRuleCfg!R610,FALSE)</f>
        <v>0.5</v>
      </c>
      <c r="K610" s="102">
        <f t="shared" si="122"/>
        <v>1</v>
      </c>
      <c r="L610" s="102" t="str">
        <f>IF(VLOOKUP(P610&amp;"_"&amp;Q610,活动关卡!$A$60:$Z$83,2+5*R610,FALSE)="","","Monster_Season2_Challenge"&amp;P610&amp;"_"&amp;Q610&amp;"_"&amp;R610)</f>
        <v>Monster_Season2_Challenge5_8_2</v>
      </c>
      <c r="M610" s="57">
        <f t="shared" si="123"/>
        <v>1</v>
      </c>
      <c r="O610" s="102">
        <f>VLOOKUP(P610&amp;"_"&amp;Q610,活动关卡!$A$4:$Z$27,6+5*MonsterWaveCallRuleCfg!R610,FALSE)</f>
        <v>5</v>
      </c>
      <c r="P610" s="110">
        <v>5</v>
      </c>
      <c r="Q610" s="110">
        <f t="shared" si="125"/>
        <v>8</v>
      </c>
      <c r="R610" s="110">
        <v>2</v>
      </c>
    </row>
    <row r="611" spans="2:18" x14ac:dyDescent="0.2">
      <c r="G611" s="102" t="str">
        <f t="shared" si="126"/>
        <v/>
      </c>
      <c r="H611" s="57">
        <f t="shared" si="121"/>
        <v>0</v>
      </c>
      <c r="I611" s="102">
        <f>VLOOKUP(P611&amp;"_"&amp;Q611,活动关卡!$A$60:$Z$83,3+5*MonsterWaveCallRuleCfg!R611,FALSE)</f>
        <v>14</v>
      </c>
      <c r="J611" s="102">
        <f>VLOOKUP(P611&amp;"_"&amp;Q611,活动关卡!$A$60:$Z$83,4+5*MonsterWaveCallRuleCfg!R611,FALSE)</f>
        <v>2</v>
      </c>
      <c r="K611" s="102">
        <f t="shared" si="122"/>
        <v>1</v>
      </c>
      <c r="L611" s="102" t="str">
        <f>IF(VLOOKUP(P611&amp;"_"&amp;Q611,活动关卡!$A$60:$Z$83,2+5*R611,FALSE)="","","Monster_Season2_Challenge"&amp;P611&amp;"_"&amp;Q611&amp;"_"&amp;R611)</f>
        <v>Monster_Season2_Challenge5_8_3</v>
      </c>
      <c r="M611" s="57">
        <f t="shared" si="123"/>
        <v>1</v>
      </c>
      <c r="O611" s="102">
        <f>VLOOKUP(P611&amp;"_"&amp;Q611,活动关卡!$A$4:$Z$27,6+5*MonsterWaveCallRuleCfg!R611,FALSE)</f>
        <v>10</v>
      </c>
      <c r="P611" s="110">
        <v>5</v>
      </c>
      <c r="Q611" s="110">
        <f t="shared" si="125"/>
        <v>8</v>
      </c>
      <c r="R611" s="110">
        <v>3</v>
      </c>
    </row>
    <row r="612" spans="2:18" x14ac:dyDescent="0.2">
      <c r="G612" s="102" t="str">
        <f t="shared" si="126"/>
        <v/>
      </c>
      <c r="H612" s="57">
        <f t="shared" si="121"/>
        <v>0</v>
      </c>
      <c r="I612" s="102">
        <f>VLOOKUP(P612&amp;"_"&amp;Q612,活动关卡!$A$60:$Z$83,3+5*MonsterWaveCallRuleCfg!R612,FALSE)</f>
        <v>1</v>
      </c>
      <c r="J612" s="102">
        <f>VLOOKUP(P612&amp;"_"&amp;Q612,活动关卡!$A$60:$Z$83,4+5*MonsterWaveCallRuleCfg!R612,FALSE)</f>
        <v>0</v>
      </c>
      <c r="K612" s="102">
        <f t="shared" si="122"/>
        <v>1</v>
      </c>
      <c r="L612" s="102" t="str">
        <f>IF(VLOOKUP(P612&amp;"_"&amp;Q612,活动关卡!$A$60:$Z$83,2+5*R612,FALSE)="","","Monster_Season2_Challenge"&amp;P612&amp;"_"&amp;Q612&amp;"_"&amp;R612)</f>
        <v>Monster_Season2_Challenge5_8_4</v>
      </c>
      <c r="M612" s="57">
        <f t="shared" si="123"/>
        <v>1</v>
      </c>
      <c r="O612" s="102">
        <f>VLOOKUP(P612&amp;"_"&amp;Q612,活动关卡!$A$4:$Z$27,6+5*MonsterWaveCallRuleCfg!R612,FALSE)</f>
        <v>10</v>
      </c>
      <c r="P612" s="110">
        <v>5</v>
      </c>
      <c r="Q612" s="110">
        <f t="shared" si="125"/>
        <v>8</v>
      </c>
      <c r="R612" s="110">
        <v>4</v>
      </c>
    </row>
    <row r="613" spans="2:18" s="166" customFormat="1" x14ac:dyDescent="0.2"/>
    <row r="614" spans="2:18" x14ac:dyDescent="0.2">
      <c r="B614" s="57" t="str">
        <f t="shared" ref="B614:B645" si="129">IF(C614="","","MonsterWaveCallRule_Season3_Challenge"&amp;P614)</f>
        <v>MonsterWaveCallRule_Season3_Challenge1</v>
      </c>
      <c r="C614" s="57">
        <v>1</v>
      </c>
      <c r="D614" s="57" t="str">
        <f t="shared" ref="D614:D645" si="130">IF(C614="","","赛季3关卡"&amp;P614&amp;"第"&amp;C614&amp;"波")</f>
        <v>赛季3关卡1第1波</v>
      </c>
      <c r="F614" s="57">
        <f t="shared" ref="F614:F677" si="131">IF(C614="","",0)</f>
        <v>0</v>
      </c>
      <c r="G614" s="102">
        <f>IF(C614="","",180)</f>
        <v>180</v>
      </c>
      <c r="H614" s="57">
        <f t="shared" ref="H614:H677" si="132">IF(I614="","",0)</f>
        <v>0</v>
      </c>
      <c r="I614" s="102">
        <f>VLOOKUP(P614&amp;"_"&amp;Q614,活动关卡!$A$60:$Z$83,3+5*MonsterWaveCallRuleCfg!R614,FALSE)</f>
        <v>5</v>
      </c>
      <c r="J614" s="102">
        <f>VLOOKUP(P614&amp;"_"&amp;Q614,活动关卡!$A$60:$Z$83,4+5*MonsterWaveCallRuleCfg!R614,FALSE)</f>
        <v>2</v>
      </c>
      <c r="K614" s="102">
        <f t="shared" ref="K614:K677" si="133">IF(I614="","",1)</f>
        <v>1</v>
      </c>
      <c r="L614" s="102" t="str">
        <f>IF(VLOOKUP(P614&amp;"_"&amp;Q614,活动关卡!$A$60:$Z$83,2+5*R614,FALSE)="","","Monster_Season3_Challenge"&amp;P614&amp;"_"&amp;Q614&amp;"_"&amp;R614)</f>
        <v>Monster_Season3_Challenge1_1_1</v>
      </c>
      <c r="M614" s="57">
        <f t="shared" ref="M614:M677" si="134">IF(I614="","",1)</f>
        <v>1</v>
      </c>
      <c r="O614" s="102">
        <f>VLOOKUP(P614&amp;"_"&amp;Q614,活动关卡!$A$4:$Z$27,6+5*MonsterWaveCallRuleCfg!R614,FALSE)</f>
        <v>35</v>
      </c>
      <c r="P614" s="110">
        <v>1</v>
      </c>
      <c r="Q614" s="110">
        <f>C614</f>
        <v>1</v>
      </c>
      <c r="R614" s="110">
        <v>1</v>
      </c>
    </row>
    <row r="615" spans="2:18" x14ac:dyDescent="0.2">
      <c r="B615" s="57" t="str">
        <f t="shared" si="129"/>
        <v/>
      </c>
      <c r="D615" s="57" t="str">
        <f t="shared" si="130"/>
        <v/>
      </c>
      <c r="F615" s="57" t="str">
        <f t="shared" si="131"/>
        <v/>
      </c>
      <c r="G615" s="102" t="str">
        <f t="shared" ref="G615:G678" si="135">IF(C615="","",180)</f>
        <v/>
      </c>
      <c r="H615" s="57">
        <f t="shared" si="132"/>
        <v>0</v>
      </c>
      <c r="I615" s="102">
        <f>VLOOKUP(P615&amp;"_"&amp;Q615,活动关卡!$A$60:$Z$83,3+5*MonsterWaveCallRuleCfg!R615,FALSE)</f>
        <v>3</v>
      </c>
      <c r="J615" s="102">
        <f>VLOOKUP(P615&amp;"_"&amp;Q615,活动关卡!$A$60:$Z$83,4+5*MonsterWaveCallRuleCfg!R615,FALSE)</f>
        <v>3</v>
      </c>
      <c r="K615" s="102">
        <f t="shared" si="133"/>
        <v>1</v>
      </c>
      <c r="L615" s="102" t="str">
        <f>IF(VLOOKUP(P615&amp;"_"&amp;Q615,活动关卡!$A$60:$Z$83,2+5*R615,FALSE)="","","Monster_Season3_Challenge"&amp;P615&amp;"_"&amp;Q615&amp;"_"&amp;R615)</f>
        <v>Monster_Season3_Challenge1_1_2</v>
      </c>
      <c r="M615" s="57">
        <f t="shared" si="134"/>
        <v>1</v>
      </c>
      <c r="O615" s="102">
        <f>VLOOKUP(P615&amp;"_"&amp;Q615,活动关卡!$A$4:$Z$27,6+5*MonsterWaveCallRuleCfg!R615,FALSE)</f>
        <v>141</v>
      </c>
      <c r="P615" s="110">
        <v>1</v>
      </c>
      <c r="Q615" s="110">
        <f>IF(C615="",Q614,C615)</f>
        <v>1</v>
      </c>
      <c r="R615" s="110">
        <v>2</v>
      </c>
    </row>
    <row r="616" spans="2:18" x14ac:dyDescent="0.2">
      <c r="B616" s="57" t="str">
        <f t="shared" si="129"/>
        <v/>
      </c>
      <c r="D616" s="57" t="str">
        <f t="shared" si="130"/>
        <v/>
      </c>
      <c r="F616" s="57" t="str">
        <f t="shared" si="131"/>
        <v/>
      </c>
      <c r="G616" s="102" t="str">
        <f t="shared" si="135"/>
        <v/>
      </c>
      <c r="H616" s="57" t="str">
        <f t="shared" si="132"/>
        <v/>
      </c>
      <c r="I616" s="102" t="str">
        <f>VLOOKUP(P616&amp;"_"&amp;Q616,活动关卡!$A$60:$Z$83,3+5*MonsterWaveCallRuleCfg!R616,FALSE)</f>
        <v/>
      </c>
      <c r="J616" s="102" t="str">
        <f>VLOOKUP(P616&amp;"_"&amp;Q616,活动关卡!$A$60:$Z$83,4+5*MonsterWaveCallRuleCfg!R616,FALSE)</f>
        <v/>
      </c>
      <c r="K616" s="102" t="str">
        <f t="shared" si="133"/>
        <v/>
      </c>
      <c r="L616" s="102" t="str">
        <f>IF(VLOOKUP(P616&amp;"_"&amp;Q616,活动关卡!$A$60:$Z$83,2+5*R616,FALSE)="","","Monster_Season3_Challenge"&amp;P616&amp;"_"&amp;Q616&amp;"_"&amp;R616)</f>
        <v/>
      </c>
      <c r="M616" s="57" t="str">
        <f t="shared" si="134"/>
        <v/>
      </c>
      <c r="O616" s="102" t="str">
        <f>VLOOKUP(P616&amp;"_"&amp;Q616,活动关卡!$A$4:$Z$27,6+5*MonsterWaveCallRuleCfg!R616,FALSE)</f>
        <v/>
      </c>
      <c r="P616" s="110">
        <v>1</v>
      </c>
      <c r="Q616" s="110">
        <f t="shared" ref="Q616:Q679" si="136">IF(C616="",Q615,C616)</f>
        <v>1</v>
      </c>
      <c r="R616" s="110">
        <v>3</v>
      </c>
    </row>
    <row r="617" spans="2:18" x14ac:dyDescent="0.2">
      <c r="B617" s="57" t="str">
        <f t="shared" si="129"/>
        <v/>
      </c>
      <c r="D617" s="57" t="str">
        <f t="shared" si="130"/>
        <v/>
      </c>
      <c r="F617" s="57" t="str">
        <f t="shared" si="131"/>
        <v/>
      </c>
      <c r="G617" s="102" t="str">
        <f t="shared" si="135"/>
        <v/>
      </c>
      <c r="H617" s="57" t="str">
        <f t="shared" si="132"/>
        <v/>
      </c>
      <c r="I617" s="102" t="str">
        <f>VLOOKUP(P617&amp;"_"&amp;Q617,活动关卡!$A$60:$Z$83,3+5*MonsterWaveCallRuleCfg!R617,FALSE)</f>
        <v/>
      </c>
      <c r="J617" s="102" t="str">
        <f>VLOOKUP(P617&amp;"_"&amp;Q617,活动关卡!$A$60:$Z$83,4+5*MonsterWaveCallRuleCfg!R617,FALSE)</f>
        <v/>
      </c>
      <c r="K617" s="102" t="str">
        <f t="shared" si="133"/>
        <v/>
      </c>
      <c r="L617" s="102" t="str">
        <f>IF(VLOOKUP(P617&amp;"_"&amp;Q617,活动关卡!$A$60:$Z$83,2+5*R617,FALSE)="","","Monster_Season3_Challenge"&amp;P617&amp;"_"&amp;Q617&amp;"_"&amp;R617)</f>
        <v/>
      </c>
      <c r="M617" s="57" t="str">
        <f t="shared" si="134"/>
        <v/>
      </c>
      <c r="O617" s="102" t="str">
        <f>VLOOKUP(P617&amp;"_"&amp;Q617,活动关卡!$A$4:$Z$27,6+5*MonsterWaveCallRuleCfg!R617,FALSE)</f>
        <v/>
      </c>
      <c r="P617" s="110">
        <v>1</v>
      </c>
      <c r="Q617" s="110">
        <f t="shared" si="136"/>
        <v>1</v>
      </c>
      <c r="R617" s="110">
        <v>4</v>
      </c>
    </row>
    <row r="618" spans="2:18" x14ac:dyDescent="0.2">
      <c r="B618" s="57" t="str">
        <f t="shared" si="129"/>
        <v>MonsterWaveCallRule_Season3_Challenge1</v>
      </c>
      <c r="C618" s="57">
        <v>2</v>
      </c>
      <c r="D618" s="57" t="str">
        <f t="shared" si="130"/>
        <v>赛季3关卡1第2波</v>
      </c>
      <c r="F618" s="57">
        <f t="shared" si="131"/>
        <v>0</v>
      </c>
      <c r="G618" s="102">
        <f t="shared" si="135"/>
        <v>180</v>
      </c>
      <c r="H618" s="57">
        <f t="shared" si="132"/>
        <v>0</v>
      </c>
      <c r="I618" s="102">
        <f>VLOOKUP(P618&amp;"_"&amp;Q618,活动关卡!$A$60:$Z$83,3+5*MonsterWaveCallRuleCfg!R618,FALSE)</f>
        <v>25</v>
      </c>
      <c r="J618" s="102">
        <f>VLOOKUP(P618&amp;"_"&amp;Q618,活动关卡!$A$60:$Z$83,4+5*MonsterWaveCallRuleCfg!R618,FALSE)</f>
        <v>0.5</v>
      </c>
      <c r="K618" s="102">
        <f t="shared" si="133"/>
        <v>1</v>
      </c>
      <c r="L618" s="102" t="str">
        <f>IF(VLOOKUP(P618&amp;"_"&amp;Q618,活动关卡!$A$60:$Z$83,2+5*R618,FALSE)="","","Monster_Season3_Challenge"&amp;P618&amp;"_"&amp;Q618&amp;"_"&amp;R618)</f>
        <v>Monster_Season3_Challenge1_2_1</v>
      </c>
      <c r="M618" s="57">
        <f t="shared" si="134"/>
        <v>1</v>
      </c>
      <c r="O618" s="102">
        <f>VLOOKUP(P618&amp;"_"&amp;Q618,活动关卡!$A$4:$Z$27,6+5*MonsterWaveCallRuleCfg!R618,FALSE)</f>
        <v>15</v>
      </c>
      <c r="P618" s="110">
        <v>1</v>
      </c>
      <c r="Q618" s="110">
        <f t="shared" si="136"/>
        <v>2</v>
      </c>
      <c r="R618" s="110">
        <v>1</v>
      </c>
    </row>
    <row r="619" spans="2:18" x14ac:dyDescent="0.2">
      <c r="B619" s="57" t="str">
        <f t="shared" si="129"/>
        <v/>
      </c>
      <c r="D619" s="57" t="str">
        <f t="shared" si="130"/>
        <v/>
      </c>
      <c r="F619" s="57" t="str">
        <f t="shared" si="131"/>
        <v/>
      </c>
      <c r="G619" s="102" t="str">
        <f t="shared" si="135"/>
        <v/>
      </c>
      <c r="H619" s="57">
        <f t="shared" si="132"/>
        <v>0</v>
      </c>
      <c r="I619" s="102">
        <f>VLOOKUP(P619&amp;"_"&amp;Q619,活动关卡!$A$60:$Z$83,3+5*MonsterWaveCallRuleCfg!R619,FALSE)</f>
        <v>4</v>
      </c>
      <c r="J619" s="102">
        <f>VLOOKUP(P619&amp;"_"&amp;Q619,活动关卡!$A$60:$Z$83,4+5*MonsterWaveCallRuleCfg!R619,FALSE)</f>
        <v>3</v>
      </c>
      <c r="K619" s="102">
        <f t="shared" si="133"/>
        <v>1</v>
      </c>
      <c r="L619" s="102" t="str">
        <f>IF(VLOOKUP(P619&amp;"_"&amp;Q619,活动关卡!$A$60:$Z$83,2+5*R619,FALSE)="","","Monster_Season3_Challenge"&amp;P619&amp;"_"&amp;Q619&amp;"_"&amp;R619)</f>
        <v>Monster_Season3_Challenge1_2_2</v>
      </c>
      <c r="M619" s="57">
        <f t="shared" si="134"/>
        <v>1</v>
      </c>
      <c r="O619" s="102">
        <f>VLOOKUP(P619&amp;"_"&amp;Q619,活动关卡!$A$4:$Z$27,6+5*MonsterWaveCallRuleCfg!R619,FALSE)</f>
        <v>59</v>
      </c>
      <c r="P619" s="110">
        <v>1</v>
      </c>
      <c r="Q619" s="110">
        <f t="shared" si="136"/>
        <v>2</v>
      </c>
      <c r="R619" s="110">
        <v>2</v>
      </c>
    </row>
    <row r="620" spans="2:18" x14ac:dyDescent="0.2">
      <c r="B620" s="57" t="str">
        <f t="shared" si="129"/>
        <v/>
      </c>
      <c r="D620" s="57" t="str">
        <f t="shared" si="130"/>
        <v/>
      </c>
      <c r="F620" s="57" t="str">
        <f t="shared" si="131"/>
        <v/>
      </c>
      <c r="G620" s="102" t="str">
        <f t="shared" si="135"/>
        <v/>
      </c>
      <c r="H620" s="57" t="str">
        <f t="shared" si="132"/>
        <v/>
      </c>
      <c r="I620" s="102" t="str">
        <f>VLOOKUP(P620&amp;"_"&amp;Q620,活动关卡!$A$60:$Z$83,3+5*MonsterWaveCallRuleCfg!R620,FALSE)</f>
        <v/>
      </c>
      <c r="J620" s="102" t="str">
        <f>VLOOKUP(P620&amp;"_"&amp;Q620,活动关卡!$A$60:$Z$83,4+5*MonsterWaveCallRuleCfg!R620,FALSE)</f>
        <v/>
      </c>
      <c r="K620" s="102" t="str">
        <f t="shared" si="133"/>
        <v/>
      </c>
      <c r="L620" s="102" t="str">
        <f>IF(VLOOKUP(P620&amp;"_"&amp;Q620,活动关卡!$A$60:$Z$83,2+5*R620,FALSE)="","","Monster_Season3_Challenge"&amp;P620&amp;"_"&amp;Q620&amp;"_"&amp;R620)</f>
        <v/>
      </c>
      <c r="M620" s="57" t="str">
        <f t="shared" si="134"/>
        <v/>
      </c>
      <c r="O620" s="102" t="str">
        <f>VLOOKUP(P620&amp;"_"&amp;Q620,活动关卡!$A$4:$Z$27,6+5*MonsterWaveCallRuleCfg!R620,FALSE)</f>
        <v/>
      </c>
      <c r="P620" s="110">
        <v>1</v>
      </c>
      <c r="Q620" s="110">
        <f t="shared" si="136"/>
        <v>2</v>
      </c>
      <c r="R620" s="110">
        <v>3</v>
      </c>
    </row>
    <row r="621" spans="2:18" x14ac:dyDescent="0.2">
      <c r="B621" s="57" t="str">
        <f t="shared" si="129"/>
        <v/>
      </c>
      <c r="D621" s="57" t="str">
        <f t="shared" si="130"/>
        <v/>
      </c>
      <c r="F621" s="57" t="str">
        <f t="shared" si="131"/>
        <v/>
      </c>
      <c r="G621" s="102" t="str">
        <f t="shared" si="135"/>
        <v/>
      </c>
      <c r="H621" s="57" t="str">
        <f t="shared" si="132"/>
        <v/>
      </c>
      <c r="I621" s="102" t="str">
        <f>VLOOKUP(P621&amp;"_"&amp;Q621,活动关卡!$A$60:$Z$83,3+5*MonsterWaveCallRuleCfg!R621,FALSE)</f>
        <v/>
      </c>
      <c r="J621" s="102" t="str">
        <f>VLOOKUP(P621&amp;"_"&amp;Q621,活动关卡!$A$60:$Z$83,4+5*MonsterWaveCallRuleCfg!R621,FALSE)</f>
        <v/>
      </c>
      <c r="K621" s="102" t="str">
        <f t="shared" si="133"/>
        <v/>
      </c>
      <c r="L621" s="102" t="str">
        <f>IF(VLOOKUP(P621&amp;"_"&amp;Q621,活动关卡!$A$60:$Z$83,2+5*R621,FALSE)="","","Monster_Season3_Challenge"&amp;P621&amp;"_"&amp;Q621&amp;"_"&amp;R621)</f>
        <v/>
      </c>
      <c r="M621" s="57" t="str">
        <f t="shared" si="134"/>
        <v/>
      </c>
      <c r="O621" s="102" t="str">
        <f>VLOOKUP(P621&amp;"_"&amp;Q621,活动关卡!$A$4:$Z$27,6+5*MonsterWaveCallRuleCfg!R621,FALSE)</f>
        <v/>
      </c>
      <c r="P621" s="110">
        <v>1</v>
      </c>
      <c r="Q621" s="110">
        <f t="shared" si="136"/>
        <v>2</v>
      </c>
      <c r="R621" s="110">
        <v>4</v>
      </c>
    </row>
    <row r="622" spans="2:18" x14ac:dyDescent="0.2">
      <c r="B622" s="57" t="str">
        <f t="shared" si="129"/>
        <v>MonsterWaveCallRule_Season3_Challenge1</v>
      </c>
      <c r="C622" s="57">
        <v>3</v>
      </c>
      <c r="D622" s="57" t="str">
        <f t="shared" si="130"/>
        <v>赛季3关卡1第3波</v>
      </c>
      <c r="F622" s="57">
        <f t="shared" si="131"/>
        <v>0</v>
      </c>
      <c r="G622" s="102">
        <f t="shared" si="135"/>
        <v>180</v>
      </c>
      <c r="H622" s="57">
        <f t="shared" si="132"/>
        <v>0</v>
      </c>
      <c r="I622" s="102">
        <f>VLOOKUP(P622&amp;"_"&amp;Q622,活动关卡!$A$60:$Z$83,3+5*MonsterWaveCallRuleCfg!R622,FALSE)</f>
        <v>30</v>
      </c>
      <c r="J622" s="102">
        <f>VLOOKUP(P622&amp;"_"&amp;Q622,活动关卡!$A$60:$Z$83,4+5*MonsterWaveCallRuleCfg!R622,FALSE)</f>
        <v>0.5</v>
      </c>
      <c r="K622" s="102">
        <f t="shared" si="133"/>
        <v>1</v>
      </c>
      <c r="L622" s="102" t="str">
        <f>IF(VLOOKUP(P622&amp;"_"&amp;Q622,活动关卡!$A$60:$Z$83,2+5*R622,FALSE)="","","Monster_Season3_Challenge"&amp;P622&amp;"_"&amp;Q622&amp;"_"&amp;R622)</f>
        <v>Monster_Season3_Challenge1_3_1</v>
      </c>
      <c r="M622" s="57">
        <f t="shared" si="134"/>
        <v>1</v>
      </c>
      <c r="O622" s="102">
        <f>VLOOKUP(P622&amp;"_"&amp;Q622,活动关卡!$A$4:$Z$27,6+5*MonsterWaveCallRuleCfg!R622,FALSE)</f>
        <v>7</v>
      </c>
      <c r="P622" s="110">
        <v>1</v>
      </c>
      <c r="Q622" s="110">
        <f t="shared" si="136"/>
        <v>3</v>
      </c>
      <c r="R622" s="110">
        <v>1</v>
      </c>
    </row>
    <row r="623" spans="2:18" x14ac:dyDescent="0.2">
      <c r="B623" s="57" t="str">
        <f t="shared" si="129"/>
        <v/>
      </c>
      <c r="D623" s="57" t="str">
        <f t="shared" si="130"/>
        <v/>
      </c>
      <c r="F623" s="57" t="str">
        <f t="shared" si="131"/>
        <v/>
      </c>
      <c r="G623" s="102" t="str">
        <f t="shared" si="135"/>
        <v/>
      </c>
      <c r="H623" s="57">
        <f t="shared" si="132"/>
        <v>0</v>
      </c>
      <c r="I623" s="102">
        <f>VLOOKUP(P623&amp;"_"&amp;Q623,活动关卡!$A$60:$Z$83,3+5*MonsterWaveCallRuleCfg!R623,FALSE)</f>
        <v>5</v>
      </c>
      <c r="J623" s="102">
        <f>VLOOKUP(P623&amp;"_"&amp;Q623,活动关卡!$A$60:$Z$83,4+5*MonsterWaveCallRuleCfg!R623,FALSE)</f>
        <v>3</v>
      </c>
      <c r="K623" s="102">
        <f t="shared" si="133"/>
        <v>1</v>
      </c>
      <c r="L623" s="102" t="str">
        <f>IF(VLOOKUP(P623&amp;"_"&amp;Q623,活动关卡!$A$60:$Z$83,2+5*R623,FALSE)="","","Monster_Season3_Challenge"&amp;P623&amp;"_"&amp;Q623&amp;"_"&amp;R623)</f>
        <v>Monster_Season3_Challenge1_3_2</v>
      </c>
      <c r="M623" s="57">
        <f t="shared" si="134"/>
        <v>1</v>
      </c>
      <c r="O623" s="102">
        <f>VLOOKUP(P623&amp;"_"&amp;Q623,活动关卡!$A$4:$Z$27,6+5*MonsterWaveCallRuleCfg!R623,FALSE)</f>
        <v>27</v>
      </c>
      <c r="P623" s="110">
        <v>1</v>
      </c>
      <c r="Q623" s="110">
        <f t="shared" si="136"/>
        <v>3</v>
      </c>
      <c r="R623" s="110">
        <v>2</v>
      </c>
    </row>
    <row r="624" spans="2:18" x14ac:dyDescent="0.2">
      <c r="B624" s="57" t="str">
        <f t="shared" si="129"/>
        <v/>
      </c>
      <c r="D624" s="57" t="str">
        <f t="shared" si="130"/>
        <v/>
      </c>
      <c r="F624" s="57" t="str">
        <f t="shared" si="131"/>
        <v/>
      </c>
      <c r="G624" s="102" t="str">
        <f t="shared" si="135"/>
        <v/>
      </c>
      <c r="H624" s="57">
        <f t="shared" si="132"/>
        <v>0</v>
      </c>
      <c r="I624" s="102">
        <f>VLOOKUP(P624&amp;"_"&amp;Q624,活动关卡!$A$60:$Z$83,3+5*MonsterWaveCallRuleCfg!R624,FALSE)</f>
        <v>10</v>
      </c>
      <c r="J624" s="102">
        <f>VLOOKUP(P624&amp;"_"&amp;Q624,活动关卡!$A$60:$Z$83,4+5*MonsterWaveCallRuleCfg!R624,FALSE)</f>
        <v>1.5</v>
      </c>
      <c r="K624" s="102">
        <f t="shared" si="133"/>
        <v>1</v>
      </c>
      <c r="L624" s="102" t="str">
        <f>IF(VLOOKUP(P624&amp;"_"&amp;Q624,活动关卡!$A$60:$Z$83,2+5*R624,FALSE)="","","Monster_Season3_Challenge"&amp;P624&amp;"_"&amp;Q624&amp;"_"&amp;R624)</f>
        <v>Monster_Season3_Challenge1_3_3</v>
      </c>
      <c r="M624" s="57">
        <f t="shared" si="134"/>
        <v>1</v>
      </c>
      <c r="O624" s="102">
        <f>VLOOKUP(P624&amp;"_"&amp;Q624,活动关卡!$A$4:$Z$27,6+5*MonsterWaveCallRuleCfg!R624,FALSE)</f>
        <v>27</v>
      </c>
      <c r="P624" s="110">
        <v>1</v>
      </c>
      <c r="Q624" s="110">
        <f t="shared" si="136"/>
        <v>3</v>
      </c>
      <c r="R624" s="110">
        <v>3</v>
      </c>
    </row>
    <row r="625" spans="2:18" x14ac:dyDescent="0.2">
      <c r="B625" s="57" t="str">
        <f t="shared" si="129"/>
        <v/>
      </c>
      <c r="D625" s="57" t="str">
        <f t="shared" si="130"/>
        <v/>
      </c>
      <c r="F625" s="57" t="str">
        <f t="shared" si="131"/>
        <v/>
      </c>
      <c r="G625" s="102" t="str">
        <f t="shared" si="135"/>
        <v/>
      </c>
      <c r="H625" s="57" t="str">
        <f t="shared" si="132"/>
        <v/>
      </c>
      <c r="I625" s="102" t="str">
        <f>VLOOKUP(P625&amp;"_"&amp;Q625,活动关卡!$A$60:$Z$83,3+5*MonsterWaveCallRuleCfg!R625,FALSE)</f>
        <v/>
      </c>
      <c r="J625" s="102" t="str">
        <f>VLOOKUP(P625&amp;"_"&amp;Q625,活动关卡!$A$60:$Z$83,4+5*MonsterWaveCallRuleCfg!R625,FALSE)</f>
        <v/>
      </c>
      <c r="K625" s="102" t="str">
        <f t="shared" si="133"/>
        <v/>
      </c>
      <c r="L625" s="102" t="str">
        <f>IF(VLOOKUP(P625&amp;"_"&amp;Q625,活动关卡!$A$60:$Z$83,2+5*R625,FALSE)="","","Monster_Season3_Challenge"&amp;P625&amp;"_"&amp;Q625&amp;"_"&amp;R625)</f>
        <v/>
      </c>
      <c r="M625" s="57" t="str">
        <f t="shared" si="134"/>
        <v/>
      </c>
      <c r="O625" s="102" t="str">
        <f>VLOOKUP(P625&amp;"_"&amp;Q625,活动关卡!$A$4:$Z$27,6+5*MonsterWaveCallRuleCfg!R625,FALSE)</f>
        <v/>
      </c>
      <c r="P625" s="110">
        <v>1</v>
      </c>
      <c r="Q625" s="110">
        <f t="shared" si="136"/>
        <v>3</v>
      </c>
      <c r="R625" s="110">
        <v>4</v>
      </c>
    </row>
    <row r="626" spans="2:18" x14ac:dyDescent="0.2">
      <c r="B626" s="57" t="str">
        <f t="shared" si="129"/>
        <v>MonsterWaveCallRule_Season3_Challenge1</v>
      </c>
      <c r="C626" s="57">
        <v>4</v>
      </c>
      <c r="D626" s="57" t="str">
        <f t="shared" si="130"/>
        <v>赛季3关卡1第4波</v>
      </c>
      <c r="F626" s="57">
        <f t="shared" si="131"/>
        <v>0</v>
      </c>
      <c r="G626" s="102">
        <f t="shared" si="135"/>
        <v>180</v>
      </c>
      <c r="H626" s="57" t="e">
        <f t="shared" si="132"/>
        <v>#N/A</v>
      </c>
      <c r="I626" s="102" t="e">
        <f>VLOOKUP(P626&amp;"_"&amp;Q626,活动关卡!$A$60:$Z$83,3+5*MonsterWaveCallRuleCfg!R626,FALSE)</f>
        <v>#N/A</v>
      </c>
      <c r="J626" s="102" t="e">
        <f>VLOOKUP(P626&amp;"_"&amp;Q626,活动关卡!$A$60:$Z$83,4+5*MonsterWaveCallRuleCfg!R626,FALSE)</f>
        <v>#N/A</v>
      </c>
      <c r="K626" s="102" t="e">
        <f t="shared" si="133"/>
        <v>#N/A</v>
      </c>
      <c r="L626" s="102" t="e">
        <f>IF(VLOOKUP(P626&amp;"_"&amp;Q626,活动关卡!$A$60:$Z$83,2+5*R626,FALSE)="","","Monster_Season3_Challenge"&amp;P626&amp;"_"&amp;Q626&amp;"_"&amp;R626)</f>
        <v>#N/A</v>
      </c>
      <c r="M626" s="57" t="e">
        <f t="shared" si="134"/>
        <v>#N/A</v>
      </c>
      <c r="O626" s="102" t="e">
        <f>VLOOKUP(P626&amp;"_"&amp;Q626,活动关卡!$A$4:$Z$27,6+5*MonsterWaveCallRuleCfg!R626,FALSE)</f>
        <v>#N/A</v>
      </c>
      <c r="P626" s="110">
        <v>1</v>
      </c>
      <c r="Q626" s="110">
        <f t="shared" si="136"/>
        <v>4</v>
      </c>
      <c r="R626" s="110">
        <v>1</v>
      </c>
    </row>
    <row r="627" spans="2:18" x14ac:dyDescent="0.2">
      <c r="B627" s="57" t="str">
        <f t="shared" si="129"/>
        <v/>
      </c>
      <c r="D627" s="57" t="str">
        <f t="shared" si="130"/>
        <v/>
      </c>
      <c r="F627" s="57" t="str">
        <f t="shared" si="131"/>
        <v/>
      </c>
      <c r="G627" s="102" t="str">
        <f t="shared" si="135"/>
        <v/>
      </c>
      <c r="H627" s="57" t="e">
        <f t="shared" si="132"/>
        <v>#N/A</v>
      </c>
      <c r="I627" s="102" t="e">
        <f>VLOOKUP(P627&amp;"_"&amp;Q627,活动关卡!$A$60:$Z$83,3+5*MonsterWaveCallRuleCfg!R627,FALSE)</f>
        <v>#N/A</v>
      </c>
      <c r="J627" s="102" t="e">
        <f>VLOOKUP(P627&amp;"_"&amp;Q627,活动关卡!$A$60:$Z$83,4+5*MonsterWaveCallRuleCfg!R627,FALSE)</f>
        <v>#N/A</v>
      </c>
      <c r="K627" s="102" t="e">
        <f t="shared" si="133"/>
        <v>#N/A</v>
      </c>
      <c r="L627" s="102" t="e">
        <f>IF(VLOOKUP(P627&amp;"_"&amp;Q627,活动关卡!$A$60:$Z$83,2+5*R627,FALSE)="","","Monster_Season3_Challenge"&amp;P627&amp;"_"&amp;Q627&amp;"_"&amp;R627)</f>
        <v>#N/A</v>
      </c>
      <c r="M627" s="57" t="e">
        <f t="shared" si="134"/>
        <v>#N/A</v>
      </c>
      <c r="O627" s="102" t="e">
        <f>VLOOKUP(P627&amp;"_"&amp;Q627,活动关卡!$A$4:$Z$27,6+5*MonsterWaveCallRuleCfg!R627,FALSE)</f>
        <v>#N/A</v>
      </c>
      <c r="P627" s="110">
        <v>1</v>
      </c>
      <c r="Q627" s="110">
        <f t="shared" si="136"/>
        <v>4</v>
      </c>
      <c r="R627" s="110">
        <v>2</v>
      </c>
    </row>
    <row r="628" spans="2:18" x14ac:dyDescent="0.2">
      <c r="B628" s="57" t="str">
        <f t="shared" si="129"/>
        <v/>
      </c>
      <c r="D628" s="57" t="str">
        <f t="shared" si="130"/>
        <v/>
      </c>
      <c r="F628" s="57" t="str">
        <f t="shared" si="131"/>
        <v/>
      </c>
      <c r="G628" s="102" t="str">
        <f t="shared" si="135"/>
        <v/>
      </c>
      <c r="H628" s="57" t="e">
        <f t="shared" si="132"/>
        <v>#N/A</v>
      </c>
      <c r="I628" s="102" t="e">
        <f>VLOOKUP(P628&amp;"_"&amp;Q628,活动关卡!$A$60:$Z$83,3+5*MonsterWaveCallRuleCfg!R628,FALSE)</f>
        <v>#N/A</v>
      </c>
      <c r="J628" s="102" t="e">
        <f>VLOOKUP(P628&amp;"_"&amp;Q628,活动关卡!$A$60:$Z$83,4+5*MonsterWaveCallRuleCfg!R628,FALSE)</f>
        <v>#N/A</v>
      </c>
      <c r="K628" s="102" t="e">
        <f t="shared" si="133"/>
        <v>#N/A</v>
      </c>
      <c r="L628" s="102" t="e">
        <f>IF(VLOOKUP(P628&amp;"_"&amp;Q628,活动关卡!$A$60:$Z$83,2+5*R628,FALSE)="","","Monster_Season3_Challenge"&amp;P628&amp;"_"&amp;Q628&amp;"_"&amp;R628)</f>
        <v>#N/A</v>
      </c>
      <c r="M628" s="57" t="e">
        <f t="shared" si="134"/>
        <v>#N/A</v>
      </c>
      <c r="O628" s="102" t="e">
        <f>VLOOKUP(P628&amp;"_"&amp;Q628,活动关卡!$A$4:$Z$27,6+5*MonsterWaveCallRuleCfg!R628,FALSE)</f>
        <v>#N/A</v>
      </c>
      <c r="P628" s="110">
        <v>1</v>
      </c>
      <c r="Q628" s="110">
        <f t="shared" si="136"/>
        <v>4</v>
      </c>
      <c r="R628" s="110">
        <v>3</v>
      </c>
    </row>
    <row r="629" spans="2:18" x14ac:dyDescent="0.2">
      <c r="B629" s="57" t="str">
        <f t="shared" si="129"/>
        <v/>
      </c>
      <c r="D629" s="57" t="str">
        <f t="shared" si="130"/>
        <v/>
      </c>
      <c r="F629" s="57" t="str">
        <f t="shared" si="131"/>
        <v/>
      </c>
      <c r="G629" s="102" t="str">
        <f t="shared" si="135"/>
        <v/>
      </c>
      <c r="H629" s="57" t="e">
        <f t="shared" si="132"/>
        <v>#N/A</v>
      </c>
      <c r="I629" s="102" t="e">
        <f>VLOOKUP(P629&amp;"_"&amp;Q629,活动关卡!$A$60:$Z$83,3+5*MonsterWaveCallRuleCfg!R629,FALSE)</f>
        <v>#N/A</v>
      </c>
      <c r="J629" s="102" t="e">
        <f>VLOOKUP(P629&amp;"_"&amp;Q629,活动关卡!$A$60:$Z$83,4+5*MonsterWaveCallRuleCfg!R629,FALSE)</f>
        <v>#N/A</v>
      </c>
      <c r="K629" s="102" t="e">
        <f t="shared" si="133"/>
        <v>#N/A</v>
      </c>
      <c r="L629" s="102" t="e">
        <f>IF(VLOOKUP(P629&amp;"_"&amp;Q629,活动关卡!$A$60:$Z$83,2+5*R629,FALSE)="","","Monster_Season3_Challenge"&amp;P629&amp;"_"&amp;Q629&amp;"_"&amp;R629)</f>
        <v>#N/A</v>
      </c>
      <c r="M629" s="57" t="e">
        <f t="shared" si="134"/>
        <v>#N/A</v>
      </c>
      <c r="O629" s="102" t="e">
        <f>VLOOKUP(P629&amp;"_"&amp;Q629,活动关卡!$A$4:$Z$27,6+5*MonsterWaveCallRuleCfg!R629,FALSE)</f>
        <v>#N/A</v>
      </c>
      <c r="P629" s="110">
        <v>1</v>
      </c>
      <c r="Q629" s="110">
        <f t="shared" si="136"/>
        <v>4</v>
      </c>
      <c r="R629" s="110">
        <v>4</v>
      </c>
    </row>
    <row r="630" spans="2:18" x14ac:dyDescent="0.2">
      <c r="B630" s="57" t="str">
        <f t="shared" si="129"/>
        <v>MonsterWaveCallRule_Season3_Challenge1</v>
      </c>
      <c r="C630" s="57">
        <v>5</v>
      </c>
      <c r="D630" s="57" t="str">
        <f t="shared" si="130"/>
        <v>赛季3关卡1第5波</v>
      </c>
      <c r="F630" s="57">
        <f t="shared" si="131"/>
        <v>0</v>
      </c>
      <c r="G630" s="102">
        <f t="shared" si="135"/>
        <v>180</v>
      </c>
      <c r="H630" s="57" t="e">
        <f t="shared" si="132"/>
        <v>#N/A</v>
      </c>
      <c r="I630" s="102" t="e">
        <f>VLOOKUP(P630&amp;"_"&amp;Q630,活动关卡!$A$60:$Z$83,3+5*MonsterWaveCallRuleCfg!R630,FALSE)</f>
        <v>#N/A</v>
      </c>
      <c r="J630" s="102" t="e">
        <f>VLOOKUP(P630&amp;"_"&amp;Q630,活动关卡!$A$60:$Z$83,4+5*MonsterWaveCallRuleCfg!R630,FALSE)</f>
        <v>#N/A</v>
      </c>
      <c r="K630" s="102" t="e">
        <f t="shared" si="133"/>
        <v>#N/A</v>
      </c>
      <c r="L630" s="102" t="e">
        <f>IF(VLOOKUP(P630&amp;"_"&amp;Q630,活动关卡!$A$60:$Z$83,2+5*R630,FALSE)="","","Monster_Season3_Challenge"&amp;P630&amp;"_"&amp;Q630&amp;"_"&amp;R630)</f>
        <v>#N/A</v>
      </c>
      <c r="M630" s="57" t="e">
        <f t="shared" si="134"/>
        <v>#N/A</v>
      </c>
      <c r="O630" s="102" t="e">
        <f>VLOOKUP(P630&amp;"_"&amp;Q630,活动关卡!$A$4:$Z$27,6+5*MonsterWaveCallRuleCfg!R630,FALSE)</f>
        <v>#N/A</v>
      </c>
      <c r="P630" s="110">
        <v>1</v>
      </c>
      <c r="Q630" s="110">
        <f t="shared" si="136"/>
        <v>5</v>
      </c>
      <c r="R630" s="110">
        <v>1</v>
      </c>
    </row>
    <row r="631" spans="2:18" x14ac:dyDescent="0.2">
      <c r="B631" s="57" t="str">
        <f t="shared" si="129"/>
        <v/>
      </c>
      <c r="D631" s="57" t="str">
        <f t="shared" si="130"/>
        <v/>
      </c>
      <c r="F631" s="57" t="str">
        <f t="shared" si="131"/>
        <v/>
      </c>
      <c r="G631" s="102" t="str">
        <f t="shared" si="135"/>
        <v/>
      </c>
      <c r="H631" s="57" t="e">
        <f t="shared" si="132"/>
        <v>#N/A</v>
      </c>
      <c r="I631" s="102" t="e">
        <f>VLOOKUP(P631&amp;"_"&amp;Q631,活动关卡!$A$60:$Z$83,3+5*MonsterWaveCallRuleCfg!R631,FALSE)</f>
        <v>#N/A</v>
      </c>
      <c r="J631" s="102" t="e">
        <f>VLOOKUP(P631&amp;"_"&amp;Q631,活动关卡!$A$60:$Z$83,4+5*MonsterWaveCallRuleCfg!R631,FALSE)</f>
        <v>#N/A</v>
      </c>
      <c r="K631" s="102" t="e">
        <f t="shared" si="133"/>
        <v>#N/A</v>
      </c>
      <c r="L631" s="102" t="e">
        <f>IF(VLOOKUP(P631&amp;"_"&amp;Q631,活动关卡!$A$60:$Z$83,2+5*R631,FALSE)="","","Monster_Season3_Challenge"&amp;P631&amp;"_"&amp;Q631&amp;"_"&amp;R631)</f>
        <v>#N/A</v>
      </c>
      <c r="M631" s="57" t="e">
        <f t="shared" si="134"/>
        <v>#N/A</v>
      </c>
      <c r="O631" s="102" t="e">
        <f>VLOOKUP(P631&amp;"_"&amp;Q631,活动关卡!$A$4:$Z$27,6+5*MonsterWaveCallRuleCfg!R631,FALSE)</f>
        <v>#N/A</v>
      </c>
      <c r="P631" s="110">
        <v>1</v>
      </c>
      <c r="Q631" s="110">
        <f t="shared" si="136"/>
        <v>5</v>
      </c>
      <c r="R631" s="110">
        <v>2</v>
      </c>
    </row>
    <row r="632" spans="2:18" x14ac:dyDescent="0.2">
      <c r="B632" s="57" t="str">
        <f t="shared" si="129"/>
        <v/>
      </c>
      <c r="D632" s="57" t="str">
        <f t="shared" si="130"/>
        <v/>
      </c>
      <c r="F632" s="57" t="str">
        <f t="shared" si="131"/>
        <v/>
      </c>
      <c r="G632" s="102" t="str">
        <f t="shared" si="135"/>
        <v/>
      </c>
      <c r="H632" s="57" t="e">
        <f t="shared" si="132"/>
        <v>#N/A</v>
      </c>
      <c r="I632" s="102" t="e">
        <f>VLOOKUP(P632&amp;"_"&amp;Q632,活动关卡!$A$60:$Z$83,3+5*MonsterWaveCallRuleCfg!R632,FALSE)</f>
        <v>#N/A</v>
      </c>
      <c r="J632" s="102" t="e">
        <f>VLOOKUP(P632&amp;"_"&amp;Q632,活动关卡!$A$60:$Z$83,4+5*MonsterWaveCallRuleCfg!R632,FALSE)</f>
        <v>#N/A</v>
      </c>
      <c r="K632" s="102" t="e">
        <f t="shared" si="133"/>
        <v>#N/A</v>
      </c>
      <c r="L632" s="102" t="e">
        <f>IF(VLOOKUP(P632&amp;"_"&amp;Q632,活动关卡!$A$60:$Z$83,2+5*R632,FALSE)="","","Monster_Season3_Challenge"&amp;P632&amp;"_"&amp;Q632&amp;"_"&amp;R632)</f>
        <v>#N/A</v>
      </c>
      <c r="M632" s="57" t="e">
        <f t="shared" si="134"/>
        <v>#N/A</v>
      </c>
      <c r="O632" s="102" t="e">
        <f>VLOOKUP(P632&amp;"_"&amp;Q632,活动关卡!$A$4:$Z$27,6+5*MonsterWaveCallRuleCfg!R632,FALSE)</f>
        <v>#N/A</v>
      </c>
      <c r="P632" s="110">
        <v>1</v>
      </c>
      <c r="Q632" s="110">
        <f t="shared" si="136"/>
        <v>5</v>
      </c>
      <c r="R632" s="110">
        <v>3</v>
      </c>
    </row>
    <row r="633" spans="2:18" x14ac:dyDescent="0.2">
      <c r="B633" s="57" t="str">
        <f t="shared" si="129"/>
        <v/>
      </c>
      <c r="D633" s="57" t="str">
        <f t="shared" si="130"/>
        <v/>
      </c>
      <c r="F633" s="57" t="str">
        <f t="shared" si="131"/>
        <v/>
      </c>
      <c r="G633" s="102" t="str">
        <f t="shared" si="135"/>
        <v/>
      </c>
      <c r="H633" s="57" t="e">
        <f t="shared" si="132"/>
        <v>#N/A</v>
      </c>
      <c r="I633" s="102" t="e">
        <f>VLOOKUP(P633&amp;"_"&amp;Q633,活动关卡!$A$60:$Z$83,3+5*MonsterWaveCallRuleCfg!R633,FALSE)</f>
        <v>#N/A</v>
      </c>
      <c r="J633" s="102" t="e">
        <f>VLOOKUP(P633&amp;"_"&amp;Q633,活动关卡!$A$60:$Z$83,4+5*MonsterWaveCallRuleCfg!R633,FALSE)</f>
        <v>#N/A</v>
      </c>
      <c r="K633" s="102" t="e">
        <f t="shared" si="133"/>
        <v>#N/A</v>
      </c>
      <c r="L633" s="102" t="e">
        <f>IF(VLOOKUP(P633&amp;"_"&amp;Q633,活动关卡!$A$60:$Z$83,2+5*R633,FALSE)="","","Monster_Season3_Challenge"&amp;P633&amp;"_"&amp;Q633&amp;"_"&amp;R633)</f>
        <v>#N/A</v>
      </c>
      <c r="M633" s="57" t="e">
        <f t="shared" si="134"/>
        <v>#N/A</v>
      </c>
      <c r="O633" s="102" t="e">
        <f>VLOOKUP(P633&amp;"_"&amp;Q633,活动关卡!$A$4:$Z$27,6+5*MonsterWaveCallRuleCfg!R633,FALSE)</f>
        <v>#N/A</v>
      </c>
      <c r="P633" s="110">
        <v>1</v>
      </c>
      <c r="Q633" s="110">
        <f t="shared" si="136"/>
        <v>5</v>
      </c>
      <c r="R633" s="110">
        <v>4</v>
      </c>
    </row>
    <row r="634" spans="2:18" x14ac:dyDescent="0.2">
      <c r="B634" s="57" t="str">
        <f t="shared" si="129"/>
        <v>MonsterWaveCallRule_Season3_Challenge2</v>
      </c>
      <c r="C634" s="57">
        <v>1</v>
      </c>
      <c r="D634" s="57" t="str">
        <f t="shared" si="130"/>
        <v>赛季3关卡2第1波</v>
      </c>
      <c r="F634" s="57">
        <f t="shared" si="131"/>
        <v>0</v>
      </c>
      <c r="G634" s="102">
        <f t="shared" si="135"/>
        <v>180</v>
      </c>
      <c r="H634" s="57">
        <f t="shared" si="132"/>
        <v>0</v>
      </c>
      <c r="I634" s="102">
        <f>VLOOKUP(P634&amp;"_"&amp;Q634,活动关卡!$A$60:$Z$83,3+5*MonsterWaveCallRuleCfg!R634,FALSE)</f>
        <v>5</v>
      </c>
      <c r="J634" s="102">
        <f>VLOOKUP(P634&amp;"_"&amp;Q634,活动关卡!$A$60:$Z$83,4+5*MonsterWaveCallRuleCfg!R634,FALSE)</f>
        <v>2</v>
      </c>
      <c r="K634" s="102">
        <f t="shared" si="133"/>
        <v>1</v>
      </c>
      <c r="L634" s="102" t="str">
        <f>IF(VLOOKUP(P634&amp;"_"&amp;Q634,活动关卡!$A$60:$Z$83,2+5*R634,FALSE)="","","Monster_Season3_Challenge"&amp;P634&amp;"_"&amp;Q634&amp;"_"&amp;R634)</f>
        <v>Monster_Season3_Challenge2_1_1</v>
      </c>
      <c r="M634" s="57">
        <f t="shared" si="134"/>
        <v>1</v>
      </c>
      <c r="O634" s="102">
        <f>VLOOKUP(P634&amp;"_"&amp;Q634,活动关卡!$A$4:$Z$27,6+5*MonsterWaveCallRuleCfg!R634,FALSE)</f>
        <v>40</v>
      </c>
      <c r="P634" s="110">
        <v>2</v>
      </c>
      <c r="Q634" s="110">
        <f t="shared" si="136"/>
        <v>1</v>
      </c>
      <c r="R634" s="110">
        <v>1</v>
      </c>
    </row>
    <row r="635" spans="2:18" x14ac:dyDescent="0.2">
      <c r="B635" s="57" t="str">
        <f t="shared" si="129"/>
        <v/>
      </c>
      <c r="D635" s="57" t="str">
        <f t="shared" si="130"/>
        <v/>
      </c>
      <c r="F635" s="57" t="str">
        <f t="shared" si="131"/>
        <v/>
      </c>
      <c r="G635" s="102" t="str">
        <f t="shared" si="135"/>
        <v/>
      </c>
      <c r="H635" s="57">
        <f t="shared" si="132"/>
        <v>0</v>
      </c>
      <c r="I635" s="102">
        <f>VLOOKUP(P635&amp;"_"&amp;Q635,活动关卡!$A$60:$Z$83,3+5*MonsterWaveCallRuleCfg!R635,FALSE)</f>
        <v>5</v>
      </c>
      <c r="J635" s="102">
        <f>VLOOKUP(P635&amp;"_"&amp;Q635,活动关卡!$A$60:$Z$83,4+5*MonsterWaveCallRuleCfg!R635,FALSE)</f>
        <v>2</v>
      </c>
      <c r="K635" s="102">
        <f t="shared" si="133"/>
        <v>1</v>
      </c>
      <c r="L635" s="102" t="str">
        <f>IF(VLOOKUP(P635&amp;"_"&amp;Q635,活动关卡!$A$60:$Z$83,2+5*R635,FALSE)="","","Monster_Season3_Challenge"&amp;P635&amp;"_"&amp;Q635&amp;"_"&amp;R635)</f>
        <v>Monster_Season3_Challenge2_1_2</v>
      </c>
      <c r="M635" s="57">
        <f t="shared" si="134"/>
        <v>1</v>
      </c>
      <c r="O635" s="102">
        <f>VLOOKUP(P635&amp;"_"&amp;Q635,活动关卡!$A$4:$Z$27,6+5*MonsterWaveCallRuleCfg!R635,FALSE)</f>
        <v>80</v>
      </c>
      <c r="P635" s="110">
        <v>2</v>
      </c>
      <c r="Q635" s="110">
        <f t="shared" si="136"/>
        <v>1</v>
      </c>
      <c r="R635" s="110">
        <v>2</v>
      </c>
    </row>
    <row r="636" spans="2:18" x14ac:dyDescent="0.2">
      <c r="B636" s="57" t="str">
        <f t="shared" si="129"/>
        <v/>
      </c>
      <c r="D636" s="57" t="str">
        <f t="shared" si="130"/>
        <v/>
      </c>
      <c r="F636" s="57" t="str">
        <f t="shared" si="131"/>
        <v/>
      </c>
      <c r="G636" s="102" t="str">
        <f t="shared" si="135"/>
        <v/>
      </c>
      <c r="H636" s="57" t="str">
        <f t="shared" si="132"/>
        <v/>
      </c>
      <c r="I636" s="102" t="str">
        <f>VLOOKUP(P636&amp;"_"&amp;Q636,活动关卡!$A$60:$Z$83,3+5*MonsterWaveCallRuleCfg!R636,FALSE)</f>
        <v/>
      </c>
      <c r="J636" s="102" t="str">
        <f>VLOOKUP(P636&amp;"_"&amp;Q636,活动关卡!$A$60:$Z$83,4+5*MonsterWaveCallRuleCfg!R636,FALSE)</f>
        <v/>
      </c>
      <c r="K636" s="102" t="str">
        <f t="shared" si="133"/>
        <v/>
      </c>
      <c r="L636" s="102" t="str">
        <f>IF(VLOOKUP(P636&amp;"_"&amp;Q636,活动关卡!$A$60:$Z$83,2+5*R636,FALSE)="","","Monster_Season3_Challenge"&amp;P636&amp;"_"&amp;Q636&amp;"_"&amp;R636)</f>
        <v/>
      </c>
      <c r="M636" s="57" t="str">
        <f t="shared" si="134"/>
        <v/>
      </c>
      <c r="O636" s="102" t="str">
        <f>VLOOKUP(P636&amp;"_"&amp;Q636,活动关卡!$A$4:$Z$27,6+5*MonsterWaveCallRuleCfg!R636,FALSE)</f>
        <v/>
      </c>
      <c r="P636" s="110">
        <v>2</v>
      </c>
      <c r="Q636" s="110">
        <f t="shared" si="136"/>
        <v>1</v>
      </c>
      <c r="R636" s="110">
        <v>3</v>
      </c>
    </row>
    <row r="637" spans="2:18" x14ac:dyDescent="0.2">
      <c r="B637" s="57" t="str">
        <f t="shared" si="129"/>
        <v/>
      </c>
      <c r="D637" s="57" t="str">
        <f t="shared" si="130"/>
        <v/>
      </c>
      <c r="F637" s="57" t="str">
        <f t="shared" si="131"/>
        <v/>
      </c>
      <c r="G637" s="102" t="str">
        <f t="shared" si="135"/>
        <v/>
      </c>
      <c r="H637" s="57" t="str">
        <f t="shared" si="132"/>
        <v/>
      </c>
      <c r="I637" s="102" t="str">
        <f>VLOOKUP(P637&amp;"_"&amp;Q637,活动关卡!$A$60:$Z$83,3+5*MonsterWaveCallRuleCfg!R637,FALSE)</f>
        <v/>
      </c>
      <c r="J637" s="102" t="str">
        <f>VLOOKUP(P637&amp;"_"&amp;Q637,活动关卡!$A$60:$Z$83,4+5*MonsterWaveCallRuleCfg!R637,FALSE)</f>
        <v/>
      </c>
      <c r="K637" s="102" t="str">
        <f t="shared" si="133"/>
        <v/>
      </c>
      <c r="L637" s="102" t="str">
        <f>IF(VLOOKUP(P637&amp;"_"&amp;Q637,活动关卡!$A$60:$Z$83,2+5*R637,FALSE)="","","Monster_Season3_Challenge"&amp;P637&amp;"_"&amp;Q637&amp;"_"&amp;R637)</f>
        <v/>
      </c>
      <c r="M637" s="57" t="str">
        <f t="shared" si="134"/>
        <v/>
      </c>
      <c r="O637" s="102" t="str">
        <f>VLOOKUP(P637&amp;"_"&amp;Q637,活动关卡!$A$4:$Z$27,6+5*MonsterWaveCallRuleCfg!R637,FALSE)</f>
        <v/>
      </c>
      <c r="P637" s="110">
        <v>2</v>
      </c>
      <c r="Q637" s="110">
        <f t="shared" si="136"/>
        <v>1</v>
      </c>
      <c r="R637" s="110">
        <v>4</v>
      </c>
    </row>
    <row r="638" spans="2:18" x14ac:dyDescent="0.2">
      <c r="B638" s="57" t="str">
        <f t="shared" si="129"/>
        <v>MonsterWaveCallRule_Season3_Challenge2</v>
      </c>
      <c r="C638" s="57">
        <v>2</v>
      </c>
      <c r="D638" s="57" t="str">
        <f t="shared" si="130"/>
        <v>赛季3关卡2第2波</v>
      </c>
      <c r="F638" s="57">
        <f t="shared" si="131"/>
        <v>0</v>
      </c>
      <c r="G638" s="102">
        <f t="shared" si="135"/>
        <v>180</v>
      </c>
      <c r="H638" s="57">
        <f t="shared" si="132"/>
        <v>0</v>
      </c>
      <c r="I638" s="102">
        <f>VLOOKUP(P638&amp;"_"&amp;Q638,活动关卡!$A$60:$Z$83,3+5*MonsterWaveCallRuleCfg!R638,FALSE)</f>
        <v>6</v>
      </c>
      <c r="J638" s="102">
        <f>VLOOKUP(P638&amp;"_"&amp;Q638,活动关卡!$A$60:$Z$83,4+5*MonsterWaveCallRuleCfg!R638,FALSE)</f>
        <v>2</v>
      </c>
      <c r="K638" s="102">
        <f t="shared" si="133"/>
        <v>1</v>
      </c>
      <c r="L638" s="102" t="str">
        <f>IF(VLOOKUP(P638&amp;"_"&amp;Q638,活动关卡!$A$60:$Z$83,2+5*R638,FALSE)="","","Monster_Season3_Challenge"&amp;P638&amp;"_"&amp;Q638&amp;"_"&amp;R638)</f>
        <v>Monster_Season3_Challenge2_2_1</v>
      </c>
      <c r="M638" s="57">
        <f t="shared" si="134"/>
        <v>1</v>
      </c>
      <c r="O638" s="102">
        <f>VLOOKUP(P638&amp;"_"&amp;Q638,活动关卡!$A$4:$Z$27,6+5*MonsterWaveCallRuleCfg!R638,FALSE)</f>
        <v>20</v>
      </c>
      <c r="P638" s="110">
        <v>2</v>
      </c>
      <c r="Q638" s="110">
        <f t="shared" si="136"/>
        <v>2</v>
      </c>
      <c r="R638" s="110">
        <v>1</v>
      </c>
    </row>
    <row r="639" spans="2:18" x14ac:dyDescent="0.2">
      <c r="B639" s="57" t="str">
        <f t="shared" si="129"/>
        <v/>
      </c>
      <c r="D639" s="57" t="str">
        <f t="shared" si="130"/>
        <v/>
      </c>
      <c r="F639" s="57" t="str">
        <f t="shared" si="131"/>
        <v/>
      </c>
      <c r="G639" s="102" t="str">
        <f t="shared" si="135"/>
        <v/>
      </c>
      <c r="H639" s="57">
        <f t="shared" si="132"/>
        <v>0</v>
      </c>
      <c r="I639" s="102">
        <f>VLOOKUP(P639&amp;"_"&amp;Q639,活动关卡!$A$60:$Z$83,3+5*MonsterWaveCallRuleCfg!R639,FALSE)</f>
        <v>6</v>
      </c>
      <c r="J639" s="102">
        <f>VLOOKUP(P639&amp;"_"&amp;Q639,活动关卡!$A$60:$Z$83,4+5*MonsterWaveCallRuleCfg!R639,FALSE)</f>
        <v>2</v>
      </c>
      <c r="K639" s="102">
        <f t="shared" si="133"/>
        <v>1</v>
      </c>
      <c r="L639" s="102" t="str">
        <f>IF(VLOOKUP(P639&amp;"_"&amp;Q639,活动关卡!$A$60:$Z$83,2+5*R639,FALSE)="","","Monster_Season3_Challenge"&amp;P639&amp;"_"&amp;Q639&amp;"_"&amp;R639)</f>
        <v>Monster_Season3_Challenge2_2_2</v>
      </c>
      <c r="M639" s="57">
        <f t="shared" si="134"/>
        <v>1</v>
      </c>
      <c r="O639" s="102">
        <f>VLOOKUP(P639&amp;"_"&amp;Q639,活动关卡!$A$4:$Z$27,6+5*MonsterWaveCallRuleCfg!R639,FALSE)</f>
        <v>40</v>
      </c>
      <c r="P639" s="110">
        <v>2</v>
      </c>
      <c r="Q639" s="110">
        <f t="shared" si="136"/>
        <v>2</v>
      </c>
      <c r="R639" s="110">
        <v>2</v>
      </c>
    </row>
    <row r="640" spans="2:18" x14ac:dyDescent="0.2">
      <c r="B640" s="57" t="str">
        <f t="shared" si="129"/>
        <v/>
      </c>
      <c r="D640" s="57" t="str">
        <f t="shared" si="130"/>
        <v/>
      </c>
      <c r="F640" s="57" t="str">
        <f t="shared" si="131"/>
        <v/>
      </c>
      <c r="G640" s="102" t="str">
        <f t="shared" si="135"/>
        <v/>
      </c>
      <c r="H640" s="57">
        <f t="shared" si="132"/>
        <v>0</v>
      </c>
      <c r="I640" s="102">
        <f>VLOOKUP(P640&amp;"_"&amp;Q640,活动关卡!$A$60:$Z$83,3+5*MonsterWaveCallRuleCfg!R640,FALSE)</f>
        <v>6</v>
      </c>
      <c r="J640" s="102">
        <f>VLOOKUP(P640&amp;"_"&amp;Q640,活动关卡!$A$60:$Z$83,4+5*MonsterWaveCallRuleCfg!R640,FALSE)</f>
        <v>2</v>
      </c>
      <c r="K640" s="102">
        <f t="shared" si="133"/>
        <v>1</v>
      </c>
      <c r="L640" s="102" t="str">
        <f>IF(VLOOKUP(P640&amp;"_"&amp;Q640,活动关卡!$A$60:$Z$83,2+5*R640,FALSE)="","","Monster_Season3_Challenge"&amp;P640&amp;"_"&amp;Q640&amp;"_"&amp;R640)</f>
        <v>Monster_Season3_Challenge2_2_3</v>
      </c>
      <c r="M640" s="57">
        <f t="shared" si="134"/>
        <v>1</v>
      </c>
      <c r="O640" s="102">
        <f>VLOOKUP(P640&amp;"_"&amp;Q640,活动关卡!$A$4:$Z$27,6+5*MonsterWaveCallRuleCfg!R640,FALSE)</f>
        <v>40</v>
      </c>
      <c r="P640" s="110">
        <v>2</v>
      </c>
      <c r="Q640" s="110">
        <f t="shared" si="136"/>
        <v>2</v>
      </c>
      <c r="R640" s="110">
        <v>3</v>
      </c>
    </row>
    <row r="641" spans="2:18" x14ac:dyDescent="0.2">
      <c r="B641" s="57" t="str">
        <f t="shared" si="129"/>
        <v/>
      </c>
      <c r="D641" s="57" t="str">
        <f t="shared" si="130"/>
        <v/>
      </c>
      <c r="F641" s="57" t="str">
        <f t="shared" si="131"/>
        <v/>
      </c>
      <c r="G641" s="102" t="str">
        <f t="shared" si="135"/>
        <v/>
      </c>
      <c r="H641" s="57" t="str">
        <f t="shared" si="132"/>
        <v/>
      </c>
      <c r="I641" s="102" t="str">
        <f>VLOOKUP(P641&amp;"_"&amp;Q641,活动关卡!$A$60:$Z$83,3+5*MonsterWaveCallRuleCfg!R641,FALSE)</f>
        <v/>
      </c>
      <c r="J641" s="102" t="str">
        <f>VLOOKUP(P641&amp;"_"&amp;Q641,活动关卡!$A$60:$Z$83,4+5*MonsterWaveCallRuleCfg!R641,FALSE)</f>
        <v/>
      </c>
      <c r="K641" s="102" t="str">
        <f t="shared" si="133"/>
        <v/>
      </c>
      <c r="L641" s="102" t="str">
        <f>IF(VLOOKUP(P641&amp;"_"&amp;Q641,活动关卡!$A$60:$Z$83,2+5*R641,FALSE)="","","Monster_Season3_Challenge"&amp;P641&amp;"_"&amp;Q641&amp;"_"&amp;R641)</f>
        <v/>
      </c>
      <c r="M641" s="57" t="str">
        <f t="shared" si="134"/>
        <v/>
      </c>
      <c r="O641" s="102" t="str">
        <f>VLOOKUP(P641&amp;"_"&amp;Q641,活动关卡!$A$4:$Z$27,6+5*MonsterWaveCallRuleCfg!R641,FALSE)</f>
        <v/>
      </c>
      <c r="P641" s="110">
        <v>2</v>
      </c>
      <c r="Q641" s="110">
        <f t="shared" si="136"/>
        <v>2</v>
      </c>
      <c r="R641" s="110">
        <v>4</v>
      </c>
    </row>
    <row r="642" spans="2:18" x14ac:dyDescent="0.2">
      <c r="B642" s="57" t="str">
        <f t="shared" si="129"/>
        <v>MonsterWaveCallRule_Season3_Challenge2</v>
      </c>
      <c r="C642" s="57">
        <v>3</v>
      </c>
      <c r="D642" s="57" t="str">
        <f t="shared" si="130"/>
        <v>赛季3关卡2第3波</v>
      </c>
      <c r="F642" s="57">
        <f t="shared" si="131"/>
        <v>0</v>
      </c>
      <c r="G642" s="102">
        <f t="shared" si="135"/>
        <v>180</v>
      </c>
      <c r="H642" s="57">
        <f t="shared" si="132"/>
        <v>0</v>
      </c>
      <c r="I642" s="102">
        <f>VLOOKUP(P642&amp;"_"&amp;Q642,活动关卡!$A$60:$Z$83,3+5*MonsterWaveCallRuleCfg!R642,FALSE)</f>
        <v>15</v>
      </c>
      <c r="J642" s="102">
        <f>VLOOKUP(P642&amp;"_"&amp;Q642,活动关卡!$A$60:$Z$83,4+5*MonsterWaveCallRuleCfg!R642,FALSE)</f>
        <v>1</v>
      </c>
      <c r="K642" s="102">
        <f t="shared" si="133"/>
        <v>1</v>
      </c>
      <c r="L642" s="102" t="str">
        <f>IF(VLOOKUP(P642&amp;"_"&amp;Q642,活动关卡!$A$60:$Z$83,2+5*R642,FALSE)="","","Monster_Season3_Challenge"&amp;P642&amp;"_"&amp;Q642&amp;"_"&amp;R642)</f>
        <v>Monster_Season3_Challenge2_3_1</v>
      </c>
      <c r="M642" s="57">
        <f t="shared" si="134"/>
        <v>1</v>
      </c>
      <c r="O642" s="102">
        <f>VLOOKUP(P642&amp;"_"&amp;Q642,活动关卡!$A$4:$Z$27,6+5*MonsterWaveCallRuleCfg!R642,FALSE)</f>
        <v>11</v>
      </c>
      <c r="P642" s="110">
        <v>2</v>
      </c>
      <c r="Q642" s="110">
        <f t="shared" si="136"/>
        <v>3</v>
      </c>
      <c r="R642" s="110">
        <v>1</v>
      </c>
    </row>
    <row r="643" spans="2:18" x14ac:dyDescent="0.2">
      <c r="B643" s="57" t="str">
        <f t="shared" si="129"/>
        <v/>
      </c>
      <c r="D643" s="57" t="str">
        <f t="shared" si="130"/>
        <v/>
      </c>
      <c r="F643" s="57" t="str">
        <f t="shared" si="131"/>
        <v/>
      </c>
      <c r="G643" s="102" t="str">
        <f t="shared" si="135"/>
        <v/>
      </c>
      <c r="H643" s="57">
        <f t="shared" si="132"/>
        <v>0</v>
      </c>
      <c r="I643" s="102">
        <f>VLOOKUP(P643&amp;"_"&amp;Q643,活动关卡!$A$60:$Z$83,3+5*MonsterWaveCallRuleCfg!R643,FALSE)</f>
        <v>15</v>
      </c>
      <c r="J643" s="102">
        <f>VLOOKUP(P643&amp;"_"&amp;Q643,活动关卡!$A$60:$Z$83,4+5*MonsterWaveCallRuleCfg!R643,FALSE)</f>
        <v>1</v>
      </c>
      <c r="K643" s="102">
        <f t="shared" si="133"/>
        <v>1</v>
      </c>
      <c r="L643" s="102" t="str">
        <f>IF(VLOOKUP(P643&amp;"_"&amp;Q643,活动关卡!$A$60:$Z$83,2+5*R643,FALSE)="","","Monster_Season3_Challenge"&amp;P643&amp;"_"&amp;Q643&amp;"_"&amp;R643)</f>
        <v>Monster_Season3_Challenge2_3_2</v>
      </c>
      <c r="M643" s="57">
        <f t="shared" si="134"/>
        <v>1</v>
      </c>
      <c r="O643" s="102">
        <f>VLOOKUP(P643&amp;"_"&amp;Q643,活动关卡!$A$4:$Z$27,6+5*MonsterWaveCallRuleCfg!R643,FALSE)</f>
        <v>6</v>
      </c>
      <c r="P643" s="110">
        <v>2</v>
      </c>
      <c r="Q643" s="110">
        <f t="shared" si="136"/>
        <v>3</v>
      </c>
      <c r="R643" s="110">
        <v>2</v>
      </c>
    </row>
    <row r="644" spans="2:18" x14ac:dyDescent="0.2">
      <c r="B644" s="57" t="str">
        <f t="shared" si="129"/>
        <v/>
      </c>
      <c r="D644" s="57" t="str">
        <f t="shared" si="130"/>
        <v/>
      </c>
      <c r="F644" s="57" t="str">
        <f t="shared" si="131"/>
        <v/>
      </c>
      <c r="G644" s="102" t="str">
        <f t="shared" si="135"/>
        <v/>
      </c>
      <c r="H644" s="57">
        <f t="shared" si="132"/>
        <v>0</v>
      </c>
      <c r="I644" s="102">
        <f>VLOOKUP(P644&amp;"_"&amp;Q644,活动关卡!$A$60:$Z$83,3+5*MonsterWaveCallRuleCfg!R644,FALSE)</f>
        <v>15</v>
      </c>
      <c r="J644" s="102">
        <f>VLOOKUP(P644&amp;"_"&amp;Q644,活动关卡!$A$60:$Z$83,4+5*MonsterWaveCallRuleCfg!R644,FALSE)</f>
        <v>1</v>
      </c>
      <c r="K644" s="102">
        <f t="shared" si="133"/>
        <v>1</v>
      </c>
      <c r="L644" s="102" t="str">
        <f>IF(VLOOKUP(P644&amp;"_"&amp;Q644,活动关卡!$A$60:$Z$83,2+5*R644,FALSE)="","","Monster_Season3_Challenge"&amp;P644&amp;"_"&amp;Q644&amp;"_"&amp;R644)</f>
        <v>Monster_Season3_Challenge2_3_3</v>
      </c>
      <c r="M644" s="57">
        <f t="shared" si="134"/>
        <v>1</v>
      </c>
      <c r="O644" s="102">
        <f>VLOOKUP(P644&amp;"_"&amp;Q644,活动关卡!$A$4:$Z$27,6+5*MonsterWaveCallRuleCfg!R644,FALSE)</f>
        <v>23</v>
      </c>
      <c r="P644" s="110">
        <v>2</v>
      </c>
      <c r="Q644" s="110">
        <f t="shared" si="136"/>
        <v>3</v>
      </c>
      <c r="R644" s="110">
        <v>3</v>
      </c>
    </row>
    <row r="645" spans="2:18" x14ac:dyDescent="0.2">
      <c r="B645" s="57" t="str">
        <f t="shared" si="129"/>
        <v/>
      </c>
      <c r="D645" s="57" t="str">
        <f t="shared" si="130"/>
        <v/>
      </c>
      <c r="F645" s="57" t="str">
        <f t="shared" si="131"/>
        <v/>
      </c>
      <c r="G645" s="102" t="str">
        <f t="shared" si="135"/>
        <v/>
      </c>
      <c r="H645" s="57" t="str">
        <f t="shared" si="132"/>
        <v/>
      </c>
      <c r="I645" s="102" t="str">
        <f>VLOOKUP(P645&amp;"_"&amp;Q645,活动关卡!$A$60:$Z$83,3+5*MonsterWaveCallRuleCfg!R645,FALSE)</f>
        <v/>
      </c>
      <c r="J645" s="102" t="str">
        <f>VLOOKUP(P645&amp;"_"&amp;Q645,活动关卡!$A$60:$Z$83,4+5*MonsterWaveCallRuleCfg!R645,FALSE)</f>
        <v/>
      </c>
      <c r="K645" s="102" t="str">
        <f t="shared" si="133"/>
        <v/>
      </c>
      <c r="L645" s="102" t="str">
        <f>IF(VLOOKUP(P645&amp;"_"&amp;Q645,活动关卡!$A$60:$Z$83,2+5*R645,FALSE)="","","Monster_Season3_Challenge"&amp;P645&amp;"_"&amp;Q645&amp;"_"&amp;R645)</f>
        <v/>
      </c>
      <c r="M645" s="57" t="str">
        <f t="shared" si="134"/>
        <v/>
      </c>
      <c r="O645" s="102" t="str">
        <f>VLOOKUP(P645&amp;"_"&amp;Q645,活动关卡!$A$4:$Z$27,6+5*MonsterWaveCallRuleCfg!R645,FALSE)</f>
        <v/>
      </c>
      <c r="P645" s="110">
        <v>2</v>
      </c>
      <c r="Q645" s="110">
        <f t="shared" si="136"/>
        <v>3</v>
      </c>
      <c r="R645" s="110">
        <v>4</v>
      </c>
    </row>
    <row r="646" spans="2:18" x14ac:dyDescent="0.2">
      <c r="B646" s="57" t="str">
        <f t="shared" ref="B646:B677" si="137">IF(C646="","","MonsterWaveCallRule_Season3_Challenge"&amp;P646)</f>
        <v>MonsterWaveCallRule_Season3_Challenge2</v>
      </c>
      <c r="C646" s="57">
        <v>4</v>
      </c>
      <c r="D646" s="57" t="str">
        <f t="shared" ref="D646:D677" si="138">IF(C646="","","赛季3关卡"&amp;P646&amp;"第"&amp;C646&amp;"波")</f>
        <v>赛季3关卡2第4波</v>
      </c>
      <c r="F646" s="57">
        <f t="shared" si="131"/>
        <v>0</v>
      </c>
      <c r="G646" s="102">
        <f t="shared" si="135"/>
        <v>180</v>
      </c>
      <c r="H646" s="57">
        <f t="shared" si="132"/>
        <v>0</v>
      </c>
      <c r="I646" s="102">
        <f>VLOOKUP(P646&amp;"_"&amp;Q646,活动关卡!$A$60:$Z$83,3+5*MonsterWaveCallRuleCfg!R646,FALSE)</f>
        <v>18</v>
      </c>
      <c r="J646" s="102">
        <f>VLOOKUP(P646&amp;"_"&amp;Q646,活动关卡!$A$60:$Z$83,4+5*MonsterWaveCallRuleCfg!R646,FALSE)</f>
        <v>1</v>
      </c>
      <c r="K646" s="102">
        <f t="shared" si="133"/>
        <v>1</v>
      </c>
      <c r="L646" s="102" t="str">
        <f>IF(VLOOKUP(P646&amp;"_"&amp;Q646,活动关卡!$A$60:$Z$83,2+5*R646,FALSE)="","","Monster_Season3_Challenge"&amp;P646&amp;"_"&amp;Q646&amp;"_"&amp;R646)</f>
        <v>Monster_Season3_Challenge2_4_1</v>
      </c>
      <c r="M646" s="57">
        <f t="shared" si="134"/>
        <v>1</v>
      </c>
      <c r="O646" s="102">
        <f>VLOOKUP(P646&amp;"_"&amp;Q646,活动关卡!$A$4:$Z$27,6+5*MonsterWaveCallRuleCfg!R646,FALSE)</f>
        <v>4</v>
      </c>
      <c r="P646" s="110">
        <v>2</v>
      </c>
      <c r="Q646" s="110">
        <f t="shared" si="136"/>
        <v>4</v>
      </c>
      <c r="R646" s="110">
        <v>1</v>
      </c>
    </row>
    <row r="647" spans="2:18" x14ac:dyDescent="0.2">
      <c r="B647" s="57" t="str">
        <f t="shared" si="137"/>
        <v/>
      </c>
      <c r="D647" s="57" t="str">
        <f t="shared" si="138"/>
        <v/>
      </c>
      <c r="F647" s="57" t="str">
        <f t="shared" si="131"/>
        <v/>
      </c>
      <c r="G647" s="102" t="str">
        <f t="shared" si="135"/>
        <v/>
      </c>
      <c r="H647" s="57">
        <f t="shared" si="132"/>
        <v>0</v>
      </c>
      <c r="I647" s="102">
        <f>VLOOKUP(P647&amp;"_"&amp;Q647,活动关卡!$A$60:$Z$83,3+5*MonsterWaveCallRuleCfg!R647,FALSE)</f>
        <v>44</v>
      </c>
      <c r="J647" s="102">
        <f>VLOOKUP(P647&amp;"_"&amp;Q647,活动关卡!$A$60:$Z$83,4+5*MonsterWaveCallRuleCfg!R647,FALSE)</f>
        <v>0.4</v>
      </c>
      <c r="K647" s="102">
        <f t="shared" si="133"/>
        <v>1</v>
      </c>
      <c r="L647" s="102" t="str">
        <f>IF(VLOOKUP(P647&amp;"_"&amp;Q647,活动关卡!$A$60:$Z$83,2+5*R647,FALSE)="","","Monster_Season3_Challenge"&amp;P647&amp;"_"&amp;Q647&amp;"_"&amp;R647)</f>
        <v>Monster_Season3_Challenge2_4_2</v>
      </c>
      <c r="M647" s="57">
        <f t="shared" si="134"/>
        <v>1</v>
      </c>
      <c r="O647" s="102">
        <f>VLOOKUP(P647&amp;"_"&amp;Q647,活动关卡!$A$4:$Z$27,6+5*MonsterWaveCallRuleCfg!R647,FALSE)</f>
        <v>2</v>
      </c>
      <c r="P647" s="110">
        <v>2</v>
      </c>
      <c r="Q647" s="110">
        <f t="shared" si="136"/>
        <v>4</v>
      </c>
      <c r="R647" s="110">
        <v>2</v>
      </c>
    </row>
    <row r="648" spans="2:18" x14ac:dyDescent="0.2">
      <c r="B648" s="57" t="str">
        <f t="shared" si="137"/>
        <v/>
      </c>
      <c r="D648" s="57" t="str">
        <f t="shared" si="138"/>
        <v/>
      </c>
      <c r="F648" s="57" t="str">
        <f t="shared" si="131"/>
        <v/>
      </c>
      <c r="G648" s="102" t="str">
        <f t="shared" si="135"/>
        <v/>
      </c>
      <c r="H648" s="57">
        <f t="shared" si="132"/>
        <v>0</v>
      </c>
      <c r="I648" s="102">
        <f>VLOOKUP(P648&amp;"_"&amp;Q648,活动关卡!$A$60:$Z$83,3+5*MonsterWaveCallRuleCfg!R648,FALSE)</f>
        <v>35</v>
      </c>
      <c r="J648" s="102">
        <f>VLOOKUP(P648&amp;"_"&amp;Q648,活动关卡!$A$60:$Z$83,4+5*MonsterWaveCallRuleCfg!R648,FALSE)</f>
        <v>0.5</v>
      </c>
      <c r="K648" s="102">
        <f t="shared" si="133"/>
        <v>1</v>
      </c>
      <c r="L648" s="102" t="str">
        <f>IF(VLOOKUP(P648&amp;"_"&amp;Q648,活动关卡!$A$60:$Z$83,2+5*R648,FALSE)="","","Monster_Season3_Challenge"&amp;P648&amp;"_"&amp;Q648&amp;"_"&amp;R648)</f>
        <v>Monster_Season3_Challenge2_4_3</v>
      </c>
      <c r="M648" s="57">
        <f t="shared" si="134"/>
        <v>1</v>
      </c>
      <c r="O648" s="102">
        <f>VLOOKUP(P648&amp;"_"&amp;Q648,活动关卡!$A$4:$Z$27,6+5*MonsterWaveCallRuleCfg!R648,FALSE)</f>
        <v>8</v>
      </c>
      <c r="P648" s="110">
        <v>2</v>
      </c>
      <c r="Q648" s="110">
        <f t="shared" si="136"/>
        <v>4</v>
      </c>
      <c r="R648" s="110">
        <v>3</v>
      </c>
    </row>
    <row r="649" spans="2:18" x14ac:dyDescent="0.2">
      <c r="B649" s="57" t="str">
        <f t="shared" si="137"/>
        <v/>
      </c>
      <c r="D649" s="57" t="str">
        <f t="shared" si="138"/>
        <v/>
      </c>
      <c r="F649" s="57" t="str">
        <f t="shared" si="131"/>
        <v/>
      </c>
      <c r="G649" s="102" t="str">
        <f t="shared" si="135"/>
        <v/>
      </c>
      <c r="H649" s="57">
        <f t="shared" si="132"/>
        <v>0</v>
      </c>
      <c r="I649" s="102">
        <f>VLOOKUP(P649&amp;"_"&amp;Q649,活动关卡!$A$60:$Z$83,3+5*MonsterWaveCallRuleCfg!R649,FALSE)</f>
        <v>18</v>
      </c>
      <c r="J649" s="102">
        <f>VLOOKUP(P649&amp;"_"&amp;Q649,活动关卡!$A$60:$Z$83,4+5*MonsterWaveCallRuleCfg!R649,FALSE)</f>
        <v>1</v>
      </c>
      <c r="K649" s="102">
        <f t="shared" si="133"/>
        <v>1</v>
      </c>
      <c r="L649" s="102" t="str">
        <f>IF(VLOOKUP(P649&amp;"_"&amp;Q649,活动关卡!$A$60:$Z$83,2+5*R649,FALSE)="","","Monster_Season3_Challenge"&amp;P649&amp;"_"&amp;Q649&amp;"_"&amp;R649)</f>
        <v>Monster_Season3_Challenge2_4_4</v>
      </c>
      <c r="M649" s="57">
        <f t="shared" si="134"/>
        <v>1</v>
      </c>
      <c r="O649" s="102">
        <f>VLOOKUP(P649&amp;"_"&amp;Q649,活动关卡!$A$4:$Z$27,6+5*MonsterWaveCallRuleCfg!R649,FALSE)</f>
        <v>8</v>
      </c>
      <c r="P649" s="110">
        <v>2</v>
      </c>
      <c r="Q649" s="110">
        <f t="shared" si="136"/>
        <v>4</v>
      </c>
      <c r="R649" s="110">
        <v>4</v>
      </c>
    </row>
    <row r="650" spans="2:18" x14ac:dyDescent="0.2">
      <c r="B650" s="57" t="str">
        <f t="shared" si="137"/>
        <v>MonsterWaveCallRule_Season3_Challenge2</v>
      </c>
      <c r="C650" s="57">
        <v>5</v>
      </c>
      <c r="D650" s="57" t="str">
        <f t="shared" si="138"/>
        <v>赛季3关卡2第5波</v>
      </c>
      <c r="F650" s="57">
        <f t="shared" si="131"/>
        <v>0</v>
      </c>
      <c r="G650" s="102">
        <f t="shared" si="135"/>
        <v>180</v>
      </c>
      <c r="H650" s="57">
        <f t="shared" si="132"/>
        <v>0</v>
      </c>
      <c r="I650" s="102">
        <f>VLOOKUP(P650&amp;"_"&amp;Q650,活动关卡!$A$60:$Z$83,3+5*MonsterWaveCallRuleCfg!R650,FALSE)</f>
        <v>67</v>
      </c>
      <c r="J650" s="102">
        <f>VLOOKUP(P650&amp;"_"&amp;Q650,活动关卡!$A$60:$Z$83,4+5*MonsterWaveCallRuleCfg!R650,FALSE)</f>
        <v>0.3</v>
      </c>
      <c r="K650" s="102">
        <f t="shared" si="133"/>
        <v>1</v>
      </c>
      <c r="L650" s="102" t="str">
        <f>IF(VLOOKUP(P650&amp;"_"&amp;Q650,活动关卡!$A$60:$Z$83,2+5*R650,FALSE)="","","Monster_Season3_Challenge"&amp;P650&amp;"_"&amp;Q650&amp;"_"&amp;R650)</f>
        <v>Monster_Season3_Challenge2_5_1</v>
      </c>
      <c r="M650" s="57">
        <f t="shared" si="134"/>
        <v>1</v>
      </c>
      <c r="O650" s="102">
        <f>VLOOKUP(P650&amp;"_"&amp;Q650,活动关卡!$A$4:$Z$27,6+5*MonsterWaveCallRuleCfg!R650,FALSE)</f>
        <v>3</v>
      </c>
      <c r="P650" s="110">
        <v>2</v>
      </c>
      <c r="Q650" s="110">
        <f t="shared" si="136"/>
        <v>5</v>
      </c>
      <c r="R650" s="110">
        <v>1</v>
      </c>
    </row>
    <row r="651" spans="2:18" x14ac:dyDescent="0.2">
      <c r="B651" s="57" t="str">
        <f t="shared" si="137"/>
        <v/>
      </c>
      <c r="D651" s="57" t="str">
        <f t="shared" si="138"/>
        <v/>
      </c>
      <c r="F651" s="57" t="str">
        <f t="shared" si="131"/>
        <v/>
      </c>
      <c r="G651" s="102" t="str">
        <f t="shared" si="135"/>
        <v/>
      </c>
      <c r="H651" s="57">
        <f t="shared" si="132"/>
        <v>0</v>
      </c>
      <c r="I651" s="102">
        <f>VLOOKUP(P651&amp;"_"&amp;Q651,活动关卡!$A$60:$Z$83,3+5*MonsterWaveCallRuleCfg!R651,FALSE)</f>
        <v>100</v>
      </c>
      <c r="J651" s="102">
        <f>VLOOKUP(P651&amp;"_"&amp;Q651,活动关卡!$A$60:$Z$83,4+5*MonsterWaveCallRuleCfg!R651,FALSE)</f>
        <v>0.2</v>
      </c>
      <c r="K651" s="102">
        <f t="shared" si="133"/>
        <v>1</v>
      </c>
      <c r="L651" s="102" t="str">
        <f>IF(VLOOKUP(P651&amp;"_"&amp;Q651,活动关卡!$A$60:$Z$83,2+5*R651,FALSE)="","","Monster_Season3_Challenge"&amp;P651&amp;"_"&amp;Q651&amp;"_"&amp;R651)</f>
        <v>Monster_Season3_Challenge2_5_2</v>
      </c>
      <c r="M651" s="57">
        <f t="shared" si="134"/>
        <v>1</v>
      </c>
      <c r="O651" s="102">
        <f>VLOOKUP(P651&amp;"_"&amp;Q651,活动关卡!$A$4:$Z$27,6+5*MonsterWaveCallRuleCfg!R651,FALSE)</f>
        <v>1</v>
      </c>
      <c r="P651" s="110">
        <v>2</v>
      </c>
      <c r="Q651" s="110">
        <f t="shared" si="136"/>
        <v>5</v>
      </c>
      <c r="R651" s="110">
        <v>2</v>
      </c>
    </row>
    <row r="652" spans="2:18" x14ac:dyDescent="0.2">
      <c r="B652" s="57" t="str">
        <f t="shared" si="137"/>
        <v/>
      </c>
      <c r="D652" s="57" t="str">
        <f t="shared" si="138"/>
        <v/>
      </c>
      <c r="F652" s="57" t="str">
        <f t="shared" si="131"/>
        <v/>
      </c>
      <c r="G652" s="102" t="str">
        <f t="shared" si="135"/>
        <v/>
      </c>
      <c r="H652" s="57">
        <f t="shared" si="132"/>
        <v>0</v>
      </c>
      <c r="I652" s="102">
        <f>VLOOKUP(P652&amp;"_"&amp;Q652,活动关卡!$A$60:$Z$83,3+5*MonsterWaveCallRuleCfg!R652,FALSE)</f>
        <v>40</v>
      </c>
      <c r="J652" s="102">
        <f>VLOOKUP(P652&amp;"_"&amp;Q652,活动关卡!$A$60:$Z$83,4+5*MonsterWaveCallRuleCfg!R652,FALSE)</f>
        <v>0.5</v>
      </c>
      <c r="K652" s="102">
        <f t="shared" si="133"/>
        <v>1</v>
      </c>
      <c r="L652" s="102" t="str">
        <f>IF(VLOOKUP(P652&amp;"_"&amp;Q652,活动关卡!$A$60:$Z$83,2+5*R652,FALSE)="","","Monster_Season3_Challenge"&amp;P652&amp;"_"&amp;Q652&amp;"_"&amp;R652)</f>
        <v>Monster_Season3_Challenge2_5_3</v>
      </c>
      <c r="M652" s="57">
        <f t="shared" si="134"/>
        <v>1</v>
      </c>
      <c r="O652" s="102">
        <f>VLOOKUP(P652&amp;"_"&amp;Q652,活动关卡!$A$4:$Z$27,6+5*MonsterWaveCallRuleCfg!R652,FALSE)</f>
        <v>5</v>
      </c>
      <c r="P652" s="110">
        <v>2</v>
      </c>
      <c r="Q652" s="110">
        <f t="shared" si="136"/>
        <v>5</v>
      </c>
      <c r="R652" s="110">
        <v>3</v>
      </c>
    </row>
    <row r="653" spans="2:18" x14ac:dyDescent="0.2">
      <c r="B653" s="57" t="str">
        <f t="shared" si="137"/>
        <v/>
      </c>
      <c r="D653" s="57" t="str">
        <f t="shared" si="138"/>
        <v/>
      </c>
      <c r="F653" s="57" t="str">
        <f t="shared" si="131"/>
        <v/>
      </c>
      <c r="G653" s="102" t="str">
        <f t="shared" si="135"/>
        <v/>
      </c>
      <c r="H653" s="57">
        <f t="shared" si="132"/>
        <v>0</v>
      </c>
      <c r="I653" s="102">
        <f>VLOOKUP(P653&amp;"_"&amp;Q653,活动关卡!$A$60:$Z$83,3+5*MonsterWaveCallRuleCfg!R653,FALSE)</f>
        <v>20</v>
      </c>
      <c r="J653" s="102">
        <f>VLOOKUP(P653&amp;"_"&amp;Q653,活动关卡!$A$60:$Z$83,4+5*MonsterWaveCallRuleCfg!R653,FALSE)</f>
        <v>1</v>
      </c>
      <c r="K653" s="102">
        <f t="shared" si="133"/>
        <v>1</v>
      </c>
      <c r="L653" s="102" t="str">
        <f>IF(VLOOKUP(P653&amp;"_"&amp;Q653,活动关卡!$A$60:$Z$83,2+5*R653,FALSE)="","","Monster_Season3_Challenge"&amp;P653&amp;"_"&amp;Q653&amp;"_"&amp;R653)</f>
        <v>Monster_Season3_Challenge2_5_4</v>
      </c>
      <c r="M653" s="57">
        <f t="shared" si="134"/>
        <v>1</v>
      </c>
      <c r="O653" s="102">
        <f>VLOOKUP(P653&amp;"_"&amp;Q653,活动关卡!$A$4:$Z$27,6+5*MonsterWaveCallRuleCfg!R653,FALSE)</f>
        <v>5</v>
      </c>
      <c r="P653" s="110">
        <v>2</v>
      </c>
      <c r="Q653" s="110">
        <f t="shared" si="136"/>
        <v>5</v>
      </c>
      <c r="R653" s="110">
        <v>4</v>
      </c>
    </row>
    <row r="654" spans="2:18" x14ac:dyDescent="0.2">
      <c r="B654" s="57" t="str">
        <f t="shared" si="137"/>
        <v>MonsterWaveCallRule_Season3_Challenge3</v>
      </c>
      <c r="C654" s="57">
        <v>1</v>
      </c>
      <c r="D654" s="57" t="str">
        <f t="shared" si="138"/>
        <v>赛季3关卡3第1波</v>
      </c>
      <c r="F654" s="57">
        <f t="shared" si="131"/>
        <v>0</v>
      </c>
      <c r="G654" s="102">
        <f t="shared" si="135"/>
        <v>180</v>
      </c>
      <c r="H654" s="57">
        <f t="shared" si="132"/>
        <v>0</v>
      </c>
      <c r="I654" s="102">
        <f>VLOOKUP(P654&amp;"_"&amp;Q654,活动关卡!$A$60:$Z$83,3+5*MonsterWaveCallRuleCfg!R654,FALSE)</f>
        <v>5</v>
      </c>
      <c r="J654" s="102">
        <f>VLOOKUP(P654&amp;"_"&amp;Q654,活动关卡!$A$60:$Z$83,4+5*MonsterWaveCallRuleCfg!R654,FALSE)</f>
        <v>2</v>
      </c>
      <c r="K654" s="102">
        <f t="shared" si="133"/>
        <v>1</v>
      </c>
      <c r="L654" s="102" t="str">
        <f>IF(VLOOKUP(P654&amp;"_"&amp;Q654,活动关卡!$A$60:$Z$83,2+5*R654,FALSE)="","","Monster_Season3_Challenge"&amp;P654&amp;"_"&amp;Q654&amp;"_"&amp;R654)</f>
        <v>Monster_Season3_Challenge3_1_1</v>
      </c>
      <c r="M654" s="57">
        <f t="shared" si="134"/>
        <v>1</v>
      </c>
      <c r="O654" s="102">
        <f>VLOOKUP(P654&amp;"_"&amp;Q654,活动关卡!$A$4:$Z$27,6+5*MonsterWaveCallRuleCfg!R654,FALSE)</f>
        <v>60</v>
      </c>
      <c r="P654" s="110">
        <v>3</v>
      </c>
      <c r="Q654" s="110">
        <f t="shared" si="136"/>
        <v>1</v>
      </c>
      <c r="R654" s="110">
        <v>1</v>
      </c>
    </row>
    <row r="655" spans="2:18" x14ac:dyDescent="0.2">
      <c r="B655" s="57" t="str">
        <f t="shared" si="137"/>
        <v/>
      </c>
      <c r="D655" s="57" t="str">
        <f t="shared" si="138"/>
        <v/>
      </c>
      <c r="F655" s="57" t="str">
        <f t="shared" si="131"/>
        <v/>
      </c>
      <c r="G655" s="102" t="str">
        <f t="shared" si="135"/>
        <v/>
      </c>
      <c r="H655" s="57">
        <f t="shared" si="132"/>
        <v>0</v>
      </c>
      <c r="I655" s="102">
        <f>VLOOKUP(P655&amp;"_"&amp;Q655,活动关卡!$A$60:$Z$83,3+5*MonsterWaveCallRuleCfg!R655,FALSE)</f>
        <v>5</v>
      </c>
      <c r="J655" s="102">
        <f>VLOOKUP(P655&amp;"_"&amp;Q655,活动关卡!$A$60:$Z$83,4+5*MonsterWaveCallRuleCfg!R655,FALSE)</f>
        <v>2</v>
      </c>
      <c r="K655" s="102">
        <f t="shared" si="133"/>
        <v>1</v>
      </c>
      <c r="L655" s="102" t="str">
        <f>IF(VLOOKUP(P655&amp;"_"&amp;Q655,活动关卡!$A$60:$Z$83,2+5*R655,FALSE)="","","Monster_Season3_Challenge"&amp;P655&amp;"_"&amp;Q655&amp;"_"&amp;R655)</f>
        <v>Monster_Season3_Challenge3_1_2</v>
      </c>
      <c r="M655" s="57">
        <f t="shared" si="134"/>
        <v>1</v>
      </c>
      <c r="O655" s="102">
        <f>VLOOKUP(P655&amp;"_"&amp;Q655,活动关卡!$A$4:$Z$27,6+5*MonsterWaveCallRuleCfg!R655,FALSE)</f>
        <v>60</v>
      </c>
      <c r="P655" s="110">
        <v>3</v>
      </c>
      <c r="Q655" s="110">
        <f t="shared" si="136"/>
        <v>1</v>
      </c>
      <c r="R655" s="110">
        <v>2</v>
      </c>
    </row>
    <row r="656" spans="2:18" x14ac:dyDescent="0.2">
      <c r="B656" s="57" t="str">
        <f t="shared" si="137"/>
        <v/>
      </c>
      <c r="D656" s="57" t="str">
        <f t="shared" si="138"/>
        <v/>
      </c>
      <c r="F656" s="57" t="str">
        <f t="shared" si="131"/>
        <v/>
      </c>
      <c r="G656" s="102" t="str">
        <f t="shared" si="135"/>
        <v/>
      </c>
      <c r="H656" s="57" t="str">
        <f t="shared" si="132"/>
        <v/>
      </c>
      <c r="I656" s="102" t="str">
        <f>VLOOKUP(P656&amp;"_"&amp;Q656,活动关卡!$A$60:$Z$83,3+5*MonsterWaveCallRuleCfg!R656,FALSE)</f>
        <v/>
      </c>
      <c r="J656" s="102" t="str">
        <f>VLOOKUP(P656&amp;"_"&amp;Q656,活动关卡!$A$60:$Z$83,4+5*MonsterWaveCallRuleCfg!R656,FALSE)</f>
        <v/>
      </c>
      <c r="K656" s="102" t="str">
        <f t="shared" si="133"/>
        <v/>
      </c>
      <c r="L656" s="102" t="str">
        <f>IF(VLOOKUP(P656&amp;"_"&amp;Q656,活动关卡!$A$60:$Z$83,2+5*R656,FALSE)="","","Monster_Season3_Challenge"&amp;P656&amp;"_"&amp;Q656&amp;"_"&amp;R656)</f>
        <v/>
      </c>
      <c r="M656" s="57" t="str">
        <f t="shared" si="134"/>
        <v/>
      </c>
      <c r="O656" s="102" t="str">
        <f>VLOOKUP(P656&amp;"_"&amp;Q656,活动关卡!$A$4:$Z$27,6+5*MonsterWaveCallRuleCfg!R656,FALSE)</f>
        <v/>
      </c>
      <c r="P656" s="110">
        <v>3</v>
      </c>
      <c r="Q656" s="110">
        <f t="shared" si="136"/>
        <v>1</v>
      </c>
      <c r="R656" s="110">
        <v>3</v>
      </c>
    </row>
    <row r="657" spans="2:18" x14ac:dyDescent="0.2">
      <c r="B657" s="57" t="str">
        <f t="shared" si="137"/>
        <v/>
      </c>
      <c r="D657" s="57" t="str">
        <f t="shared" si="138"/>
        <v/>
      </c>
      <c r="F657" s="57" t="str">
        <f t="shared" si="131"/>
        <v/>
      </c>
      <c r="G657" s="102" t="str">
        <f t="shared" si="135"/>
        <v/>
      </c>
      <c r="H657" s="57" t="str">
        <f t="shared" si="132"/>
        <v/>
      </c>
      <c r="I657" s="102" t="str">
        <f>VLOOKUP(P657&amp;"_"&amp;Q657,活动关卡!$A$60:$Z$83,3+5*MonsterWaveCallRuleCfg!R657,FALSE)</f>
        <v/>
      </c>
      <c r="J657" s="102" t="str">
        <f>VLOOKUP(P657&amp;"_"&amp;Q657,活动关卡!$A$60:$Z$83,4+5*MonsterWaveCallRuleCfg!R657,FALSE)</f>
        <v/>
      </c>
      <c r="K657" s="102" t="str">
        <f t="shared" si="133"/>
        <v/>
      </c>
      <c r="L657" s="102" t="str">
        <f>IF(VLOOKUP(P657&amp;"_"&amp;Q657,活动关卡!$A$60:$Z$83,2+5*R657,FALSE)="","","Monster_Season3_Challenge"&amp;P657&amp;"_"&amp;Q657&amp;"_"&amp;R657)</f>
        <v/>
      </c>
      <c r="M657" s="57" t="str">
        <f t="shared" si="134"/>
        <v/>
      </c>
      <c r="O657" s="102" t="str">
        <f>VLOOKUP(P657&amp;"_"&amp;Q657,活动关卡!$A$4:$Z$27,6+5*MonsterWaveCallRuleCfg!R657,FALSE)</f>
        <v/>
      </c>
      <c r="P657" s="110">
        <v>3</v>
      </c>
      <c r="Q657" s="110">
        <f t="shared" si="136"/>
        <v>1</v>
      </c>
      <c r="R657" s="110">
        <v>4</v>
      </c>
    </row>
    <row r="658" spans="2:18" x14ac:dyDescent="0.2">
      <c r="B658" s="57" t="str">
        <f t="shared" si="137"/>
        <v>MonsterWaveCallRule_Season3_Challenge3</v>
      </c>
      <c r="C658" s="57">
        <v>2</v>
      </c>
      <c r="D658" s="57" t="str">
        <f t="shared" si="138"/>
        <v>赛季3关卡3第2波</v>
      </c>
      <c r="F658" s="57">
        <f t="shared" si="131"/>
        <v>0</v>
      </c>
      <c r="G658" s="102">
        <f t="shared" si="135"/>
        <v>180</v>
      </c>
      <c r="H658" s="57">
        <f t="shared" si="132"/>
        <v>0</v>
      </c>
      <c r="I658" s="102">
        <f>VLOOKUP(P658&amp;"_"&amp;Q658,活动关卡!$A$60:$Z$83,3+5*MonsterWaveCallRuleCfg!R658,FALSE)</f>
        <v>6</v>
      </c>
      <c r="J658" s="102">
        <f>VLOOKUP(P658&amp;"_"&amp;Q658,活动关卡!$A$60:$Z$83,4+5*MonsterWaveCallRuleCfg!R658,FALSE)</f>
        <v>2</v>
      </c>
      <c r="K658" s="102">
        <f t="shared" si="133"/>
        <v>1</v>
      </c>
      <c r="L658" s="102" t="str">
        <f>IF(VLOOKUP(P658&amp;"_"&amp;Q658,活动关卡!$A$60:$Z$83,2+5*R658,FALSE)="","","Monster_Season3_Challenge"&amp;P658&amp;"_"&amp;Q658&amp;"_"&amp;R658)</f>
        <v>Monster_Season3_Challenge3_2_1</v>
      </c>
      <c r="M658" s="57">
        <f t="shared" si="134"/>
        <v>1</v>
      </c>
      <c r="O658" s="102">
        <f>VLOOKUP(P658&amp;"_"&amp;Q658,活动关卡!$A$4:$Z$27,6+5*MonsterWaveCallRuleCfg!R658,FALSE)</f>
        <v>33</v>
      </c>
      <c r="P658" s="110">
        <v>3</v>
      </c>
      <c r="Q658" s="110">
        <f t="shared" si="136"/>
        <v>2</v>
      </c>
      <c r="R658" s="110">
        <v>1</v>
      </c>
    </row>
    <row r="659" spans="2:18" x14ac:dyDescent="0.2">
      <c r="B659" s="57" t="str">
        <f t="shared" si="137"/>
        <v/>
      </c>
      <c r="D659" s="57" t="str">
        <f t="shared" si="138"/>
        <v/>
      </c>
      <c r="F659" s="57" t="str">
        <f t="shared" si="131"/>
        <v/>
      </c>
      <c r="G659" s="102" t="str">
        <f t="shared" si="135"/>
        <v/>
      </c>
      <c r="H659" s="57">
        <f t="shared" si="132"/>
        <v>0</v>
      </c>
      <c r="I659" s="102">
        <f>VLOOKUP(P659&amp;"_"&amp;Q659,活动关卡!$A$60:$Z$83,3+5*MonsterWaveCallRuleCfg!R659,FALSE)</f>
        <v>6</v>
      </c>
      <c r="J659" s="102">
        <f>VLOOKUP(P659&amp;"_"&amp;Q659,活动关卡!$A$60:$Z$83,4+5*MonsterWaveCallRuleCfg!R659,FALSE)</f>
        <v>2</v>
      </c>
      <c r="K659" s="102">
        <f t="shared" si="133"/>
        <v>1</v>
      </c>
      <c r="L659" s="102" t="str">
        <f>IF(VLOOKUP(P659&amp;"_"&amp;Q659,活动关卡!$A$60:$Z$83,2+5*R659,FALSE)="","","Monster_Season3_Challenge"&amp;P659&amp;"_"&amp;Q659&amp;"_"&amp;R659)</f>
        <v>Monster_Season3_Challenge3_2_2</v>
      </c>
      <c r="M659" s="57">
        <f t="shared" si="134"/>
        <v>1</v>
      </c>
      <c r="O659" s="102">
        <f>VLOOKUP(P659&amp;"_"&amp;Q659,活动关卡!$A$4:$Z$27,6+5*MonsterWaveCallRuleCfg!R659,FALSE)</f>
        <v>33</v>
      </c>
      <c r="P659" s="110">
        <v>3</v>
      </c>
      <c r="Q659" s="110">
        <f t="shared" si="136"/>
        <v>2</v>
      </c>
      <c r="R659" s="110">
        <v>2</v>
      </c>
    </row>
    <row r="660" spans="2:18" x14ac:dyDescent="0.2">
      <c r="B660" s="57" t="str">
        <f t="shared" si="137"/>
        <v/>
      </c>
      <c r="D660" s="57" t="str">
        <f t="shared" si="138"/>
        <v/>
      </c>
      <c r="F660" s="57" t="str">
        <f t="shared" si="131"/>
        <v/>
      </c>
      <c r="G660" s="102" t="str">
        <f t="shared" si="135"/>
        <v/>
      </c>
      <c r="H660" s="57">
        <f t="shared" si="132"/>
        <v>0</v>
      </c>
      <c r="I660" s="102">
        <f>VLOOKUP(P660&amp;"_"&amp;Q660,活动关卡!$A$60:$Z$83,3+5*MonsterWaveCallRuleCfg!R660,FALSE)</f>
        <v>6</v>
      </c>
      <c r="J660" s="102">
        <f>VLOOKUP(P660&amp;"_"&amp;Q660,活动关卡!$A$60:$Z$83,4+5*MonsterWaveCallRuleCfg!R660,FALSE)</f>
        <v>2</v>
      </c>
      <c r="K660" s="102">
        <f t="shared" si="133"/>
        <v>1</v>
      </c>
      <c r="L660" s="102" t="str">
        <f>IF(VLOOKUP(P660&amp;"_"&amp;Q660,活动关卡!$A$60:$Z$83,2+5*R660,FALSE)="","","Monster_Season3_Challenge"&amp;P660&amp;"_"&amp;Q660&amp;"_"&amp;R660)</f>
        <v>Monster_Season3_Challenge3_2_3</v>
      </c>
      <c r="M660" s="57">
        <f t="shared" si="134"/>
        <v>1</v>
      </c>
      <c r="O660" s="102">
        <f>VLOOKUP(P660&amp;"_"&amp;Q660,活动关卡!$A$4:$Z$27,6+5*MonsterWaveCallRuleCfg!R660,FALSE)</f>
        <v>33</v>
      </c>
      <c r="P660" s="110">
        <v>3</v>
      </c>
      <c r="Q660" s="110">
        <f t="shared" si="136"/>
        <v>2</v>
      </c>
      <c r="R660" s="110">
        <v>3</v>
      </c>
    </row>
    <row r="661" spans="2:18" x14ac:dyDescent="0.2">
      <c r="B661" s="57" t="str">
        <f t="shared" si="137"/>
        <v/>
      </c>
      <c r="D661" s="57" t="str">
        <f t="shared" si="138"/>
        <v/>
      </c>
      <c r="F661" s="57" t="str">
        <f t="shared" si="131"/>
        <v/>
      </c>
      <c r="G661" s="102" t="str">
        <f t="shared" si="135"/>
        <v/>
      </c>
      <c r="H661" s="57" t="str">
        <f t="shared" si="132"/>
        <v/>
      </c>
      <c r="I661" s="102" t="str">
        <f>VLOOKUP(P661&amp;"_"&amp;Q661,活动关卡!$A$60:$Z$83,3+5*MonsterWaveCallRuleCfg!R661,FALSE)</f>
        <v/>
      </c>
      <c r="J661" s="102" t="str">
        <f>VLOOKUP(P661&amp;"_"&amp;Q661,活动关卡!$A$60:$Z$83,4+5*MonsterWaveCallRuleCfg!R661,FALSE)</f>
        <v/>
      </c>
      <c r="K661" s="102" t="str">
        <f t="shared" si="133"/>
        <v/>
      </c>
      <c r="L661" s="102" t="str">
        <f>IF(VLOOKUP(P661&amp;"_"&amp;Q661,活动关卡!$A$60:$Z$83,2+5*R661,FALSE)="","","Monster_Season3_Challenge"&amp;P661&amp;"_"&amp;Q661&amp;"_"&amp;R661)</f>
        <v/>
      </c>
      <c r="M661" s="57" t="str">
        <f t="shared" si="134"/>
        <v/>
      </c>
      <c r="O661" s="102" t="str">
        <f>VLOOKUP(P661&amp;"_"&amp;Q661,活动关卡!$A$4:$Z$27,6+5*MonsterWaveCallRuleCfg!R661,FALSE)</f>
        <v/>
      </c>
      <c r="P661" s="110">
        <v>3</v>
      </c>
      <c r="Q661" s="110">
        <f t="shared" si="136"/>
        <v>2</v>
      </c>
      <c r="R661" s="110">
        <v>4</v>
      </c>
    </row>
    <row r="662" spans="2:18" x14ac:dyDescent="0.2">
      <c r="B662" s="57" t="str">
        <f t="shared" si="137"/>
        <v>MonsterWaveCallRule_Season3_Challenge3</v>
      </c>
      <c r="C662" s="57">
        <v>3</v>
      </c>
      <c r="D662" s="57" t="str">
        <f t="shared" si="138"/>
        <v>赛季3关卡3第3波</v>
      </c>
      <c r="F662" s="57">
        <f t="shared" si="131"/>
        <v>0</v>
      </c>
      <c r="G662" s="102">
        <f t="shared" si="135"/>
        <v>180</v>
      </c>
      <c r="H662" s="57">
        <f t="shared" si="132"/>
        <v>0</v>
      </c>
      <c r="I662" s="102">
        <f>VLOOKUP(P662&amp;"_"&amp;Q662,活动关卡!$A$60:$Z$83,3+5*MonsterWaveCallRuleCfg!R662,FALSE)</f>
        <v>8</v>
      </c>
      <c r="J662" s="102">
        <f>VLOOKUP(P662&amp;"_"&amp;Q662,活动关卡!$A$60:$Z$83,4+5*MonsterWaveCallRuleCfg!R662,FALSE)</f>
        <v>2</v>
      </c>
      <c r="K662" s="102">
        <f t="shared" si="133"/>
        <v>1</v>
      </c>
      <c r="L662" s="102" t="str">
        <f>IF(VLOOKUP(P662&amp;"_"&amp;Q662,活动关卡!$A$60:$Z$83,2+5*R662,FALSE)="","","Monster_Season3_Challenge"&amp;P662&amp;"_"&amp;Q662&amp;"_"&amp;R662)</f>
        <v>Monster_Season3_Challenge3_3_1</v>
      </c>
      <c r="M662" s="57">
        <f t="shared" si="134"/>
        <v>1</v>
      </c>
      <c r="O662" s="102">
        <f>VLOOKUP(P662&amp;"_"&amp;Q662,活动关卡!$A$4:$Z$27,6+5*MonsterWaveCallRuleCfg!R662,FALSE)</f>
        <v>30</v>
      </c>
      <c r="P662" s="110">
        <v>3</v>
      </c>
      <c r="Q662" s="110">
        <f t="shared" si="136"/>
        <v>3</v>
      </c>
      <c r="R662" s="110">
        <v>1</v>
      </c>
    </row>
    <row r="663" spans="2:18" x14ac:dyDescent="0.2">
      <c r="B663" s="57" t="str">
        <f t="shared" si="137"/>
        <v/>
      </c>
      <c r="D663" s="57" t="str">
        <f t="shared" si="138"/>
        <v/>
      </c>
      <c r="F663" s="57" t="str">
        <f t="shared" si="131"/>
        <v/>
      </c>
      <c r="G663" s="102" t="str">
        <f t="shared" si="135"/>
        <v/>
      </c>
      <c r="H663" s="57">
        <f t="shared" si="132"/>
        <v>0</v>
      </c>
      <c r="I663" s="102">
        <f>VLOOKUP(P663&amp;"_"&amp;Q663,活动关卡!$A$60:$Z$83,3+5*MonsterWaveCallRuleCfg!R663,FALSE)</f>
        <v>15</v>
      </c>
      <c r="J663" s="102">
        <f>VLOOKUP(P663&amp;"_"&amp;Q663,活动关卡!$A$60:$Z$83,4+5*MonsterWaveCallRuleCfg!R663,FALSE)</f>
        <v>1</v>
      </c>
      <c r="K663" s="102">
        <f t="shared" si="133"/>
        <v>1</v>
      </c>
      <c r="L663" s="102" t="str">
        <f>IF(VLOOKUP(P663&amp;"_"&amp;Q663,活动关卡!$A$60:$Z$83,2+5*R663,FALSE)="","","Monster_Season3_Challenge"&amp;P663&amp;"_"&amp;Q663&amp;"_"&amp;R663)</f>
        <v>Monster_Season3_Challenge3_3_2</v>
      </c>
      <c r="M663" s="57">
        <f t="shared" si="134"/>
        <v>1</v>
      </c>
      <c r="O663" s="102">
        <f>VLOOKUP(P663&amp;"_"&amp;Q663,活动关卡!$A$4:$Z$27,6+5*MonsterWaveCallRuleCfg!R663,FALSE)</f>
        <v>8</v>
      </c>
      <c r="P663" s="110">
        <v>3</v>
      </c>
      <c r="Q663" s="110">
        <f t="shared" si="136"/>
        <v>3</v>
      </c>
      <c r="R663" s="110">
        <v>2</v>
      </c>
    </row>
    <row r="664" spans="2:18" x14ac:dyDescent="0.2">
      <c r="B664" s="57" t="str">
        <f t="shared" si="137"/>
        <v/>
      </c>
      <c r="D664" s="57" t="str">
        <f t="shared" si="138"/>
        <v/>
      </c>
      <c r="F664" s="57" t="str">
        <f t="shared" si="131"/>
        <v/>
      </c>
      <c r="G664" s="102" t="str">
        <f t="shared" si="135"/>
        <v/>
      </c>
      <c r="H664" s="57">
        <f t="shared" si="132"/>
        <v>0</v>
      </c>
      <c r="I664" s="102">
        <f>VLOOKUP(P664&amp;"_"&amp;Q664,活动关卡!$A$60:$Z$83,3+5*MonsterWaveCallRuleCfg!R664,FALSE)</f>
        <v>8</v>
      </c>
      <c r="J664" s="102">
        <f>VLOOKUP(P664&amp;"_"&amp;Q664,活动关卡!$A$60:$Z$83,4+5*MonsterWaveCallRuleCfg!R664,FALSE)</f>
        <v>2</v>
      </c>
      <c r="K664" s="102">
        <f t="shared" si="133"/>
        <v>1</v>
      </c>
      <c r="L664" s="102" t="str">
        <f>IF(VLOOKUP(P664&amp;"_"&amp;Q664,活动关卡!$A$60:$Z$83,2+5*R664,FALSE)="","","Monster_Season3_Challenge"&amp;P664&amp;"_"&amp;Q664&amp;"_"&amp;R664)</f>
        <v>Monster_Season3_Challenge3_3_3</v>
      </c>
      <c r="M664" s="57">
        <f t="shared" si="134"/>
        <v>1</v>
      </c>
      <c r="O664" s="102">
        <f>VLOOKUP(P664&amp;"_"&amp;Q664,活动关卡!$A$4:$Z$27,6+5*MonsterWaveCallRuleCfg!R664,FALSE)</f>
        <v>30</v>
      </c>
      <c r="P664" s="110">
        <v>3</v>
      </c>
      <c r="Q664" s="110">
        <f t="shared" si="136"/>
        <v>3</v>
      </c>
      <c r="R664" s="110">
        <v>3</v>
      </c>
    </row>
    <row r="665" spans="2:18" x14ac:dyDescent="0.2">
      <c r="B665" s="57" t="str">
        <f t="shared" si="137"/>
        <v/>
      </c>
      <c r="D665" s="57" t="str">
        <f t="shared" si="138"/>
        <v/>
      </c>
      <c r="F665" s="57" t="str">
        <f t="shared" si="131"/>
        <v/>
      </c>
      <c r="G665" s="102" t="str">
        <f t="shared" si="135"/>
        <v/>
      </c>
      <c r="H665" s="57" t="str">
        <f t="shared" si="132"/>
        <v/>
      </c>
      <c r="I665" s="102" t="str">
        <f>VLOOKUP(P665&amp;"_"&amp;Q665,活动关卡!$A$60:$Z$83,3+5*MonsterWaveCallRuleCfg!R665,FALSE)</f>
        <v/>
      </c>
      <c r="J665" s="102" t="str">
        <f>VLOOKUP(P665&amp;"_"&amp;Q665,活动关卡!$A$60:$Z$83,4+5*MonsterWaveCallRuleCfg!R665,FALSE)</f>
        <v/>
      </c>
      <c r="K665" s="102" t="str">
        <f t="shared" si="133"/>
        <v/>
      </c>
      <c r="L665" s="102" t="str">
        <f>IF(VLOOKUP(P665&amp;"_"&amp;Q665,活动关卡!$A$60:$Z$83,2+5*R665,FALSE)="","","Monster_Season3_Challenge"&amp;P665&amp;"_"&amp;Q665&amp;"_"&amp;R665)</f>
        <v/>
      </c>
      <c r="M665" s="57" t="str">
        <f t="shared" si="134"/>
        <v/>
      </c>
      <c r="O665" s="102" t="str">
        <f>VLOOKUP(P665&amp;"_"&amp;Q665,活动关卡!$A$4:$Z$27,6+5*MonsterWaveCallRuleCfg!R665,FALSE)</f>
        <v/>
      </c>
      <c r="P665" s="110">
        <v>3</v>
      </c>
      <c r="Q665" s="110">
        <f t="shared" si="136"/>
        <v>3</v>
      </c>
      <c r="R665" s="110">
        <v>4</v>
      </c>
    </row>
    <row r="666" spans="2:18" x14ac:dyDescent="0.2">
      <c r="B666" s="57" t="str">
        <f t="shared" si="137"/>
        <v>MonsterWaveCallRule_Season3_Challenge3</v>
      </c>
      <c r="C666" s="57">
        <v>4</v>
      </c>
      <c r="D666" s="57" t="str">
        <f t="shared" si="138"/>
        <v>赛季3关卡3第4波</v>
      </c>
      <c r="F666" s="57">
        <f t="shared" si="131"/>
        <v>0</v>
      </c>
      <c r="G666" s="102">
        <f t="shared" si="135"/>
        <v>180</v>
      </c>
      <c r="H666" s="57" t="e">
        <f t="shared" si="132"/>
        <v>#N/A</v>
      </c>
      <c r="I666" s="102" t="e">
        <f>VLOOKUP(P666&amp;"_"&amp;Q666,活动关卡!$A$60:$Z$83,3+5*MonsterWaveCallRuleCfg!R666,FALSE)</f>
        <v>#N/A</v>
      </c>
      <c r="J666" s="102" t="e">
        <f>VLOOKUP(P666&amp;"_"&amp;Q666,活动关卡!$A$60:$Z$83,4+5*MonsterWaveCallRuleCfg!R666,FALSE)</f>
        <v>#N/A</v>
      </c>
      <c r="K666" s="102" t="e">
        <f t="shared" si="133"/>
        <v>#N/A</v>
      </c>
      <c r="L666" s="102" t="e">
        <f>IF(VLOOKUP(P666&amp;"_"&amp;Q666,活动关卡!$A$60:$Z$83,2+5*R666,FALSE)="","","Monster_Season3_Challenge"&amp;P666&amp;"_"&amp;Q666&amp;"_"&amp;R666)</f>
        <v>#N/A</v>
      </c>
      <c r="M666" s="57" t="e">
        <f t="shared" si="134"/>
        <v>#N/A</v>
      </c>
      <c r="O666" s="102" t="e">
        <f>VLOOKUP(P666&amp;"_"&amp;Q666,活动关卡!$A$4:$Z$27,6+5*MonsterWaveCallRuleCfg!R666,FALSE)</f>
        <v>#N/A</v>
      </c>
      <c r="P666" s="110">
        <v>3</v>
      </c>
      <c r="Q666" s="110">
        <f t="shared" si="136"/>
        <v>4</v>
      </c>
      <c r="R666" s="110">
        <v>1</v>
      </c>
    </row>
    <row r="667" spans="2:18" x14ac:dyDescent="0.2">
      <c r="B667" s="57" t="str">
        <f t="shared" si="137"/>
        <v/>
      </c>
      <c r="D667" s="57" t="str">
        <f t="shared" si="138"/>
        <v/>
      </c>
      <c r="F667" s="57" t="str">
        <f t="shared" si="131"/>
        <v/>
      </c>
      <c r="G667" s="102" t="str">
        <f t="shared" si="135"/>
        <v/>
      </c>
      <c r="H667" s="57" t="e">
        <f t="shared" si="132"/>
        <v>#N/A</v>
      </c>
      <c r="I667" s="102" t="e">
        <f>VLOOKUP(P667&amp;"_"&amp;Q667,活动关卡!$A$60:$Z$83,3+5*MonsterWaveCallRuleCfg!R667,FALSE)</f>
        <v>#N/A</v>
      </c>
      <c r="J667" s="102" t="e">
        <f>VLOOKUP(P667&amp;"_"&amp;Q667,活动关卡!$A$60:$Z$83,4+5*MonsterWaveCallRuleCfg!R667,FALSE)</f>
        <v>#N/A</v>
      </c>
      <c r="K667" s="102" t="e">
        <f t="shared" si="133"/>
        <v>#N/A</v>
      </c>
      <c r="L667" s="102" t="e">
        <f>IF(VLOOKUP(P667&amp;"_"&amp;Q667,活动关卡!$A$60:$Z$83,2+5*R667,FALSE)="","","Monster_Season3_Challenge"&amp;P667&amp;"_"&amp;Q667&amp;"_"&amp;R667)</f>
        <v>#N/A</v>
      </c>
      <c r="M667" s="57" t="e">
        <f t="shared" si="134"/>
        <v>#N/A</v>
      </c>
      <c r="O667" s="102" t="e">
        <f>VLOOKUP(P667&amp;"_"&amp;Q667,活动关卡!$A$4:$Z$27,6+5*MonsterWaveCallRuleCfg!R667,FALSE)</f>
        <v>#N/A</v>
      </c>
      <c r="P667" s="110">
        <v>3</v>
      </c>
      <c r="Q667" s="110">
        <f t="shared" si="136"/>
        <v>4</v>
      </c>
      <c r="R667" s="110">
        <v>2</v>
      </c>
    </row>
    <row r="668" spans="2:18" x14ac:dyDescent="0.2">
      <c r="B668" s="57" t="str">
        <f t="shared" si="137"/>
        <v/>
      </c>
      <c r="D668" s="57" t="str">
        <f t="shared" si="138"/>
        <v/>
      </c>
      <c r="F668" s="57" t="str">
        <f t="shared" si="131"/>
        <v/>
      </c>
      <c r="G668" s="102" t="str">
        <f t="shared" si="135"/>
        <v/>
      </c>
      <c r="H668" s="57" t="e">
        <f t="shared" si="132"/>
        <v>#N/A</v>
      </c>
      <c r="I668" s="102" t="e">
        <f>VLOOKUP(P668&amp;"_"&amp;Q668,活动关卡!$A$60:$Z$83,3+5*MonsterWaveCallRuleCfg!R668,FALSE)</f>
        <v>#N/A</v>
      </c>
      <c r="J668" s="102" t="e">
        <f>VLOOKUP(P668&amp;"_"&amp;Q668,活动关卡!$A$60:$Z$83,4+5*MonsterWaveCallRuleCfg!R668,FALSE)</f>
        <v>#N/A</v>
      </c>
      <c r="K668" s="102" t="e">
        <f t="shared" si="133"/>
        <v>#N/A</v>
      </c>
      <c r="L668" s="102" t="e">
        <f>IF(VLOOKUP(P668&amp;"_"&amp;Q668,活动关卡!$A$60:$Z$83,2+5*R668,FALSE)="","","Monster_Season3_Challenge"&amp;P668&amp;"_"&amp;Q668&amp;"_"&amp;R668)</f>
        <v>#N/A</v>
      </c>
      <c r="M668" s="57" t="e">
        <f t="shared" si="134"/>
        <v>#N/A</v>
      </c>
      <c r="O668" s="102" t="e">
        <f>VLOOKUP(P668&amp;"_"&amp;Q668,活动关卡!$A$4:$Z$27,6+5*MonsterWaveCallRuleCfg!R668,FALSE)</f>
        <v>#N/A</v>
      </c>
      <c r="P668" s="110">
        <v>3</v>
      </c>
      <c r="Q668" s="110">
        <f t="shared" si="136"/>
        <v>4</v>
      </c>
      <c r="R668" s="110">
        <v>3</v>
      </c>
    </row>
    <row r="669" spans="2:18" x14ac:dyDescent="0.2">
      <c r="B669" s="57" t="str">
        <f t="shared" si="137"/>
        <v/>
      </c>
      <c r="D669" s="57" t="str">
        <f t="shared" si="138"/>
        <v/>
      </c>
      <c r="F669" s="57" t="str">
        <f t="shared" si="131"/>
        <v/>
      </c>
      <c r="G669" s="102" t="str">
        <f t="shared" si="135"/>
        <v/>
      </c>
      <c r="H669" s="57" t="e">
        <f t="shared" si="132"/>
        <v>#N/A</v>
      </c>
      <c r="I669" s="102" t="e">
        <f>VLOOKUP(P669&amp;"_"&amp;Q669,活动关卡!$A$60:$Z$83,3+5*MonsterWaveCallRuleCfg!R669,FALSE)</f>
        <v>#N/A</v>
      </c>
      <c r="J669" s="102" t="e">
        <f>VLOOKUP(P669&amp;"_"&amp;Q669,活动关卡!$A$60:$Z$83,4+5*MonsterWaveCallRuleCfg!R669,FALSE)</f>
        <v>#N/A</v>
      </c>
      <c r="K669" s="102" t="e">
        <f t="shared" si="133"/>
        <v>#N/A</v>
      </c>
      <c r="L669" s="102" t="e">
        <f>IF(VLOOKUP(P669&amp;"_"&amp;Q669,活动关卡!$A$60:$Z$83,2+5*R669,FALSE)="","","Monster_Season3_Challenge"&amp;P669&amp;"_"&amp;Q669&amp;"_"&amp;R669)</f>
        <v>#N/A</v>
      </c>
      <c r="M669" s="57" t="e">
        <f t="shared" si="134"/>
        <v>#N/A</v>
      </c>
      <c r="O669" s="102" t="e">
        <f>VLOOKUP(P669&amp;"_"&amp;Q669,活动关卡!$A$4:$Z$27,6+5*MonsterWaveCallRuleCfg!R669,FALSE)</f>
        <v>#N/A</v>
      </c>
      <c r="P669" s="110">
        <v>3</v>
      </c>
      <c r="Q669" s="110">
        <f t="shared" si="136"/>
        <v>4</v>
      </c>
      <c r="R669" s="110">
        <v>4</v>
      </c>
    </row>
    <row r="670" spans="2:18" x14ac:dyDescent="0.2">
      <c r="B670" s="57" t="str">
        <f t="shared" si="137"/>
        <v>MonsterWaveCallRule_Season3_Challenge3</v>
      </c>
      <c r="C670" s="57">
        <v>5</v>
      </c>
      <c r="D670" s="57" t="str">
        <f t="shared" si="138"/>
        <v>赛季3关卡3第5波</v>
      </c>
      <c r="F670" s="57">
        <f t="shared" si="131"/>
        <v>0</v>
      </c>
      <c r="G670" s="102">
        <f t="shared" si="135"/>
        <v>180</v>
      </c>
      <c r="H670" s="57" t="e">
        <f t="shared" si="132"/>
        <v>#N/A</v>
      </c>
      <c r="I670" s="102" t="e">
        <f>VLOOKUP(P670&amp;"_"&amp;Q670,活动关卡!$A$60:$Z$83,3+5*MonsterWaveCallRuleCfg!R670,FALSE)</f>
        <v>#N/A</v>
      </c>
      <c r="J670" s="102" t="e">
        <f>VLOOKUP(P670&amp;"_"&amp;Q670,活动关卡!$A$60:$Z$83,4+5*MonsterWaveCallRuleCfg!R670,FALSE)</f>
        <v>#N/A</v>
      </c>
      <c r="K670" s="102" t="e">
        <f t="shared" si="133"/>
        <v>#N/A</v>
      </c>
      <c r="L670" s="102" t="e">
        <f>IF(VLOOKUP(P670&amp;"_"&amp;Q670,活动关卡!$A$60:$Z$83,2+5*R670,FALSE)="","","Monster_Season3_Challenge"&amp;P670&amp;"_"&amp;Q670&amp;"_"&amp;R670)</f>
        <v>#N/A</v>
      </c>
      <c r="M670" s="57" t="e">
        <f t="shared" si="134"/>
        <v>#N/A</v>
      </c>
      <c r="O670" s="102" t="e">
        <f>VLOOKUP(P670&amp;"_"&amp;Q670,活动关卡!$A$4:$Z$27,6+5*MonsterWaveCallRuleCfg!R670,FALSE)</f>
        <v>#N/A</v>
      </c>
      <c r="P670" s="110">
        <v>3</v>
      </c>
      <c r="Q670" s="110">
        <f t="shared" si="136"/>
        <v>5</v>
      </c>
      <c r="R670" s="110">
        <v>1</v>
      </c>
    </row>
    <row r="671" spans="2:18" x14ac:dyDescent="0.2">
      <c r="B671" s="57" t="str">
        <f t="shared" si="137"/>
        <v/>
      </c>
      <c r="D671" s="57" t="str">
        <f t="shared" si="138"/>
        <v/>
      </c>
      <c r="F671" s="57" t="str">
        <f t="shared" si="131"/>
        <v/>
      </c>
      <c r="G671" s="102" t="str">
        <f t="shared" si="135"/>
        <v/>
      </c>
      <c r="H671" s="57" t="e">
        <f t="shared" si="132"/>
        <v>#N/A</v>
      </c>
      <c r="I671" s="102" t="e">
        <f>VLOOKUP(P671&amp;"_"&amp;Q671,活动关卡!$A$60:$Z$83,3+5*MonsterWaveCallRuleCfg!R671,FALSE)</f>
        <v>#N/A</v>
      </c>
      <c r="J671" s="102" t="e">
        <f>VLOOKUP(P671&amp;"_"&amp;Q671,活动关卡!$A$60:$Z$83,4+5*MonsterWaveCallRuleCfg!R671,FALSE)</f>
        <v>#N/A</v>
      </c>
      <c r="K671" s="102" t="e">
        <f t="shared" si="133"/>
        <v>#N/A</v>
      </c>
      <c r="L671" s="102" t="e">
        <f>IF(VLOOKUP(P671&amp;"_"&amp;Q671,活动关卡!$A$60:$Z$83,2+5*R671,FALSE)="","","Monster_Season3_Challenge"&amp;P671&amp;"_"&amp;Q671&amp;"_"&amp;R671)</f>
        <v>#N/A</v>
      </c>
      <c r="M671" s="57" t="e">
        <f t="shared" si="134"/>
        <v>#N/A</v>
      </c>
      <c r="O671" s="102" t="e">
        <f>VLOOKUP(P671&amp;"_"&amp;Q671,活动关卡!$A$4:$Z$27,6+5*MonsterWaveCallRuleCfg!R671,FALSE)</f>
        <v>#N/A</v>
      </c>
      <c r="P671" s="110">
        <v>3</v>
      </c>
      <c r="Q671" s="110">
        <f t="shared" si="136"/>
        <v>5</v>
      </c>
      <c r="R671" s="110">
        <v>2</v>
      </c>
    </row>
    <row r="672" spans="2:18" x14ac:dyDescent="0.2">
      <c r="B672" s="57" t="str">
        <f t="shared" si="137"/>
        <v/>
      </c>
      <c r="D672" s="57" t="str">
        <f t="shared" si="138"/>
        <v/>
      </c>
      <c r="F672" s="57" t="str">
        <f t="shared" si="131"/>
        <v/>
      </c>
      <c r="G672" s="102" t="str">
        <f t="shared" si="135"/>
        <v/>
      </c>
      <c r="H672" s="57" t="e">
        <f t="shared" si="132"/>
        <v>#N/A</v>
      </c>
      <c r="I672" s="102" t="e">
        <f>VLOOKUP(P672&amp;"_"&amp;Q672,活动关卡!$A$60:$Z$83,3+5*MonsterWaveCallRuleCfg!R672,FALSE)</f>
        <v>#N/A</v>
      </c>
      <c r="J672" s="102" t="e">
        <f>VLOOKUP(P672&amp;"_"&amp;Q672,活动关卡!$A$60:$Z$83,4+5*MonsterWaveCallRuleCfg!R672,FALSE)</f>
        <v>#N/A</v>
      </c>
      <c r="K672" s="102" t="e">
        <f t="shared" si="133"/>
        <v>#N/A</v>
      </c>
      <c r="L672" s="102" t="e">
        <f>IF(VLOOKUP(P672&amp;"_"&amp;Q672,活动关卡!$A$60:$Z$83,2+5*R672,FALSE)="","","Monster_Season3_Challenge"&amp;P672&amp;"_"&amp;Q672&amp;"_"&amp;R672)</f>
        <v>#N/A</v>
      </c>
      <c r="M672" s="57" t="e">
        <f t="shared" si="134"/>
        <v>#N/A</v>
      </c>
      <c r="O672" s="102" t="e">
        <f>VLOOKUP(P672&amp;"_"&amp;Q672,活动关卡!$A$4:$Z$27,6+5*MonsterWaveCallRuleCfg!R672,FALSE)</f>
        <v>#N/A</v>
      </c>
      <c r="P672" s="110">
        <v>3</v>
      </c>
      <c r="Q672" s="110">
        <f t="shared" si="136"/>
        <v>5</v>
      </c>
      <c r="R672" s="110">
        <v>3</v>
      </c>
    </row>
    <row r="673" spans="2:18" x14ac:dyDescent="0.2">
      <c r="B673" s="57" t="str">
        <f t="shared" si="137"/>
        <v/>
      </c>
      <c r="D673" s="57" t="str">
        <f t="shared" si="138"/>
        <v/>
      </c>
      <c r="F673" s="57" t="str">
        <f t="shared" si="131"/>
        <v/>
      </c>
      <c r="G673" s="102" t="str">
        <f t="shared" si="135"/>
        <v/>
      </c>
      <c r="H673" s="57" t="e">
        <f t="shared" si="132"/>
        <v>#N/A</v>
      </c>
      <c r="I673" s="102" t="e">
        <f>VLOOKUP(P673&amp;"_"&amp;Q673,活动关卡!$A$60:$Z$83,3+5*MonsterWaveCallRuleCfg!R673,FALSE)</f>
        <v>#N/A</v>
      </c>
      <c r="J673" s="102" t="e">
        <f>VLOOKUP(P673&amp;"_"&amp;Q673,活动关卡!$A$60:$Z$83,4+5*MonsterWaveCallRuleCfg!R673,FALSE)</f>
        <v>#N/A</v>
      </c>
      <c r="K673" s="102" t="e">
        <f t="shared" si="133"/>
        <v>#N/A</v>
      </c>
      <c r="L673" s="102" t="e">
        <f>IF(VLOOKUP(P673&amp;"_"&amp;Q673,活动关卡!$A$60:$Z$83,2+5*R673,FALSE)="","","Monster_Season3_Challenge"&amp;P673&amp;"_"&amp;Q673&amp;"_"&amp;R673)</f>
        <v>#N/A</v>
      </c>
      <c r="M673" s="57" t="e">
        <f t="shared" si="134"/>
        <v>#N/A</v>
      </c>
      <c r="O673" s="102" t="e">
        <f>VLOOKUP(P673&amp;"_"&amp;Q673,活动关卡!$A$4:$Z$27,6+5*MonsterWaveCallRuleCfg!R673,FALSE)</f>
        <v>#N/A</v>
      </c>
      <c r="P673" s="110">
        <v>3</v>
      </c>
      <c r="Q673" s="110">
        <f t="shared" si="136"/>
        <v>5</v>
      </c>
      <c r="R673" s="110">
        <v>4</v>
      </c>
    </row>
    <row r="674" spans="2:18" x14ac:dyDescent="0.2">
      <c r="B674" s="57" t="str">
        <f t="shared" si="137"/>
        <v>MonsterWaveCallRule_Season3_Challenge4</v>
      </c>
      <c r="C674" s="57">
        <v>1</v>
      </c>
      <c r="D674" s="57" t="str">
        <f t="shared" si="138"/>
        <v>赛季3关卡4第1波</v>
      </c>
      <c r="F674" s="57">
        <f t="shared" si="131"/>
        <v>0</v>
      </c>
      <c r="G674" s="102">
        <f t="shared" si="135"/>
        <v>180</v>
      </c>
      <c r="H674" s="57">
        <f t="shared" si="132"/>
        <v>0</v>
      </c>
      <c r="I674" s="102">
        <f>VLOOKUP(P674&amp;"_"&amp;Q674,活动关卡!$A$60:$Z$83,3+5*MonsterWaveCallRuleCfg!R674,FALSE)</f>
        <v>7</v>
      </c>
      <c r="J674" s="102">
        <f>VLOOKUP(P674&amp;"_"&amp;Q674,活动关卡!$A$60:$Z$83,4+5*MonsterWaveCallRuleCfg!R674,FALSE)</f>
        <v>1.5</v>
      </c>
      <c r="K674" s="102">
        <f t="shared" si="133"/>
        <v>1</v>
      </c>
      <c r="L674" s="102" t="str">
        <f>IF(VLOOKUP(P674&amp;"_"&amp;Q674,活动关卡!$A$60:$Z$83,2+5*R674,FALSE)="","","Monster_Season3_Challenge"&amp;P674&amp;"_"&amp;Q674&amp;"_"&amp;R674)</f>
        <v>Monster_Season3_Challenge4_1_1</v>
      </c>
      <c r="M674" s="57">
        <f t="shared" si="134"/>
        <v>1</v>
      </c>
      <c r="O674" s="102">
        <f>VLOOKUP(P674&amp;"_"&amp;Q674,活动关卡!$A$4:$Z$27,6+5*MonsterWaveCallRuleCfg!R674,FALSE)</f>
        <v>35</v>
      </c>
      <c r="P674" s="110">
        <v>4</v>
      </c>
      <c r="Q674" s="110">
        <f t="shared" si="136"/>
        <v>1</v>
      </c>
      <c r="R674" s="110">
        <v>1</v>
      </c>
    </row>
    <row r="675" spans="2:18" x14ac:dyDescent="0.2">
      <c r="B675" s="57" t="str">
        <f t="shared" si="137"/>
        <v/>
      </c>
      <c r="D675" s="57" t="str">
        <f t="shared" si="138"/>
        <v/>
      </c>
      <c r="F675" s="57" t="str">
        <f t="shared" si="131"/>
        <v/>
      </c>
      <c r="G675" s="102" t="str">
        <f t="shared" si="135"/>
        <v/>
      </c>
      <c r="H675" s="57">
        <f t="shared" si="132"/>
        <v>0</v>
      </c>
      <c r="I675" s="102">
        <f>VLOOKUP(P675&amp;"_"&amp;Q675,活动关卡!$A$60:$Z$83,3+5*MonsterWaveCallRuleCfg!R675,FALSE)</f>
        <v>5</v>
      </c>
      <c r="J675" s="102">
        <f>VLOOKUP(P675&amp;"_"&amp;Q675,活动关卡!$A$60:$Z$83,4+5*MonsterWaveCallRuleCfg!R675,FALSE)</f>
        <v>2</v>
      </c>
      <c r="K675" s="102">
        <f t="shared" si="133"/>
        <v>1</v>
      </c>
      <c r="L675" s="102" t="str">
        <f>IF(VLOOKUP(P675&amp;"_"&amp;Q675,活动关卡!$A$60:$Z$83,2+5*R675,FALSE)="","","Monster_Season3_Challenge"&amp;P675&amp;"_"&amp;Q675&amp;"_"&amp;R675)</f>
        <v>Monster_Season3_Challenge4_1_2</v>
      </c>
      <c r="M675" s="57">
        <f t="shared" si="134"/>
        <v>1</v>
      </c>
      <c r="O675" s="102">
        <f>VLOOKUP(P675&amp;"_"&amp;Q675,活动关卡!$A$4:$Z$27,6+5*MonsterWaveCallRuleCfg!R675,FALSE)</f>
        <v>71</v>
      </c>
      <c r="P675" s="110">
        <v>4</v>
      </c>
      <c r="Q675" s="110">
        <f t="shared" si="136"/>
        <v>1</v>
      </c>
      <c r="R675" s="110">
        <v>2</v>
      </c>
    </row>
    <row r="676" spans="2:18" x14ac:dyDescent="0.2">
      <c r="B676" s="57" t="str">
        <f t="shared" si="137"/>
        <v/>
      </c>
      <c r="D676" s="57" t="str">
        <f t="shared" si="138"/>
        <v/>
      </c>
      <c r="F676" s="57" t="str">
        <f t="shared" si="131"/>
        <v/>
      </c>
      <c r="G676" s="102" t="str">
        <f t="shared" si="135"/>
        <v/>
      </c>
      <c r="H676" s="57" t="str">
        <f t="shared" si="132"/>
        <v/>
      </c>
      <c r="I676" s="102" t="str">
        <f>VLOOKUP(P676&amp;"_"&amp;Q676,活动关卡!$A$60:$Z$83,3+5*MonsterWaveCallRuleCfg!R676,FALSE)</f>
        <v/>
      </c>
      <c r="J676" s="102" t="str">
        <f>VLOOKUP(P676&amp;"_"&amp;Q676,活动关卡!$A$60:$Z$83,4+5*MonsterWaveCallRuleCfg!R676,FALSE)</f>
        <v/>
      </c>
      <c r="K676" s="102" t="str">
        <f t="shared" si="133"/>
        <v/>
      </c>
      <c r="L676" s="102" t="str">
        <f>IF(VLOOKUP(P676&amp;"_"&amp;Q676,活动关卡!$A$60:$Z$83,2+5*R676,FALSE)="","","Monster_Season3_Challenge"&amp;P676&amp;"_"&amp;Q676&amp;"_"&amp;R676)</f>
        <v/>
      </c>
      <c r="M676" s="57" t="str">
        <f t="shared" si="134"/>
        <v/>
      </c>
      <c r="O676" s="102" t="str">
        <f>VLOOKUP(P676&amp;"_"&amp;Q676,活动关卡!$A$4:$Z$27,6+5*MonsterWaveCallRuleCfg!R676,FALSE)</f>
        <v/>
      </c>
      <c r="P676" s="110">
        <v>4</v>
      </c>
      <c r="Q676" s="110">
        <f t="shared" si="136"/>
        <v>1</v>
      </c>
      <c r="R676" s="110">
        <v>3</v>
      </c>
    </row>
    <row r="677" spans="2:18" x14ac:dyDescent="0.2">
      <c r="B677" s="57" t="str">
        <f t="shared" si="137"/>
        <v/>
      </c>
      <c r="D677" s="57" t="str">
        <f t="shared" si="138"/>
        <v/>
      </c>
      <c r="F677" s="57" t="str">
        <f t="shared" si="131"/>
        <v/>
      </c>
      <c r="G677" s="102" t="str">
        <f t="shared" si="135"/>
        <v/>
      </c>
      <c r="H677" s="57" t="str">
        <f t="shared" si="132"/>
        <v/>
      </c>
      <c r="I677" s="102" t="str">
        <f>VLOOKUP(P677&amp;"_"&amp;Q677,活动关卡!$A$60:$Z$83,3+5*MonsterWaveCallRuleCfg!R677,FALSE)</f>
        <v/>
      </c>
      <c r="J677" s="102" t="str">
        <f>VLOOKUP(P677&amp;"_"&amp;Q677,活动关卡!$A$60:$Z$83,4+5*MonsterWaveCallRuleCfg!R677,FALSE)</f>
        <v/>
      </c>
      <c r="K677" s="102" t="str">
        <f t="shared" si="133"/>
        <v/>
      </c>
      <c r="L677" s="102" t="str">
        <f>IF(VLOOKUP(P677&amp;"_"&amp;Q677,活动关卡!$A$60:$Z$83,2+5*R677,FALSE)="","","Monster_Season3_Challenge"&amp;P677&amp;"_"&amp;Q677&amp;"_"&amp;R677)</f>
        <v/>
      </c>
      <c r="M677" s="57" t="str">
        <f t="shared" si="134"/>
        <v/>
      </c>
      <c r="O677" s="102" t="str">
        <f>VLOOKUP(P677&amp;"_"&amp;Q677,活动关卡!$A$4:$Z$27,6+5*MonsterWaveCallRuleCfg!R677,FALSE)</f>
        <v/>
      </c>
      <c r="P677" s="110">
        <v>4</v>
      </c>
      <c r="Q677" s="110">
        <f t="shared" si="136"/>
        <v>1</v>
      </c>
      <c r="R677" s="110">
        <v>4</v>
      </c>
    </row>
    <row r="678" spans="2:18" x14ac:dyDescent="0.2">
      <c r="B678" s="57" t="str">
        <f t="shared" ref="B678:B709" si="139">IF(C678="","","MonsterWaveCallRule_Season3_Challenge"&amp;P678)</f>
        <v>MonsterWaveCallRule_Season3_Challenge4</v>
      </c>
      <c r="C678" s="57">
        <v>2</v>
      </c>
      <c r="D678" s="57" t="str">
        <f t="shared" ref="D678:D709" si="140">IF(C678="","","赛季3关卡"&amp;P678&amp;"第"&amp;C678&amp;"波")</f>
        <v>赛季3关卡4第2波</v>
      </c>
      <c r="F678" s="57">
        <f t="shared" ref="F678:F722" si="141">IF(C678="","",0)</f>
        <v>0</v>
      </c>
      <c r="G678" s="102">
        <f t="shared" si="135"/>
        <v>180</v>
      </c>
      <c r="H678" s="57">
        <f t="shared" ref="H678:H725" si="142">IF(I678="","",0)</f>
        <v>0</v>
      </c>
      <c r="I678" s="102">
        <f>VLOOKUP(P678&amp;"_"&amp;Q678,活动关卡!$A$60:$Z$83,3+5*MonsterWaveCallRuleCfg!R678,FALSE)</f>
        <v>8</v>
      </c>
      <c r="J678" s="102">
        <f>VLOOKUP(P678&amp;"_"&amp;Q678,活动关卡!$A$60:$Z$83,4+5*MonsterWaveCallRuleCfg!R678,FALSE)</f>
        <v>1.5</v>
      </c>
      <c r="K678" s="102">
        <f t="shared" ref="K678:K725" si="143">IF(I678="","",1)</f>
        <v>1</v>
      </c>
      <c r="L678" s="102" t="str">
        <f>IF(VLOOKUP(P678&amp;"_"&amp;Q678,活动关卡!$A$60:$Z$83,2+5*R678,FALSE)="","","Monster_Season3_Challenge"&amp;P678&amp;"_"&amp;Q678&amp;"_"&amp;R678)</f>
        <v>Monster_Season3_Challenge4_2_1</v>
      </c>
      <c r="M678" s="57">
        <f t="shared" ref="M678:M725" si="144">IF(I678="","",1)</f>
        <v>1</v>
      </c>
      <c r="O678" s="102">
        <f>VLOOKUP(P678&amp;"_"&amp;Q678,活动关卡!$A$4:$Z$27,6+5*MonsterWaveCallRuleCfg!R678,FALSE)</f>
        <v>9</v>
      </c>
      <c r="P678" s="110">
        <v>4</v>
      </c>
      <c r="Q678" s="110">
        <f t="shared" si="136"/>
        <v>2</v>
      </c>
      <c r="R678" s="110">
        <v>1</v>
      </c>
    </row>
    <row r="679" spans="2:18" x14ac:dyDescent="0.2">
      <c r="B679" s="57" t="str">
        <f t="shared" si="139"/>
        <v/>
      </c>
      <c r="D679" s="57" t="str">
        <f t="shared" si="140"/>
        <v/>
      </c>
      <c r="F679" s="57" t="str">
        <f t="shared" si="141"/>
        <v/>
      </c>
      <c r="G679" s="102" t="str">
        <f t="shared" ref="G679:G693" si="145">IF(C679="","",180)</f>
        <v/>
      </c>
      <c r="H679" s="57">
        <f t="shared" si="142"/>
        <v>0</v>
      </c>
      <c r="I679" s="102">
        <f>VLOOKUP(P679&amp;"_"&amp;Q679,活动关卡!$A$60:$Z$83,3+5*MonsterWaveCallRuleCfg!R679,FALSE)</f>
        <v>25</v>
      </c>
      <c r="J679" s="102">
        <f>VLOOKUP(P679&amp;"_"&amp;Q679,活动关卡!$A$60:$Z$83,4+5*MonsterWaveCallRuleCfg!R679,FALSE)</f>
        <v>0.5</v>
      </c>
      <c r="K679" s="102">
        <f t="shared" si="143"/>
        <v>1</v>
      </c>
      <c r="L679" s="102" t="str">
        <f>IF(VLOOKUP(P679&amp;"_"&amp;Q679,活动关卡!$A$60:$Z$83,2+5*R679,FALSE)="","","Monster_Season3_Challenge"&amp;P679&amp;"_"&amp;Q679&amp;"_"&amp;R679)</f>
        <v>Monster_Season3_Challenge4_2_2</v>
      </c>
      <c r="M679" s="57">
        <f t="shared" si="144"/>
        <v>1</v>
      </c>
      <c r="O679" s="102">
        <f>VLOOKUP(P679&amp;"_"&amp;Q679,活动关卡!$A$4:$Z$27,6+5*MonsterWaveCallRuleCfg!R679,FALSE)</f>
        <v>17</v>
      </c>
      <c r="P679" s="110">
        <v>4</v>
      </c>
      <c r="Q679" s="110">
        <f t="shared" si="136"/>
        <v>2</v>
      </c>
      <c r="R679" s="110">
        <v>2</v>
      </c>
    </row>
    <row r="680" spans="2:18" x14ac:dyDescent="0.2">
      <c r="B680" s="57" t="str">
        <f t="shared" si="139"/>
        <v/>
      </c>
      <c r="D680" s="57" t="str">
        <f t="shared" si="140"/>
        <v/>
      </c>
      <c r="F680" s="57" t="str">
        <f t="shared" si="141"/>
        <v/>
      </c>
      <c r="G680" s="102" t="str">
        <f t="shared" si="145"/>
        <v/>
      </c>
      <c r="H680" s="57">
        <f t="shared" si="142"/>
        <v>0</v>
      </c>
      <c r="I680" s="102">
        <f>VLOOKUP(P680&amp;"_"&amp;Q680,活动关卡!$A$60:$Z$83,3+5*MonsterWaveCallRuleCfg!R680,FALSE)</f>
        <v>6</v>
      </c>
      <c r="J680" s="102">
        <f>VLOOKUP(P680&amp;"_"&amp;Q680,活动关卡!$A$60:$Z$83,4+5*MonsterWaveCallRuleCfg!R680,FALSE)</f>
        <v>2</v>
      </c>
      <c r="K680" s="102">
        <f t="shared" si="143"/>
        <v>1</v>
      </c>
      <c r="L680" s="102" t="str">
        <f>IF(VLOOKUP(P680&amp;"_"&amp;Q680,活动关卡!$A$60:$Z$83,2+5*R680,FALSE)="","","Monster_Season3_Challenge"&amp;P680&amp;"_"&amp;Q680&amp;"_"&amp;R680)</f>
        <v>Monster_Season3_Challenge4_2_3</v>
      </c>
      <c r="M680" s="57">
        <f t="shared" si="144"/>
        <v>1</v>
      </c>
      <c r="O680" s="102">
        <f>VLOOKUP(P680&amp;"_"&amp;Q680,活动关卡!$A$4:$Z$27,6+5*MonsterWaveCallRuleCfg!R680,FALSE)</f>
        <v>17</v>
      </c>
      <c r="P680" s="110">
        <v>4</v>
      </c>
      <c r="Q680" s="110">
        <f t="shared" ref="Q680:Q725" si="146">IF(C680="",Q679,C680)</f>
        <v>2</v>
      </c>
      <c r="R680" s="110">
        <v>3</v>
      </c>
    </row>
    <row r="681" spans="2:18" x14ac:dyDescent="0.2">
      <c r="B681" s="57" t="str">
        <f t="shared" si="139"/>
        <v/>
      </c>
      <c r="D681" s="57" t="str">
        <f t="shared" si="140"/>
        <v/>
      </c>
      <c r="F681" s="57" t="str">
        <f t="shared" si="141"/>
        <v/>
      </c>
      <c r="G681" s="102" t="str">
        <f t="shared" si="145"/>
        <v/>
      </c>
      <c r="H681" s="57" t="str">
        <f t="shared" si="142"/>
        <v/>
      </c>
      <c r="I681" s="102" t="str">
        <f>VLOOKUP(P681&amp;"_"&amp;Q681,活动关卡!$A$60:$Z$83,3+5*MonsterWaveCallRuleCfg!R681,FALSE)</f>
        <v/>
      </c>
      <c r="J681" s="102" t="str">
        <f>VLOOKUP(P681&amp;"_"&amp;Q681,活动关卡!$A$60:$Z$83,4+5*MonsterWaveCallRuleCfg!R681,FALSE)</f>
        <v/>
      </c>
      <c r="K681" s="102" t="str">
        <f t="shared" si="143"/>
        <v/>
      </c>
      <c r="L681" s="102" t="str">
        <f>IF(VLOOKUP(P681&amp;"_"&amp;Q681,活动关卡!$A$60:$Z$83,2+5*R681,FALSE)="","","Monster_Season3_Challenge"&amp;P681&amp;"_"&amp;Q681&amp;"_"&amp;R681)</f>
        <v/>
      </c>
      <c r="M681" s="57" t="str">
        <f t="shared" si="144"/>
        <v/>
      </c>
      <c r="O681" s="102" t="str">
        <f>VLOOKUP(P681&amp;"_"&amp;Q681,活动关卡!$A$4:$Z$27,6+5*MonsterWaveCallRuleCfg!R681,FALSE)</f>
        <v/>
      </c>
      <c r="P681" s="110">
        <v>4</v>
      </c>
      <c r="Q681" s="110">
        <f t="shared" si="146"/>
        <v>2</v>
      </c>
      <c r="R681" s="110">
        <v>4</v>
      </c>
    </row>
    <row r="682" spans="2:18" x14ac:dyDescent="0.2">
      <c r="B682" s="57" t="str">
        <f t="shared" si="139"/>
        <v>MonsterWaveCallRule_Season3_Challenge4</v>
      </c>
      <c r="C682" s="57">
        <v>3</v>
      </c>
      <c r="D682" s="57" t="str">
        <f t="shared" si="140"/>
        <v>赛季3关卡4第3波</v>
      </c>
      <c r="F682" s="57">
        <f t="shared" si="141"/>
        <v>0</v>
      </c>
      <c r="G682" s="102">
        <f t="shared" si="145"/>
        <v>180</v>
      </c>
      <c r="H682" s="57">
        <f t="shared" si="142"/>
        <v>0</v>
      </c>
      <c r="I682" s="102">
        <f>VLOOKUP(P682&amp;"_"&amp;Q682,活动关卡!$A$60:$Z$83,3+5*MonsterWaveCallRuleCfg!R682,FALSE)</f>
        <v>10</v>
      </c>
      <c r="J682" s="102">
        <f>VLOOKUP(P682&amp;"_"&amp;Q682,活动关卡!$A$60:$Z$83,4+5*MonsterWaveCallRuleCfg!R682,FALSE)</f>
        <v>1.5</v>
      </c>
      <c r="K682" s="102">
        <f t="shared" si="143"/>
        <v>1</v>
      </c>
      <c r="L682" s="102" t="str">
        <f>IF(VLOOKUP(P682&amp;"_"&amp;Q682,活动关卡!$A$60:$Z$83,2+5*R682,FALSE)="","","Monster_Season3_Challenge"&amp;P682&amp;"_"&amp;Q682&amp;"_"&amp;R682)</f>
        <v>Monster_Season3_Challenge4_3_1</v>
      </c>
      <c r="M682" s="57">
        <f t="shared" si="144"/>
        <v>1</v>
      </c>
      <c r="O682" s="102">
        <f>VLOOKUP(P682&amp;"_"&amp;Q682,活动关卡!$A$4:$Z$27,6+5*MonsterWaveCallRuleCfg!R682,FALSE)</f>
        <v>9</v>
      </c>
      <c r="P682" s="110">
        <v>4</v>
      </c>
      <c r="Q682" s="110">
        <f t="shared" si="146"/>
        <v>3</v>
      </c>
      <c r="R682" s="110">
        <v>1</v>
      </c>
    </row>
    <row r="683" spans="2:18" x14ac:dyDescent="0.2">
      <c r="B683" s="57" t="str">
        <f t="shared" si="139"/>
        <v/>
      </c>
      <c r="D683" s="57" t="str">
        <f t="shared" si="140"/>
        <v/>
      </c>
      <c r="F683" s="57" t="str">
        <f t="shared" si="141"/>
        <v/>
      </c>
      <c r="G683" s="102" t="str">
        <f t="shared" si="145"/>
        <v/>
      </c>
      <c r="H683" s="57">
        <f t="shared" si="142"/>
        <v>0</v>
      </c>
      <c r="I683" s="102">
        <f>VLOOKUP(P683&amp;"_"&amp;Q683,活动关卡!$A$60:$Z$83,3+5*MonsterWaveCallRuleCfg!R683,FALSE)</f>
        <v>75</v>
      </c>
      <c r="J683" s="102">
        <f>VLOOKUP(P683&amp;"_"&amp;Q683,活动关卡!$A$60:$Z$83,4+5*MonsterWaveCallRuleCfg!R683,FALSE)</f>
        <v>0.2</v>
      </c>
      <c r="K683" s="102">
        <f t="shared" si="143"/>
        <v>1</v>
      </c>
      <c r="L683" s="102" t="str">
        <f>IF(VLOOKUP(P683&amp;"_"&amp;Q683,活动关卡!$A$60:$Z$83,2+5*R683,FALSE)="","","Monster_Season3_Challenge"&amp;P683&amp;"_"&amp;Q683&amp;"_"&amp;R683)</f>
        <v>Monster_Season3_Challenge4_3_2</v>
      </c>
      <c r="M683" s="57">
        <f t="shared" si="144"/>
        <v>1</v>
      </c>
      <c r="O683" s="102">
        <f>VLOOKUP(P683&amp;"_"&amp;Q683,活动关卡!$A$4:$Z$27,6+5*MonsterWaveCallRuleCfg!R683,FALSE)</f>
        <v>5</v>
      </c>
      <c r="P683" s="110">
        <v>4</v>
      </c>
      <c r="Q683" s="110">
        <f t="shared" si="146"/>
        <v>3</v>
      </c>
      <c r="R683" s="110">
        <v>2</v>
      </c>
    </row>
    <row r="684" spans="2:18" x14ac:dyDescent="0.2">
      <c r="B684" s="57" t="str">
        <f t="shared" si="139"/>
        <v/>
      </c>
      <c r="D684" s="57" t="str">
        <f t="shared" si="140"/>
        <v/>
      </c>
      <c r="F684" s="57" t="str">
        <f t="shared" si="141"/>
        <v/>
      </c>
      <c r="G684" s="102" t="str">
        <f t="shared" si="145"/>
        <v/>
      </c>
      <c r="H684" s="57">
        <f t="shared" si="142"/>
        <v>0</v>
      </c>
      <c r="I684" s="102">
        <f>VLOOKUP(P684&amp;"_"&amp;Q684,活动关卡!$A$60:$Z$83,3+5*MonsterWaveCallRuleCfg!R684,FALSE)</f>
        <v>8</v>
      </c>
      <c r="J684" s="102">
        <f>VLOOKUP(P684&amp;"_"&amp;Q684,活动关卡!$A$60:$Z$83,4+5*MonsterWaveCallRuleCfg!R684,FALSE)</f>
        <v>2</v>
      </c>
      <c r="K684" s="102">
        <f t="shared" si="143"/>
        <v>1</v>
      </c>
      <c r="L684" s="102" t="str">
        <f>IF(VLOOKUP(P684&amp;"_"&amp;Q684,活动关卡!$A$60:$Z$83,2+5*R684,FALSE)="","","Monster_Season3_Challenge"&amp;P684&amp;"_"&amp;Q684&amp;"_"&amp;R684)</f>
        <v>Monster_Season3_Challenge4_3_3</v>
      </c>
      <c r="M684" s="57">
        <f t="shared" si="144"/>
        <v>1</v>
      </c>
      <c r="O684" s="102">
        <f>VLOOKUP(P684&amp;"_"&amp;Q684,活动关卡!$A$4:$Z$27,6+5*MonsterWaveCallRuleCfg!R684,FALSE)</f>
        <v>19</v>
      </c>
      <c r="P684" s="110">
        <v>4</v>
      </c>
      <c r="Q684" s="110">
        <f t="shared" si="146"/>
        <v>3</v>
      </c>
      <c r="R684" s="110">
        <v>3</v>
      </c>
    </row>
    <row r="685" spans="2:18" x14ac:dyDescent="0.2">
      <c r="B685" s="57" t="str">
        <f t="shared" si="139"/>
        <v/>
      </c>
      <c r="D685" s="57" t="str">
        <f t="shared" si="140"/>
        <v/>
      </c>
      <c r="F685" s="57" t="str">
        <f t="shared" si="141"/>
        <v/>
      </c>
      <c r="G685" s="102" t="str">
        <f t="shared" si="145"/>
        <v/>
      </c>
      <c r="H685" s="57" t="str">
        <f t="shared" si="142"/>
        <v/>
      </c>
      <c r="I685" s="102" t="str">
        <f>VLOOKUP(P685&amp;"_"&amp;Q685,活动关卡!$A$60:$Z$83,3+5*MonsterWaveCallRuleCfg!R685,FALSE)</f>
        <v/>
      </c>
      <c r="J685" s="102" t="str">
        <f>VLOOKUP(P685&amp;"_"&amp;Q685,活动关卡!$A$60:$Z$83,4+5*MonsterWaveCallRuleCfg!R685,FALSE)</f>
        <v/>
      </c>
      <c r="K685" s="102" t="str">
        <f t="shared" si="143"/>
        <v/>
      </c>
      <c r="L685" s="102" t="str">
        <f>IF(VLOOKUP(P685&amp;"_"&amp;Q685,活动关卡!$A$60:$Z$83,2+5*R685,FALSE)="","","Monster_Season3_Challenge"&amp;P685&amp;"_"&amp;Q685&amp;"_"&amp;R685)</f>
        <v/>
      </c>
      <c r="M685" s="57" t="str">
        <f t="shared" si="144"/>
        <v/>
      </c>
      <c r="O685" s="102" t="str">
        <f>VLOOKUP(P685&amp;"_"&amp;Q685,活动关卡!$A$4:$Z$27,6+5*MonsterWaveCallRuleCfg!R685,FALSE)</f>
        <v/>
      </c>
      <c r="P685" s="110">
        <v>4</v>
      </c>
      <c r="Q685" s="110">
        <f t="shared" si="146"/>
        <v>3</v>
      </c>
      <c r="R685" s="110">
        <v>4</v>
      </c>
    </row>
    <row r="686" spans="2:18" x14ac:dyDescent="0.2">
      <c r="B686" s="57" t="str">
        <f t="shared" si="139"/>
        <v>MonsterWaveCallRule_Season3_Challenge4</v>
      </c>
      <c r="C686" s="57">
        <v>4</v>
      </c>
      <c r="D686" s="57" t="str">
        <f t="shared" si="140"/>
        <v>赛季3关卡4第4波</v>
      </c>
      <c r="F686" s="57">
        <f t="shared" si="141"/>
        <v>0</v>
      </c>
      <c r="G686" s="102">
        <f t="shared" si="145"/>
        <v>180</v>
      </c>
      <c r="H686" s="57">
        <f t="shared" si="142"/>
        <v>0</v>
      </c>
      <c r="I686" s="102">
        <f>VLOOKUP(P686&amp;"_"&amp;Q686,活动关卡!$A$60:$Z$83,3+5*MonsterWaveCallRuleCfg!R686,FALSE)</f>
        <v>12</v>
      </c>
      <c r="J686" s="102">
        <f>VLOOKUP(P686&amp;"_"&amp;Q686,活动关卡!$A$60:$Z$83,4+5*MonsterWaveCallRuleCfg!R686,FALSE)</f>
        <v>1.5</v>
      </c>
      <c r="K686" s="102">
        <f t="shared" si="143"/>
        <v>1</v>
      </c>
      <c r="L686" s="102" t="str">
        <f>IF(VLOOKUP(P686&amp;"_"&amp;Q686,活动关卡!$A$60:$Z$83,2+5*R686,FALSE)="","","Monster_Season3_Challenge"&amp;P686&amp;"_"&amp;Q686&amp;"_"&amp;R686)</f>
        <v>Monster_Season3_Challenge4_4_1</v>
      </c>
      <c r="M686" s="57">
        <f t="shared" si="144"/>
        <v>1</v>
      </c>
      <c r="O686" s="102">
        <f>VLOOKUP(P686&amp;"_"&amp;Q686,活动关卡!$A$4:$Z$27,6+5*MonsterWaveCallRuleCfg!R686,FALSE)</f>
        <v>7</v>
      </c>
      <c r="P686" s="110">
        <v>4</v>
      </c>
      <c r="Q686" s="110">
        <f t="shared" si="146"/>
        <v>4</v>
      </c>
      <c r="R686" s="110">
        <v>1</v>
      </c>
    </row>
    <row r="687" spans="2:18" x14ac:dyDescent="0.2">
      <c r="B687" s="57" t="str">
        <f t="shared" si="139"/>
        <v/>
      </c>
      <c r="D687" s="57" t="str">
        <f t="shared" si="140"/>
        <v/>
      </c>
      <c r="F687" s="57" t="str">
        <f t="shared" si="141"/>
        <v/>
      </c>
      <c r="G687" s="102" t="str">
        <f t="shared" si="145"/>
        <v/>
      </c>
      <c r="H687" s="57">
        <f t="shared" si="142"/>
        <v>0</v>
      </c>
      <c r="I687" s="102">
        <f>VLOOKUP(P687&amp;"_"&amp;Q687,活动关卡!$A$60:$Z$83,3+5*MonsterWaveCallRuleCfg!R687,FALSE)</f>
        <v>44</v>
      </c>
      <c r="J687" s="102">
        <f>VLOOKUP(P687&amp;"_"&amp;Q687,活动关卡!$A$60:$Z$83,4+5*MonsterWaveCallRuleCfg!R687,FALSE)</f>
        <v>0.4</v>
      </c>
      <c r="K687" s="102">
        <f t="shared" si="143"/>
        <v>1</v>
      </c>
      <c r="L687" s="102" t="str">
        <f>IF(VLOOKUP(P687&amp;"_"&amp;Q687,活动关卡!$A$60:$Z$83,2+5*R687,FALSE)="","","Monster_Season3_Challenge"&amp;P687&amp;"_"&amp;Q687&amp;"_"&amp;R687)</f>
        <v>Monster_Season3_Challenge4_4_2</v>
      </c>
      <c r="M687" s="57">
        <f t="shared" si="144"/>
        <v>1</v>
      </c>
      <c r="O687" s="102">
        <f>VLOOKUP(P687&amp;"_"&amp;Q687,活动关卡!$A$4:$Z$27,6+5*MonsterWaveCallRuleCfg!R687,FALSE)</f>
        <v>7</v>
      </c>
      <c r="P687" s="110">
        <v>4</v>
      </c>
      <c r="Q687" s="110">
        <f t="shared" si="146"/>
        <v>4</v>
      </c>
      <c r="R687" s="110">
        <v>2</v>
      </c>
    </row>
    <row r="688" spans="2:18" x14ac:dyDescent="0.2">
      <c r="B688" s="57" t="str">
        <f t="shared" si="139"/>
        <v/>
      </c>
      <c r="D688" s="57" t="str">
        <f t="shared" si="140"/>
        <v/>
      </c>
      <c r="F688" s="57" t="str">
        <f t="shared" si="141"/>
        <v/>
      </c>
      <c r="G688" s="102" t="str">
        <f t="shared" si="145"/>
        <v/>
      </c>
      <c r="H688" s="57">
        <f t="shared" si="142"/>
        <v>0</v>
      </c>
      <c r="I688" s="102">
        <f>VLOOKUP(P688&amp;"_"&amp;Q688,活动关卡!$A$60:$Z$83,3+5*MonsterWaveCallRuleCfg!R688,FALSE)</f>
        <v>18</v>
      </c>
      <c r="J688" s="102">
        <f>VLOOKUP(P688&amp;"_"&amp;Q688,活动关卡!$A$60:$Z$83,4+5*MonsterWaveCallRuleCfg!R688,FALSE)</f>
        <v>1</v>
      </c>
      <c r="K688" s="102">
        <f t="shared" si="143"/>
        <v>1</v>
      </c>
      <c r="L688" s="102" t="str">
        <f>IF(VLOOKUP(P688&amp;"_"&amp;Q688,活动关卡!$A$60:$Z$83,2+5*R688,FALSE)="","","Monster_Season3_Challenge"&amp;P688&amp;"_"&amp;Q688&amp;"_"&amp;R688)</f>
        <v>Monster_Season3_Challenge4_4_3</v>
      </c>
      <c r="M688" s="57">
        <f t="shared" si="144"/>
        <v>1</v>
      </c>
      <c r="O688" s="102">
        <f>VLOOKUP(P688&amp;"_"&amp;Q688,活动关卡!$A$4:$Z$27,6+5*MonsterWaveCallRuleCfg!R688,FALSE)</f>
        <v>13</v>
      </c>
      <c r="P688" s="110">
        <v>4</v>
      </c>
      <c r="Q688" s="110">
        <f t="shared" si="146"/>
        <v>4</v>
      </c>
      <c r="R688" s="110">
        <v>3</v>
      </c>
    </row>
    <row r="689" spans="2:18" x14ac:dyDescent="0.2">
      <c r="B689" s="57" t="str">
        <f t="shared" si="139"/>
        <v/>
      </c>
      <c r="D689" s="57" t="str">
        <f t="shared" si="140"/>
        <v/>
      </c>
      <c r="F689" s="57" t="str">
        <f t="shared" si="141"/>
        <v/>
      </c>
      <c r="G689" s="102" t="str">
        <f t="shared" si="145"/>
        <v/>
      </c>
      <c r="H689" s="57" t="str">
        <f t="shared" si="142"/>
        <v/>
      </c>
      <c r="I689" s="102" t="str">
        <f>VLOOKUP(P689&amp;"_"&amp;Q689,活动关卡!$A$60:$Z$83,3+5*MonsterWaveCallRuleCfg!R689,FALSE)</f>
        <v/>
      </c>
      <c r="J689" s="102" t="str">
        <f>VLOOKUP(P689&amp;"_"&amp;Q689,活动关卡!$A$60:$Z$83,4+5*MonsterWaveCallRuleCfg!R689,FALSE)</f>
        <v/>
      </c>
      <c r="K689" s="102" t="str">
        <f t="shared" si="143"/>
        <v/>
      </c>
      <c r="L689" s="102" t="str">
        <f>IF(VLOOKUP(P689&amp;"_"&amp;Q689,活动关卡!$A$60:$Z$83,2+5*R689,FALSE)="","","Monster_Season3_Challenge"&amp;P689&amp;"_"&amp;Q689&amp;"_"&amp;R689)</f>
        <v/>
      </c>
      <c r="M689" s="57" t="str">
        <f t="shared" si="144"/>
        <v/>
      </c>
      <c r="O689" s="102" t="str">
        <f>VLOOKUP(P689&amp;"_"&amp;Q689,活动关卡!$A$4:$Z$27,6+5*MonsterWaveCallRuleCfg!R689,FALSE)</f>
        <v/>
      </c>
      <c r="P689" s="110">
        <v>4</v>
      </c>
      <c r="Q689" s="110">
        <f t="shared" si="146"/>
        <v>4</v>
      </c>
      <c r="R689" s="110">
        <v>4</v>
      </c>
    </row>
    <row r="690" spans="2:18" x14ac:dyDescent="0.2">
      <c r="B690" s="57" t="str">
        <f t="shared" si="139"/>
        <v>MonsterWaveCallRule_Season3_Challenge4</v>
      </c>
      <c r="C690" s="57">
        <v>5</v>
      </c>
      <c r="D690" s="57" t="str">
        <f t="shared" si="140"/>
        <v>赛季3关卡4第5波</v>
      </c>
      <c r="F690" s="57">
        <f t="shared" si="141"/>
        <v>0</v>
      </c>
      <c r="G690" s="102">
        <f t="shared" si="145"/>
        <v>180</v>
      </c>
      <c r="H690" s="57">
        <f t="shared" si="142"/>
        <v>0</v>
      </c>
      <c r="I690" s="102">
        <f>VLOOKUP(P690&amp;"_"&amp;Q690,活动关卡!$A$60:$Z$83,3+5*MonsterWaveCallRuleCfg!R690,FALSE)</f>
        <v>40</v>
      </c>
      <c r="J690" s="102">
        <f>VLOOKUP(P690&amp;"_"&amp;Q690,活动关卡!$A$60:$Z$83,4+5*MonsterWaveCallRuleCfg!R690,FALSE)</f>
        <v>0.5</v>
      </c>
      <c r="K690" s="102">
        <f t="shared" si="143"/>
        <v>1</v>
      </c>
      <c r="L690" s="102" t="str">
        <f>IF(VLOOKUP(P690&amp;"_"&amp;Q690,活动关卡!$A$60:$Z$83,2+5*R690,FALSE)="","","Monster_Season3_Challenge"&amp;P690&amp;"_"&amp;Q690&amp;"_"&amp;R690)</f>
        <v>Monster_Season3_Challenge4_5_1</v>
      </c>
      <c r="M690" s="57">
        <f t="shared" si="144"/>
        <v>1</v>
      </c>
      <c r="O690" s="102">
        <f>VLOOKUP(P690&amp;"_"&amp;Q690,活动关卡!$A$4:$Z$27,6+5*MonsterWaveCallRuleCfg!R690,FALSE)</f>
        <v>6</v>
      </c>
      <c r="P690" s="110">
        <v>4</v>
      </c>
      <c r="Q690" s="110">
        <f t="shared" si="146"/>
        <v>5</v>
      </c>
      <c r="R690" s="110">
        <v>1</v>
      </c>
    </row>
    <row r="691" spans="2:18" x14ac:dyDescent="0.2">
      <c r="B691" s="57" t="str">
        <f t="shared" si="139"/>
        <v/>
      </c>
      <c r="D691" s="57" t="str">
        <f t="shared" si="140"/>
        <v/>
      </c>
      <c r="F691" s="57" t="str">
        <f t="shared" si="141"/>
        <v/>
      </c>
      <c r="G691" s="102" t="str">
        <f t="shared" si="145"/>
        <v/>
      </c>
      <c r="H691" s="57">
        <f t="shared" si="142"/>
        <v>0</v>
      </c>
      <c r="I691" s="102">
        <f>VLOOKUP(P691&amp;"_"&amp;Q691,活动关卡!$A$60:$Z$83,3+5*MonsterWaveCallRuleCfg!R691,FALSE)</f>
        <v>10</v>
      </c>
      <c r="J691" s="102">
        <f>VLOOKUP(P691&amp;"_"&amp;Q691,活动关卡!$A$60:$Z$83,4+5*MonsterWaveCallRuleCfg!R691,FALSE)</f>
        <v>2</v>
      </c>
      <c r="K691" s="102">
        <f t="shared" si="143"/>
        <v>1</v>
      </c>
      <c r="L691" s="102" t="str">
        <f>IF(VLOOKUP(P691&amp;"_"&amp;Q691,活动关卡!$A$60:$Z$83,2+5*R691,FALSE)="","","Monster_Season3_Challenge"&amp;P691&amp;"_"&amp;Q691&amp;"_"&amp;R691)</f>
        <v>Monster_Season3_Challenge4_5_2</v>
      </c>
      <c r="M691" s="57">
        <f t="shared" si="144"/>
        <v>1</v>
      </c>
      <c r="O691" s="102">
        <f>VLOOKUP(P691&amp;"_"&amp;Q691,活动关卡!$A$4:$Z$27,6+5*MonsterWaveCallRuleCfg!R691,FALSE)</f>
        <v>12</v>
      </c>
      <c r="P691" s="110">
        <v>4</v>
      </c>
      <c r="Q691" s="110">
        <f t="shared" si="146"/>
        <v>5</v>
      </c>
      <c r="R691" s="110">
        <v>2</v>
      </c>
    </row>
    <row r="692" spans="2:18" x14ac:dyDescent="0.2">
      <c r="B692" s="57" t="str">
        <f t="shared" si="139"/>
        <v/>
      </c>
      <c r="D692" s="57" t="str">
        <f t="shared" si="140"/>
        <v/>
      </c>
      <c r="F692" s="57" t="str">
        <f t="shared" si="141"/>
        <v/>
      </c>
      <c r="G692" s="102" t="str">
        <f t="shared" si="145"/>
        <v/>
      </c>
      <c r="H692" s="57">
        <f t="shared" si="142"/>
        <v>0</v>
      </c>
      <c r="I692" s="102">
        <f>VLOOKUP(P692&amp;"_"&amp;Q692,活动关卡!$A$60:$Z$83,3+5*MonsterWaveCallRuleCfg!R692,FALSE)</f>
        <v>20</v>
      </c>
      <c r="J692" s="102">
        <f>VLOOKUP(P692&amp;"_"&amp;Q692,活动关卡!$A$60:$Z$83,4+5*MonsterWaveCallRuleCfg!R692,FALSE)</f>
        <v>1</v>
      </c>
      <c r="K692" s="102">
        <f t="shared" si="143"/>
        <v>1</v>
      </c>
      <c r="L692" s="102" t="str">
        <f>IF(VLOOKUP(P692&amp;"_"&amp;Q692,活动关卡!$A$60:$Z$83,2+5*R692,FALSE)="","","Monster_Season3_Challenge"&amp;P692&amp;"_"&amp;Q692&amp;"_"&amp;R692)</f>
        <v>Monster_Season3_Challenge4_5_3</v>
      </c>
      <c r="M692" s="57">
        <f t="shared" si="144"/>
        <v>1</v>
      </c>
      <c r="O692" s="102">
        <f>VLOOKUP(P692&amp;"_"&amp;Q692,活动关卡!$A$4:$Z$27,6+5*MonsterWaveCallRuleCfg!R692,FALSE)</f>
        <v>12</v>
      </c>
      <c r="P692" s="110">
        <v>4</v>
      </c>
      <c r="Q692" s="110">
        <f t="shared" si="146"/>
        <v>5</v>
      </c>
      <c r="R692" s="110">
        <v>3</v>
      </c>
    </row>
    <row r="693" spans="2:18" x14ac:dyDescent="0.2">
      <c r="B693" s="57" t="str">
        <f t="shared" si="139"/>
        <v/>
      </c>
      <c r="D693" s="57" t="str">
        <f t="shared" si="140"/>
        <v/>
      </c>
      <c r="F693" s="57" t="str">
        <f t="shared" si="141"/>
        <v/>
      </c>
      <c r="G693" s="102" t="str">
        <f t="shared" si="145"/>
        <v/>
      </c>
      <c r="H693" s="57" t="str">
        <f t="shared" si="142"/>
        <v/>
      </c>
      <c r="I693" s="102" t="str">
        <f>VLOOKUP(P693&amp;"_"&amp;Q693,活动关卡!$A$60:$Z$83,3+5*MonsterWaveCallRuleCfg!R693,FALSE)</f>
        <v/>
      </c>
      <c r="J693" s="102" t="str">
        <f>VLOOKUP(P693&amp;"_"&amp;Q693,活动关卡!$A$60:$Z$83,4+5*MonsterWaveCallRuleCfg!R693,FALSE)</f>
        <v/>
      </c>
      <c r="K693" s="102" t="str">
        <f t="shared" si="143"/>
        <v/>
      </c>
      <c r="L693" s="102" t="str">
        <f>IF(VLOOKUP(P693&amp;"_"&amp;Q693,活动关卡!$A$60:$Z$83,2+5*R693,FALSE)="","","Monster_Season3_Challenge"&amp;P693&amp;"_"&amp;Q693&amp;"_"&amp;R693)</f>
        <v/>
      </c>
      <c r="M693" s="57" t="str">
        <f t="shared" si="144"/>
        <v/>
      </c>
      <c r="O693" s="102" t="str">
        <f>VLOOKUP(P693&amp;"_"&amp;Q693,活动关卡!$A$4:$Z$27,6+5*MonsterWaveCallRuleCfg!R693,FALSE)</f>
        <v/>
      </c>
      <c r="P693" s="110">
        <v>4</v>
      </c>
      <c r="Q693" s="110">
        <f t="shared" si="146"/>
        <v>5</v>
      </c>
      <c r="R693" s="110">
        <v>4</v>
      </c>
    </row>
    <row r="694" spans="2:18" x14ac:dyDescent="0.2">
      <c r="B694" s="57" t="str">
        <f t="shared" si="139"/>
        <v>MonsterWaveCallRule_Season3_Challenge5</v>
      </c>
      <c r="C694" s="57">
        <v>1</v>
      </c>
      <c r="D694" s="57" t="str">
        <f t="shared" si="140"/>
        <v>赛季3关卡5第1波</v>
      </c>
      <c r="F694" s="57">
        <f t="shared" si="141"/>
        <v>0</v>
      </c>
      <c r="G694" s="102">
        <f>IF(C694="","",180)</f>
        <v>180</v>
      </c>
      <c r="H694" s="57">
        <f t="shared" si="142"/>
        <v>0</v>
      </c>
      <c r="I694" s="102">
        <f>VLOOKUP(P694&amp;"_"&amp;Q694,活动关卡!$A$60:$Z$83,3+5*MonsterWaveCallRuleCfg!R694,FALSE)</f>
        <v>7</v>
      </c>
      <c r="J694" s="102">
        <f>VLOOKUP(P694&amp;"_"&amp;Q694,活动关卡!$A$60:$Z$83,4+5*MonsterWaveCallRuleCfg!R694,FALSE)</f>
        <v>1.5</v>
      </c>
      <c r="K694" s="102">
        <f t="shared" si="143"/>
        <v>1</v>
      </c>
      <c r="L694" s="102" t="str">
        <f>IF(VLOOKUP(P694&amp;"_"&amp;Q694,活动关卡!$A$60:$Z$83,2+5*R694,FALSE)="","","Monster_Season3_Challenge"&amp;P694&amp;"_"&amp;Q694&amp;"_"&amp;R694)</f>
        <v>Monster_Season3_Challenge5_1_1</v>
      </c>
      <c r="M694" s="57">
        <f t="shared" si="144"/>
        <v>1</v>
      </c>
      <c r="O694" s="102">
        <f>VLOOKUP(P694&amp;"_"&amp;Q694,活动关卡!$A$4:$Z$27,6+5*MonsterWaveCallRuleCfg!R694,FALSE)</f>
        <v>50</v>
      </c>
      <c r="P694" s="110">
        <v>5</v>
      </c>
      <c r="Q694" s="110">
        <f t="shared" si="146"/>
        <v>1</v>
      </c>
      <c r="R694" s="110">
        <v>1</v>
      </c>
    </row>
    <row r="695" spans="2:18" x14ac:dyDescent="0.2">
      <c r="B695" s="57" t="str">
        <f t="shared" si="139"/>
        <v/>
      </c>
      <c r="D695" s="57" t="str">
        <f t="shared" si="140"/>
        <v/>
      </c>
      <c r="F695" s="57" t="str">
        <f t="shared" si="141"/>
        <v/>
      </c>
      <c r="G695" s="102" t="str">
        <f t="shared" ref="G695:G725" si="147">IF(C695="","",180)</f>
        <v/>
      </c>
      <c r="H695" s="57">
        <f t="shared" si="142"/>
        <v>0</v>
      </c>
      <c r="I695" s="102">
        <f>VLOOKUP(P695&amp;"_"&amp;Q695,活动关卡!$A$60:$Z$83,3+5*MonsterWaveCallRuleCfg!R695,FALSE)</f>
        <v>5</v>
      </c>
      <c r="J695" s="102">
        <f>VLOOKUP(P695&amp;"_"&amp;Q695,活动关卡!$A$60:$Z$83,4+5*MonsterWaveCallRuleCfg!R695,FALSE)</f>
        <v>2</v>
      </c>
      <c r="K695" s="102">
        <f t="shared" si="143"/>
        <v>1</v>
      </c>
      <c r="L695" s="102" t="str">
        <f>IF(VLOOKUP(P695&amp;"_"&amp;Q695,活动关卡!$A$60:$Z$83,2+5*R695,FALSE)="","","Monster_Season3_Challenge"&amp;P695&amp;"_"&amp;Q695&amp;"_"&amp;R695)</f>
        <v>Monster_Season3_Challenge5_1_2</v>
      </c>
      <c r="M695" s="57">
        <f t="shared" si="144"/>
        <v>1</v>
      </c>
      <c r="O695" s="102">
        <f>VLOOKUP(P695&amp;"_"&amp;Q695,活动关卡!$A$4:$Z$27,6+5*MonsterWaveCallRuleCfg!R695,FALSE)</f>
        <v>50</v>
      </c>
      <c r="P695" s="110">
        <v>5</v>
      </c>
      <c r="Q695" s="110">
        <f t="shared" si="146"/>
        <v>1</v>
      </c>
      <c r="R695" s="110">
        <v>2</v>
      </c>
    </row>
    <row r="696" spans="2:18" x14ac:dyDescent="0.2">
      <c r="B696" s="57" t="str">
        <f t="shared" si="139"/>
        <v/>
      </c>
      <c r="D696" s="57" t="str">
        <f t="shared" si="140"/>
        <v/>
      </c>
      <c r="F696" s="57" t="str">
        <f t="shared" si="141"/>
        <v/>
      </c>
      <c r="G696" s="102" t="str">
        <f t="shared" si="147"/>
        <v/>
      </c>
      <c r="H696" s="57" t="str">
        <f t="shared" si="142"/>
        <v/>
      </c>
      <c r="I696" s="102" t="str">
        <f>VLOOKUP(P696&amp;"_"&amp;Q696,活动关卡!$A$60:$Z$83,3+5*MonsterWaveCallRuleCfg!R696,FALSE)</f>
        <v/>
      </c>
      <c r="J696" s="102" t="str">
        <f>VLOOKUP(P696&amp;"_"&amp;Q696,活动关卡!$A$60:$Z$83,4+5*MonsterWaveCallRuleCfg!R696,FALSE)</f>
        <v/>
      </c>
      <c r="K696" s="102" t="str">
        <f t="shared" si="143"/>
        <v/>
      </c>
      <c r="L696" s="102" t="str">
        <f>IF(VLOOKUP(P696&amp;"_"&amp;Q696,活动关卡!$A$60:$Z$83,2+5*R696,FALSE)="","","Monster_Season3_Challenge"&amp;P696&amp;"_"&amp;Q696&amp;"_"&amp;R696)</f>
        <v/>
      </c>
      <c r="M696" s="57" t="str">
        <f t="shared" si="144"/>
        <v/>
      </c>
      <c r="O696" s="102" t="str">
        <f>VLOOKUP(P696&amp;"_"&amp;Q696,活动关卡!$A$4:$Z$27,6+5*MonsterWaveCallRuleCfg!R696,FALSE)</f>
        <v/>
      </c>
      <c r="P696" s="110">
        <v>5</v>
      </c>
      <c r="Q696" s="110">
        <f t="shared" si="146"/>
        <v>1</v>
      </c>
      <c r="R696" s="110">
        <v>3</v>
      </c>
    </row>
    <row r="697" spans="2:18" x14ac:dyDescent="0.2">
      <c r="B697" s="57" t="str">
        <f t="shared" si="139"/>
        <v/>
      </c>
      <c r="D697" s="57" t="str">
        <f t="shared" si="140"/>
        <v/>
      </c>
      <c r="F697" s="57" t="str">
        <f t="shared" si="141"/>
        <v/>
      </c>
      <c r="G697" s="102" t="str">
        <f t="shared" si="147"/>
        <v/>
      </c>
      <c r="H697" s="57" t="str">
        <f t="shared" si="142"/>
        <v/>
      </c>
      <c r="I697" s="102" t="str">
        <f>VLOOKUP(P697&amp;"_"&amp;Q697,活动关卡!$A$60:$Z$83,3+5*MonsterWaveCallRuleCfg!R697,FALSE)</f>
        <v/>
      </c>
      <c r="J697" s="102" t="str">
        <f>VLOOKUP(P697&amp;"_"&amp;Q697,活动关卡!$A$60:$Z$83,4+5*MonsterWaveCallRuleCfg!R697,FALSE)</f>
        <v/>
      </c>
      <c r="K697" s="102" t="str">
        <f t="shared" si="143"/>
        <v/>
      </c>
      <c r="L697" s="102" t="str">
        <f>IF(VLOOKUP(P697&amp;"_"&amp;Q697,活动关卡!$A$60:$Z$83,2+5*R697,FALSE)="","","Monster_Season3_Challenge"&amp;P697&amp;"_"&amp;Q697&amp;"_"&amp;R697)</f>
        <v/>
      </c>
      <c r="M697" s="57" t="str">
        <f t="shared" si="144"/>
        <v/>
      </c>
      <c r="O697" s="102" t="str">
        <f>VLOOKUP(P697&amp;"_"&amp;Q697,活动关卡!$A$4:$Z$27,6+5*MonsterWaveCallRuleCfg!R697,FALSE)</f>
        <v/>
      </c>
      <c r="P697" s="110">
        <v>5</v>
      </c>
      <c r="Q697" s="110">
        <f t="shared" si="146"/>
        <v>1</v>
      </c>
      <c r="R697" s="110">
        <v>4</v>
      </c>
    </row>
    <row r="698" spans="2:18" x14ac:dyDescent="0.2">
      <c r="B698" s="57" t="str">
        <f t="shared" si="139"/>
        <v>MonsterWaveCallRule_Season3_Challenge5</v>
      </c>
      <c r="C698" s="57">
        <v>2</v>
      </c>
      <c r="D698" s="57" t="str">
        <f t="shared" si="140"/>
        <v>赛季3关卡5第2波</v>
      </c>
      <c r="F698" s="57">
        <f t="shared" si="141"/>
        <v>0</v>
      </c>
      <c r="G698" s="102">
        <f t="shared" si="147"/>
        <v>180</v>
      </c>
      <c r="H698" s="57">
        <f t="shared" si="142"/>
        <v>0</v>
      </c>
      <c r="I698" s="102">
        <f>VLOOKUP(P698&amp;"_"&amp;Q698,活动关卡!$A$60:$Z$83,3+5*MonsterWaveCallRuleCfg!R698,FALSE)</f>
        <v>8</v>
      </c>
      <c r="J698" s="102">
        <f>VLOOKUP(P698&amp;"_"&amp;Q698,活动关卡!$A$60:$Z$83,4+5*MonsterWaveCallRuleCfg!R698,FALSE)</f>
        <v>1.5</v>
      </c>
      <c r="K698" s="102">
        <f t="shared" si="143"/>
        <v>1</v>
      </c>
      <c r="L698" s="102" t="str">
        <f>IF(VLOOKUP(P698&amp;"_"&amp;Q698,活动关卡!$A$60:$Z$83,2+5*R698,FALSE)="","","Monster_Season3_Challenge"&amp;P698&amp;"_"&amp;Q698&amp;"_"&amp;R698)</f>
        <v>Monster_Season3_Challenge5_2_1</v>
      </c>
      <c r="M698" s="57">
        <f t="shared" si="144"/>
        <v>1</v>
      </c>
      <c r="O698" s="102">
        <f>VLOOKUP(P698&amp;"_"&amp;Q698,活动关卡!$A$4:$Z$27,6+5*MonsterWaveCallRuleCfg!R698,FALSE)</f>
        <v>20</v>
      </c>
      <c r="P698" s="110">
        <v>5</v>
      </c>
      <c r="Q698" s="110">
        <f t="shared" si="146"/>
        <v>2</v>
      </c>
      <c r="R698" s="110">
        <v>1</v>
      </c>
    </row>
    <row r="699" spans="2:18" x14ac:dyDescent="0.2">
      <c r="B699" s="57" t="str">
        <f t="shared" si="139"/>
        <v/>
      </c>
      <c r="D699" s="57" t="str">
        <f t="shared" si="140"/>
        <v/>
      </c>
      <c r="F699" s="57" t="str">
        <f t="shared" si="141"/>
        <v/>
      </c>
      <c r="G699" s="102" t="str">
        <f t="shared" si="147"/>
        <v/>
      </c>
      <c r="H699" s="57">
        <f t="shared" si="142"/>
        <v>0</v>
      </c>
      <c r="I699" s="102">
        <f>VLOOKUP(P699&amp;"_"&amp;Q699,活动关卡!$A$60:$Z$83,3+5*MonsterWaveCallRuleCfg!R699,FALSE)</f>
        <v>63</v>
      </c>
      <c r="J699" s="102">
        <f>VLOOKUP(P699&amp;"_"&amp;Q699,活动关卡!$A$60:$Z$83,4+5*MonsterWaveCallRuleCfg!R699,FALSE)</f>
        <v>0.2</v>
      </c>
      <c r="K699" s="102">
        <f t="shared" si="143"/>
        <v>1</v>
      </c>
      <c r="L699" s="102" t="str">
        <f>IF(VLOOKUP(P699&amp;"_"&amp;Q699,活动关卡!$A$60:$Z$83,2+5*R699,FALSE)="","","Monster_Season3_Challenge"&amp;P699&amp;"_"&amp;Q699&amp;"_"&amp;R699)</f>
        <v>Monster_Season3_Challenge5_2_2</v>
      </c>
      <c r="M699" s="57">
        <f t="shared" si="144"/>
        <v>1</v>
      </c>
      <c r="O699" s="102">
        <f>VLOOKUP(P699&amp;"_"&amp;Q699,活动关卡!$A$4:$Z$27,6+5*MonsterWaveCallRuleCfg!R699,FALSE)</f>
        <v>5</v>
      </c>
      <c r="P699" s="110">
        <v>5</v>
      </c>
      <c r="Q699" s="110">
        <f t="shared" si="146"/>
        <v>2</v>
      </c>
      <c r="R699" s="110">
        <v>2</v>
      </c>
    </row>
    <row r="700" spans="2:18" x14ac:dyDescent="0.2">
      <c r="B700" s="57" t="str">
        <f t="shared" si="139"/>
        <v/>
      </c>
      <c r="D700" s="57" t="str">
        <f t="shared" si="140"/>
        <v/>
      </c>
      <c r="F700" s="57" t="str">
        <f t="shared" si="141"/>
        <v/>
      </c>
      <c r="G700" s="102" t="str">
        <f t="shared" si="147"/>
        <v/>
      </c>
      <c r="H700" s="57">
        <f t="shared" si="142"/>
        <v>0</v>
      </c>
      <c r="I700" s="102">
        <f>VLOOKUP(P700&amp;"_"&amp;Q700,活动关卡!$A$60:$Z$83,3+5*MonsterWaveCallRuleCfg!R700,FALSE)</f>
        <v>6</v>
      </c>
      <c r="J700" s="102">
        <f>VLOOKUP(P700&amp;"_"&amp;Q700,活动关卡!$A$60:$Z$83,4+5*MonsterWaveCallRuleCfg!R700,FALSE)</f>
        <v>2</v>
      </c>
      <c r="K700" s="102">
        <f t="shared" si="143"/>
        <v>1</v>
      </c>
      <c r="L700" s="102" t="str">
        <f>IF(VLOOKUP(P700&amp;"_"&amp;Q700,活动关卡!$A$60:$Z$83,2+5*R700,FALSE)="","","Monster_Season3_Challenge"&amp;P700&amp;"_"&amp;Q700&amp;"_"&amp;R700)</f>
        <v>Monster_Season3_Challenge5_2_3</v>
      </c>
      <c r="M700" s="57">
        <f t="shared" si="144"/>
        <v>1</v>
      </c>
      <c r="O700" s="102">
        <f>VLOOKUP(P700&amp;"_"&amp;Q700,活动关卡!$A$4:$Z$27,6+5*MonsterWaveCallRuleCfg!R700,FALSE)</f>
        <v>20</v>
      </c>
      <c r="P700" s="110">
        <v>5</v>
      </c>
      <c r="Q700" s="110">
        <f t="shared" si="146"/>
        <v>2</v>
      </c>
      <c r="R700" s="110">
        <v>3</v>
      </c>
    </row>
    <row r="701" spans="2:18" x14ac:dyDescent="0.2">
      <c r="B701" s="57" t="str">
        <f t="shared" si="139"/>
        <v/>
      </c>
      <c r="D701" s="57" t="str">
        <f t="shared" si="140"/>
        <v/>
      </c>
      <c r="F701" s="57" t="str">
        <f t="shared" si="141"/>
        <v/>
      </c>
      <c r="G701" s="102" t="str">
        <f t="shared" si="147"/>
        <v/>
      </c>
      <c r="H701" s="57" t="str">
        <f t="shared" si="142"/>
        <v/>
      </c>
      <c r="I701" s="102" t="str">
        <f>VLOOKUP(P701&amp;"_"&amp;Q701,活动关卡!$A$60:$Z$83,3+5*MonsterWaveCallRuleCfg!R701,FALSE)</f>
        <v/>
      </c>
      <c r="J701" s="102" t="str">
        <f>VLOOKUP(P701&amp;"_"&amp;Q701,活动关卡!$A$60:$Z$83,4+5*MonsterWaveCallRuleCfg!R701,FALSE)</f>
        <v/>
      </c>
      <c r="K701" s="102" t="str">
        <f t="shared" si="143"/>
        <v/>
      </c>
      <c r="L701" s="102" t="str">
        <f>IF(VLOOKUP(P701&amp;"_"&amp;Q701,活动关卡!$A$60:$Z$83,2+5*R701,FALSE)="","","Monster_Season3_Challenge"&amp;P701&amp;"_"&amp;Q701&amp;"_"&amp;R701)</f>
        <v/>
      </c>
      <c r="M701" s="57" t="str">
        <f t="shared" si="144"/>
        <v/>
      </c>
      <c r="O701" s="102" t="str">
        <f>VLOOKUP(P701&amp;"_"&amp;Q701,活动关卡!$A$4:$Z$27,6+5*MonsterWaveCallRuleCfg!R701,FALSE)</f>
        <v/>
      </c>
      <c r="P701" s="110">
        <v>5</v>
      </c>
      <c r="Q701" s="110">
        <f t="shared" si="146"/>
        <v>2</v>
      </c>
      <c r="R701" s="110">
        <v>4</v>
      </c>
    </row>
    <row r="702" spans="2:18" x14ac:dyDescent="0.2">
      <c r="B702" s="57" t="str">
        <f t="shared" si="139"/>
        <v>MonsterWaveCallRule_Season3_Challenge5</v>
      </c>
      <c r="C702" s="57">
        <v>3</v>
      </c>
      <c r="D702" s="57" t="str">
        <f t="shared" si="140"/>
        <v>赛季3关卡5第3波</v>
      </c>
      <c r="F702" s="57">
        <f t="shared" si="141"/>
        <v>0</v>
      </c>
      <c r="G702" s="102">
        <f t="shared" si="147"/>
        <v>180</v>
      </c>
      <c r="H702" s="57">
        <f t="shared" si="142"/>
        <v>0</v>
      </c>
      <c r="I702" s="102">
        <f>VLOOKUP(P702&amp;"_"&amp;Q702,活动关卡!$A$60:$Z$83,3+5*MonsterWaveCallRuleCfg!R702,FALSE)</f>
        <v>10</v>
      </c>
      <c r="J702" s="102">
        <f>VLOOKUP(P702&amp;"_"&amp;Q702,活动关卡!$A$60:$Z$83,4+5*MonsterWaveCallRuleCfg!R702,FALSE)</f>
        <v>1.5</v>
      </c>
      <c r="K702" s="102">
        <f t="shared" si="143"/>
        <v>1</v>
      </c>
      <c r="L702" s="102" t="str">
        <f>IF(VLOOKUP(P702&amp;"_"&amp;Q702,活动关卡!$A$60:$Z$83,2+5*R702,FALSE)="","","Monster_Season3_Challenge"&amp;P702&amp;"_"&amp;Q702&amp;"_"&amp;R702)</f>
        <v>Monster_Season3_Challenge5_3_1</v>
      </c>
      <c r="M702" s="57">
        <f t="shared" si="144"/>
        <v>1</v>
      </c>
      <c r="O702" s="102">
        <f>VLOOKUP(P702&amp;"_"&amp;Q702,活动关卡!$A$4:$Z$27,6+5*MonsterWaveCallRuleCfg!R702,FALSE)</f>
        <v>14</v>
      </c>
      <c r="P702" s="110">
        <v>5</v>
      </c>
      <c r="Q702" s="110">
        <f t="shared" si="146"/>
        <v>3</v>
      </c>
      <c r="R702" s="110">
        <v>1</v>
      </c>
    </row>
    <row r="703" spans="2:18" x14ac:dyDescent="0.2">
      <c r="B703" s="57" t="str">
        <f t="shared" si="139"/>
        <v/>
      </c>
      <c r="D703" s="57" t="str">
        <f t="shared" si="140"/>
        <v/>
      </c>
      <c r="F703" s="57" t="str">
        <f t="shared" si="141"/>
        <v/>
      </c>
      <c r="G703" s="102" t="str">
        <f t="shared" si="147"/>
        <v/>
      </c>
      <c r="H703" s="57">
        <f t="shared" si="142"/>
        <v>0</v>
      </c>
      <c r="I703" s="102">
        <f>VLOOKUP(P703&amp;"_"&amp;Q703,活动关卡!$A$60:$Z$83,3+5*MonsterWaveCallRuleCfg!R703,FALSE)</f>
        <v>38</v>
      </c>
      <c r="J703" s="102">
        <f>VLOOKUP(P703&amp;"_"&amp;Q703,活动关卡!$A$60:$Z$83,4+5*MonsterWaveCallRuleCfg!R703,FALSE)</f>
        <v>0.4</v>
      </c>
      <c r="K703" s="102">
        <f t="shared" si="143"/>
        <v>1</v>
      </c>
      <c r="L703" s="102" t="str">
        <f>IF(VLOOKUP(P703&amp;"_"&amp;Q703,活动关卡!$A$60:$Z$83,2+5*R703,FALSE)="","","Monster_Season3_Challenge"&amp;P703&amp;"_"&amp;Q703&amp;"_"&amp;R703)</f>
        <v>Monster_Season3_Challenge5_3_2</v>
      </c>
      <c r="M703" s="57">
        <f t="shared" si="144"/>
        <v>1</v>
      </c>
      <c r="O703" s="102">
        <f>VLOOKUP(P703&amp;"_"&amp;Q703,活动关卡!$A$4:$Z$27,6+5*MonsterWaveCallRuleCfg!R703,FALSE)</f>
        <v>7</v>
      </c>
      <c r="P703" s="110">
        <v>5</v>
      </c>
      <c r="Q703" s="110">
        <f t="shared" si="146"/>
        <v>3</v>
      </c>
      <c r="R703" s="110">
        <v>2</v>
      </c>
    </row>
    <row r="704" spans="2:18" x14ac:dyDescent="0.2">
      <c r="B704" s="57" t="str">
        <f t="shared" si="139"/>
        <v/>
      </c>
      <c r="D704" s="57" t="str">
        <f t="shared" si="140"/>
        <v/>
      </c>
      <c r="F704" s="57" t="str">
        <f t="shared" si="141"/>
        <v/>
      </c>
      <c r="G704" s="102" t="str">
        <f t="shared" si="147"/>
        <v/>
      </c>
      <c r="H704" s="57">
        <f t="shared" si="142"/>
        <v>0</v>
      </c>
      <c r="I704" s="102">
        <f>VLOOKUP(P704&amp;"_"&amp;Q704,活动关卡!$A$60:$Z$83,3+5*MonsterWaveCallRuleCfg!R704,FALSE)</f>
        <v>10</v>
      </c>
      <c r="J704" s="102">
        <f>VLOOKUP(P704&amp;"_"&amp;Q704,活动关卡!$A$60:$Z$83,4+5*MonsterWaveCallRuleCfg!R704,FALSE)</f>
        <v>1.5</v>
      </c>
      <c r="K704" s="102">
        <f t="shared" si="143"/>
        <v>1</v>
      </c>
      <c r="L704" s="102" t="str">
        <f>IF(VLOOKUP(P704&amp;"_"&amp;Q704,活动关卡!$A$60:$Z$83,2+5*R704,FALSE)="","","Monster_Season3_Challenge"&amp;P704&amp;"_"&amp;Q704&amp;"_"&amp;R704)</f>
        <v>Monster_Season3_Challenge5_3_3</v>
      </c>
      <c r="M704" s="57">
        <f t="shared" si="144"/>
        <v>1</v>
      </c>
      <c r="O704" s="102">
        <f>VLOOKUP(P704&amp;"_"&amp;Q704,活动关卡!$A$4:$Z$27,6+5*MonsterWaveCallRuleCfg!R704,FALSE)</f>
        <v>7</v>
      </c>
      <c r="P704" s="110">
        <v>5</v>
      </c>
      <c r="Q704" s="110">
        <f t="shared" si="146"/>
        <v>3</v>
      </c>
      <c r="R704" s="110">
        <v>3</v>
      </c>
    </row>
    <row r="705" spans="2:18" x14ac:dyDescent="0.2">
      <c r="B705" s="57" t="str">
        <f t="shared" si="139"/>
        <v/>
      </c>
      <c r="D705" s="57" t="str">
        <f t="shared" si="140"/>
        <v/>
      </c>
      <c r="F705" s="57" t="str">
        <f t="shared" si="141"/>
        <v/>
      </c>
      <c r="G705" s="102" t="str">
        <f t="shared" si="147"/>
        <v/>
      </c>
      <c r="H705" s="57">
        <f t="shared" si="142"/>
        <v>0</v>
      </c>
      <c r="I705" s="102">
        <f>VLOOKUP(P705&amp;"_"&amp;Q705,活动关卡!$A$60:$Z$83,3+5*MonsterWaveCallRuleCfg!R705,FALSE)</f>
        <v>8</v>
      </c>
      <c r="J705" s="102">
        <f>VLOOKUP(P705&amp;"_"&amp;Q705,活动关卡!$A$60:$Z$83,4+5*MonsterWaveCallRuleCfg!R705,FALSE)</f>
        <v>2</v>
      </c>
      <c r="K705" s="102">
        <f t="shared" si="143"/>
        <v>1</v>
      </c>
      <c r="L705" s="102" t="str">
        <f>IF(VLOOKUP(P705&amp;"_"&amp;Q705,活动关卡!$A$60:$Z$83,2+5*R705,FALSE)="","","Monster_Season3_Challenge"&amp;P705&amp;"_"&amp;Q705&amp;"_"&amp;R705)</f>
        <v>Monster_Season3_Challenge5_3_4</v>
      </c>
      <c r="M705" s="57">
        <f t="shared" si="144"/>
        <v>1</v>
      </c>
      <c r="O705" s="102">
        <f>VLOOKUP(P705&amp;"_"&amp;Q705,活动关卡!$A$4:$Z$27,6+5*MonsterWaveCallRuleCfg!R705,FALSE)</f>
        <v>14</v>
      </c>
      <c r="P705" s="110">
        <v>5</v>
      </c>
      <c r="Q705" s="110">
        <f t="shared" si="146"/>
        <v>3</v>
      </c>
      <c r="R705" s="110">
        <v>4</v>
      </c>
    </row>
    <row r="706" spans="2:18" x14ac:dyDescent="0.2">
      <c r="B706" s="57" t="str">
        <f t="shared" si="139"/>
        <v>MonsterWaveCallRule_Season3_Challenge5</v>
      </c>
      <c r="C706" s="57">
        <v>4</v>
      </c>
      <c r="D706" s="57" t="str">
        <f t="shared" si="140"/>
        <v>赛季3关卡5第4波</v>
      </c>
      <c r="F706" s="57">
        <f t="shared" si="141"/>
        <v>0</v>
      </c>
      <c r="G706" s="102">
        <f t="shared" si="147"/>
        <v>180</v>
      </c>
      <c r="H706" s="57">
        <f t="shared" si="142"/>
        <v>0</v>
      </c>
      <c r="I706" s="102">
        <f>VLOOKUP(P706&amp;"_"&amp;Q706,活动关卡!$A$60:$Z$83,3+5*MonsterWaveCallRuleCfg!R706,FALSE)</f>
        <v>12</v>
      </c>
      <c r="J706" s="102">
        <f>VLOOKUP(P706&amp;"_"&amp;Q706,活动关卡!$A$60:$Z$83,4+5*MonsterWaveCallRuleCfg!R706,FALSE)</f>
        <v>1.5</v>
      </c>
      <c r="K706" s="102">
        <f t="shared" si="143"/>
        <v>1</v>
      </c>
      <c r="L706" s="102" t="str">
        <f>IF(VLOOKUP(P706&amp;"_"&amp;Q706,活动关卡!$A$60:$Z$83,2+5*R706,FALSE)="","","Monster_Season3_Challenge"&amp;P706&amp;"_"&amp;Q706&amp;"_"&amp;R706)</f>
        <v>Monster_Season3_Challenge5_4_1</v>
      </c>
      <c r="M706" s="57">
        <f t="shared" si="144"/>
        <v>1</v>
      </c>
      <c r="O706" s="102">
        <f>VLOOKUP(P706&amp;"_"&amp;Q706,活动关卡!$A$4:$Z$27,6+5*MonsterWaveCallRuleCfg!R706,FALSE)</f>
        <v>16</v>
      </c>
      <c r="P706" s="110">
        <v>5</v>
      </c>
      <c r="Q706" s="110">
        <f t="shared" si="146"/>
        <v>4</v>
      </c>
      <c r="R706" s="110">
        <v>1</v>
      </c>
    </row>
    <row r="707" spans="2:18" x14ac:dyDescent="0.2">
      <c r="B707" s="57" t="str">
        <f t="shared" si="139"/>
        <v/>
      </c>
      <c r="D707" s="57" t="str">
        <f t="shared" si="140"/>
        <v/>
      </c>
      <c r="F707" s="57" t="str">
        <f t="shared" si="141"/>
        <v/>
      </c>
      <c r="G707" s="102" t="str">
        <f t="shared" si="147"/>
        <v/>
      </c>
      <c r="H707" s="57">
        <f t="shared" si="142"/>
        <v>0</v>
      </c>
      <c r="I707" s="102">
        <f>VLOOKUP(P707&amp;"_"&amp;Q707,活动关卡!$A$60:$Z$83,3+5*MonsterWaveCallRuleCfg!R707,FALSE)</f>
        <v>35</v>
      </c>
      <c r="J707" s="102">
        <f>VLOOKUP(P707&amp;"_"&amp;Q707,活动关卡!$A$60:$Z$83,4+5*MonsterWaveCallRuleCfg!R707,FALSE)</f>
        <v>0.5</v>
      </c>
      <c r="K707" s="102">
        <f t="shared" si="143"/>
        <v>1</v>
      </c>
      <c r="L707" s="102" t="str">
        <f>IF(VLOOKUP(P707&amp;"_"&amp;Q707,活动关卡!$A$60:$Z$83,2+5*R707,FALSE)="","","Monster_Season3_Challenge"&amp;P707&amp;"_"&amp;Q707&amp;"_"&amp;R707)</f>
        <v>Monster_Season3_Challenge5_4_2</v>
      </c>
      <c r="M707" s="57">
        <f t="shared" si="144"/>
        <v>1</v>
      </c>
      <c r="O707" s="102">
        <f>VLOOKUP(P707&amp;"_"&amp;Q707,活动关卡!$A$4:$Z$27,6+5*MonsterWaveCallRuleCfg!R707,FALSE)</f>
        <v>8</v>
      </c>
      <c r="P707" s="110">
        <v>5</v>
      </c>
      <c r="Q707" s="110">
        <f t="shared" si="146"/>
        <v>4</v>
      </c>
      <c r="R707" s="110">
        <v>2</v>
      </c>
    </row>
    <row r="708" spans="2:18" x14ac:dyDescent="0.2">
      <c r="B708" s="57" t="str">
        <f t="shared" si="139"/>
        <v/>
      </c>
      <c r="D708" s="57" t="str">
        <f t="shared" si="140"/>
        <v/>
      </c>
      <c r="F708" s="57" t="str">
        <f t="shared" si="141"/>
        <v/>
      </c>
      <c r="G708" s="102" t="str">
        <f t="shared" si="147"/>
        <v/>
      </c>
      <c r="H708" s="57">
        <f t="shared" si="142"/>
        <v>0</v>
      </c>
      <c r="I708" s="102">
        <f>VLOOKUP(P708&amp;"_"&amp;Q708,活动关卡!$A$60:$Z$83,3+5*MonsterWaveCallRuleCfg!R708,FALSE)</f>
        <v>9</v>
      </c>
      <c r="J708" s="102">
        <f>VLOOKUP(P708&amp;"_"&amp;Q708,活动关卡!$A$60:$Z$83,4+5*MonsterWaveCallRuleCfg!R708,FALSE)</f>
        <v>2</v>
      </c>
      <c r="K708" s="102">
        <f t="shared" si="143"/>
        <v>1</v>
      </c>
      <c r="L708" s="102" t="str">
        <f>IF(VLOOKUP(P708&amp;"_"&amp;Q708,活动关卡!$A$60:$Z$83,2+5*R708,FALSE)="","","Monster_Season3_Challenge"&amp;P708&amp;"_"&amp;Q708&amp;"_"&amp;R708)</f>
        <v>Monster_Season3_Challenge5_4_3</v>
      </c>
      <c r="M708" s="57">
        <f t="shared" si="144"/>
        <v>1</v>
      </c>
      <c r="O708" s="102">
        <f>VLOOKUP(P708&amp;"_"&amp;Q708,活动关卡!$A$4:$Z$27,6+5*MonsterWaveCallRuleCfg!R708,FALSE)</f>
        <v>16</v>
      </c>
      <c r="P708" s="110">
        <v>5</v>
      </c>
      <c r="Q708" s="110">
        <f t="shared" si="146"/>
        <v>4</v>
      </c>
      <c r="R708" s="110">
        <v>3</v>
      </c>
    </row>
    <row r="709" spans="2:18" x14ac:dyDescent="0.2">
      <c r="B709" s="57" t="str">
        <f t="shared" si="139"/>
        <v/>
      </c>
      <c r="D709" s="57" t="str">
        <f t="shared" si="140"/>
        <v/>
      </c>
      <c r="F709" s="57" t="str">
        <f t="shared" si="141"/>
        <v/>
      </c>
      <c r="G709" s="102" t="str">
        <f t="shared" si="147"/>
        <v/>
      </c>
      <c r="H709" s="57" t="str">
        <f t="shared" si="142"/>
        <v/>
      </c>
      <c r="I709" s="102" t="str">
        <f>VLOOKUP(P709&amp;"_"&amp;Q709,活动关卡!$A$60:$Z$83,3+5*MonsterWaveCallRuleCfg!R709,FALSE)</f>
        <v/>
      </c>
      <c r="J709" s="102" t="str">
        <f>VLOOKUP(P709&amp;"_"&amp;Q709,活动关卡!$A$60:$Z$83,4+5*MonsterWaveCallRuleCfg!R709,FALSE)</f>
        <v/>
      </c>
      <c r="K709" s="102" t="str">
        <f t="shared" si="143"/>
        <v/>
      </c>
      <c r="L709" s="102" t="str">
        <f>IF(VLOOKUP(P709&amp;"_"&amp;Q709,活动关卡!$A$60:$Z$83,2+5*R709,FALSE)="","","Monster_Season3_Challenge"&amp;P709&amp;"_"&amp;Q709&amp;"_"&amp;R709)</f>
        <v/>
      </c>
      <c r="M709" s="57" t="str">
        <f t="shared" si="144"/>
        <v/>
      </c>
      <c r="O709" s="102" t="str">
        <f>VLOOKUP(P709&amp;"_"&amp;Q709,活动关卡!$A$4:$Z$27,6+5*MonsterWaveCallRuleCfg!R709,FALSE)</f>
        <v/>
      </c>
      <c r="P709" s="110">
        <v>5</v>
      </c>
      <c r="Q709" s="110">
        <f t="shared" si="146"/>
        <v>4</v>
      </c>
      <c r="R709" s="110">
        <v>4</v>
      </c>
    </row>
    <row r="710" spans="2:18" x14ac:dyDescent="0.2">
      <c r="B710" s="57" t="str">
        <f t="shared" ref="B710:B722" si="148">IF(C710="","","MonsterWaveCallRule_Season3_Challenge"&amp;P710)</f>
        <v>MonsterWaveCallRule_Season3_Challenge5</v>
      </c>
      <c r="C710" s="57">
        <v>5</v>
      </c>
      <c r="D710" s="57" t="str">
        <f t="shared" ref="D710:D722" si="149">IF(C710="","","赛季3关卡"&amp;P710&amp;"第"&amp;C710&amp;"波")</f>
        <v>赛季3关卡5第5波</v>
      </c>
      <c r="F710" s="57">
        <f t="shared" si="141"/>
        <v>0</v>
      </c>
      <c r="G710" s="102">
        <f t="shared" si="147"/>
        <v>180</v>
      </c>
      <c r="H710" s="57">
        <f t="shared" si="142"/>
        <v>0</v>
      </c>
      <c r="I710" s="102">
        <f>VLOOKUP(P710&amp;"_"&amp;Q710,活动关卡!$A$60:$Z$83,3+5*MonsterWaveCallRuleCfg!R710,FALSE)</f>
        <v>13</v>
      </c>
      <c r="J710" s="102">
        <f>VLOOKUP(P710&amp;"_"&amp;Q710,活动关卡!$A$60:$Z$83,4+5*MonsterWaveCallRuleCfg!R710,FALSE)</f>
        <v>1.5</v>
      </c>
      <c r="K710" s="102">
        <f t="shared" si="143"/>
        <v>1</v>
      </c>
      <c r="L710" s="102" t="str">
        <f>IF(VLOOKUP(P710&amp;"_"&amp;Q710,活动关卡!$A$60:$Z$83,2+5*R710,FALSE)="","","Monster_Season3_Challenge"&amp;P710&amp;"_"&amp;Q710&amp;"_"&amp;R710)</f>
        <v>Monster_Season3_Challenge5_5_1</v>
      </c>
      <c r="M710" s="57">
        <f t="shared" si="144"/>
        <v>1</v>
      </c>
      <c r="O710" s="102">
        <f>VLOOKUP(P710&amp;"_"&amp;Q710,活动关卡!$A$4:$Z$27,6+5*MonsterWaveCallRuleCfg!R710,FALSE)</f>
        <v>10</v>
      </c>
      <c r="P710" s="110">
        <v>5</v>
      </c>
      <c r="Q710" s="110">
        <f t="shared" si="146"/>
        <v>5</v>
      </c>
      <c r="R710" s="110">
        <v>1</v>
      </c>
    </row>
    <row r="711" spans="2:18" x14ac:dyDescent="0.2">
      <c r="B711" s="57" t="str">
        <f t="shared" si="148"/>
        <v/>
      </c>
      <c r="D711" s="57" t="str">
        <f t="shared" si="149"/>
        <v/>
      </c>
      <c r="F711" s="57" t="str">
        <f t="shared" si="141"/>
        <v/>
      </c>
      <c r="G711" s="102" t="str">
        <f t="shared" si="147"/>
        <v/>
      </c>
      <c r="H711" s="57">
        <f t="shared" si="142"/>
        <v>0</v>
      </c>
      <c r="I711" s="102">
        <f>VLOOKUP(P711&amp;"_"&amp;Q711,活动关卡!$A$60:$Z$83,3+5*MonsterWaveCallRuleCfg!R711,FALSE)</f>
        <v>40</v>
      </c>
      <c r="J711" s="102">
        <f>VLOOKUP(P711&amp;"_"&amp;Q711,活动关卡!$A$60:$Z$83,4+5*MonsterWaveCallRuleCfg!R711,FALSE)</f>
        <v>0.5</v>
      </c>
      <c r="K711" s="102">
        <f t="shared" si="143"/>
        <v>1</v>
      </c>
      <c r="L711" s="102" t="str">
        <f>IF(VLOOKUP(P711&amp;"_"&amp;Q711,活动关卡!$A$60:$Z$83,2+5*R711,FALSE)="","","Monster_Season3_Challenge"&amp;P711&amp;"_"&amp;Q711&amp;"_"&amp;R711)</f>
        <v>Monster_Season3_Challenge5_5_2</v>
      </c>
      <c r="M711" s="57">
        <f t="shared" si="144"/>
        <v>1</v>
      </c>
      <c r="O711" s="102">
        <f>VLOOKUP(P711&amp;"_"&amp;Q711,活动关卡!$A$4:$Z$27,6+5*MonsterWaveCallRuleCfg!R711,FALSE)</f>
        <v>5</v>
      </c>
      <c r="P711" s="110">
        <v>5</v>
      </c>
      <c r="Q711" s="110">
        <f t="shared" si="146"/>
        <v>5</v>
      </c>
      <c r="R711" s="110">
        <v>2</v>
      </c>
    </row>
    <row r="712" spans="2:18" x14ac:dyDescent="0.2">
      <c r="B712" s="57" t="str">
        <f t="shared" si="148"/>
        <v/>
      </c>
      <c r="D712" s="57" t="str">
        <f t="shared" si="149"/>
        <v/>
      </c>
      <c r="F712" s="57" t="str">
        <f t="shared" si="141"/>
        <v/>
      </c>
      <c r="G712" s="102" t="str">
        <f t="shared" si="147"/>
        <v/>
      </c>
      <c r="H712" s="57">
        <f t="shared" si="142"/>
        <v>0</v>
      </c>
      <c r="I712" s="102">
        <f>VLOOKUP(P712&amp;"_"&amp;Q712,活动关卡!$A$60:$Z$83,3+5*MonsterWaveCallRuleCfg!R712,FALSE)</f>
        <v>10</v>
      </c>
      <c r="J712" s="102">
        <f>VLOOKUP(P712&amp;"_"&amp;Q712,活动关卡!$A$60:$Z$83,4+5*MonsterWaveCallRuleCfg!R712,FALSE)</f>
        <v>2</v>
      </c>
      <c r="K712" s="102">
        <f t="shared" si="143"/>
        <v>1</v>
      </c>
      <c r="L712" s="102" t="str">
        <f>IF(VLOOKUP(P712&amp;"_"&amp;Q712,活动关卡!$A$60:$Z$83,2+5*R712,FALSE)="","","Monster_Season3_Challenge"&amp;P712&amp;"_"&amp;Q712&amp;"_"&amp;R712)</f>
        <v>Monster_Season3_Challenge5_5_3</v>
      </c>
      <c r="M712" s="57">
        <f t="shared" si="144"/>
        <v>1</v>
      </c>
      <c r="O712" s="102">
        <f>VLOOKUP(P712&amp;"_"&amp;Q712,活动关卡!$A$4:$Z$27,6+5*MonsterWaveCallRuleCfg!R712,FALSE)</f>
        <v>10</v>
      </c>
      <c r="P712" s="110">
        <v>5</v>
      </c>
      <c r="Q712" s="110">
        <f t="shared" si="146"/>
        <v>5</v>
      </c>
      <c r="R712" s="110">
        <v>3</v>
      </c>
    </row>
    <row r="713" spans="2:18" x14ac:dyDescent="0.2">
      <c r="B713" s="57" t="str">
        <f t="shared" si="148"/>
        <v/>
      </c>
      <c r="D713" s="57" t="str">
        <f t="shared" si="149"/>
        <v/>
      </c>
      <c r="F713" s="57" t="str">
        <f t="shared" si="141"/>
        <v/>
      </c>
      <c r="G713" s="102" t="str">
        <f t="shared" si="147"/>
        <v/>
      </c>
      <c r="H713" s="57">
        <f t="shared" si="142"/>
        <v>0</v>
      </c>
      <c r="I713" s="102">
        <f>VLOOKUP(P713&amp;"_"&amp;Q713,活动关卡!$A$60:$Z$83,3+5*MonsterWaveCallRuleCfg!R713,FALSE)</f>
        <v>20</v>
      </c>
      <c r="J713" s="102">
        <f>VLOOKUP(P713&amp;"_"&amp;Q713,活动关卡!$A$60:$Z$83,4+5*MonsterWaveCallRuleCfg!R713,FALSE)</f>
        <v>1</v>
      </c>
      <c r="K713" s="102">
        <f t="shared" si="143"/>
        <v>1</v>
      </c>
      <c r="L713" s="102" t="str">
        <f>IF(VLOOKUP(P713&amp;"_"&amp;Q713,活动关卡!$A$60:$Z$83,2+5*R713,FALSE)="","","Monster_Season3_Challenge"&amp;P713&amp;"_"&amp;Q713&amp;"_"&amp;R713)</f>
        <v>Monster_Season3_Challenge5_5_4</v>
      </c>
      <c r="M713" s="57">
        <f t="shared" si="144"/>
        <v>1</v>
      </c>
      <c r="O713" s="102">
        <f>VLOOKUP(P713&amp;"_"&amp;Q713,活动关卡!$A$4:$Z$27,6+5*MonsterWaveCallRuleCfg!R713,FALSE)</f>
        <v>10</v>
      </c>
      <c r="P713" s="110">
        <v>5</v>
      </c>
      <c r="Q713" s="110">
        <f t="shared" si="146"/>
        <v>5</v>
      </c>
      <c r="R713" s="110">
        <v>4</v>
      </c>
    </row>
    <row r="714" spans="2:18" x14ac:dyDescent="0.2">
      <c r="B714" s="57" t="str">
        <f t="shared" si="148"/>
        <v>MonsterWaveCallRule_Season3_Challenge5</v>
      </c>
      <c r="C714" s="57">
        <v>6</v>
      </c>
      <c r="D714" s="57" t="str">
        <f t="shared" si="149"/>
        <v>赛季3关卡5第6波</v>
      </c>
      <c r="F714" s="57">
        <f t="shared" si="141"/>
        <v>0</v>
      </c>
      <c r="G714" s="102">
        <f t="shared" si="147"/>
        <v>180</v>
      </c>
      <c r="H714" s="57">
        <f t="shared" si="142"/>
        <v>0</v>
      </c>
      <c r="I714" s="102">
        <f>VLOOKUP(P714&amp;"_"&amp;Q714,活动关卡!$A$60:$Z$83,3+5*MonsterWaveCallRuleCfg!R714,FALSE)</f>
        <v>15</v>
      </c>
      <c r="J714" s="102">
        <f>VLOOKUP(P714&amp;"_"&amp;Q714,活动关卡!$A$60:$Z$83,4+5*MonsterWaveCallRuleCfg!R714,FALSE)</f>
        <v>1.5</v>
      </c>
      <c r="K714" s="102">
        <f t="shared" si="143"/>
        <v>1</v>
      </c>
      <c r="L714" s="102" t="str">
        <f>IF(VLOOKUP(P714&amp;"_"&amp;Q714,活动关卡!$A$60:$Z$83,2+5*R714,FALSE)="","","Monster_Season3_Challenge"&amp;P714&amp;"_"&amp;Q714&amp;"_"&amp;R714)</f>
        <v>Monster_Season3_Challenge5_6_1</v>
      </c>
      <c r="M714" s="57">
        <f t="shared" si="144"/>
        <v>1</v>
      </c>
      <c r="O714" s="102">
        <f>VLOOKUP(P714&amp;"_"&amp;Q714,活动关卡!$A$4:$Z$27,6+5*MonsterWaveCallRuleCfg!R714,FALSE)</f>
        <v>11</v>
      </c>
      <c r="P714" s="110">
        <v>5</v>
      </c>
      <c r="Q714" s="110">
        <f t="shared" si="146"/>
        <v>6</v>
      </c>
      <c r="R714" s="110">
        <v>1</v>
      </c>
    </row>
    <row r="715" spans="2:18" x14ac:dyDescent="0.2">
      <c r="B715" s="57" t="str">
        <f t="shared" si="148"/>
        <v/>
      </c>
      <c r="D715" s="57" t="str">
        <f t="shared" si="149"/>
        <v/>
      </c>
      <c r="F715" s="57" t="str">
        <f t="shared" si="141"/>
        <v/>
      </c>
      <c r="G715" s="102" t="str">
        <f t="shared" si="147"/>
        <v/>
      </c>
      <c r="H715" s="57">
        <f t="shared" si="142"/>
        <v>0</v>
      </c>
      <c r="I715" s="102">
        <f>VLOOKUP(P715&amp;"_"&amp;Q715,活动关卡!$A$60:$Z$83,3+5*MonsterWaveCallRuleCfg!R715,FALSE)</f>
        <v>11</v>
      </c>
      <c r="J715" s="102">
        <f>VLOOKUP(P715&amp;"_"&amp;Q715,活动关卡!$A$60:$Z$83,4+5*MonsterWaveCallRuleCfg!R715,FALSE)</f>
        <v>2</v>
      </c>
      <c r="K715" s="102">
        <f t="shared" si="143"/>
        <v>1</v>
      </c>
      <c r="L715" s="102" t="str">
        <f>IF(VLOOKUP(P715&amp;"_"&amp;Q715,活动关卡!$A$60:$Z$83,2+5*R715,FALSE)="","","Monster_Season3_Challenge"&amp;P715&amp;"_"&amp;Q715&amp;"_"&amp;R715)</f>
        <v>Monster_Season3_Challenge5_6_2</v>
      </c>
      <c r="M715" s="57">
        <f t="shared" si="144"/>
        <v>1</v>
      </c>
      <c r="O715" s="102">
        <f>VLOOKUP(P715&amp;"_"&amp;Q715,活动关卡!$A$4:$Z$27,6+5*MonsterWaveCallRuleCfg!R715,FALSE)</f>
        <v>11</v>
      </c>
      <c r="P715" s="110">
        <v>5</v>
      </c>
      <c r="Q715" s="110">
        <f t="shared" si="146"/>
        <v>6</v>
      </c>
      <c r="R715" s="110">
        <v>2</v>
      </c>
    </row>
    <row r="716" spans="2:18" x14ac:dyDescent="0.2">
      <c r="B716" s="57" t="str">
        <f t="shared" si="148"/>
        <v/>
      </c>
      <c r="D716" s="57" t="str">
        <f t="shared" si="149"/>
        <v/>
      </c>
      <c r="F716" s="57" t="str">
        <f t="shared" si="141"/>
        <v/>
      </c>
      <c r="G716" s="102" t="str">
        <f t="shared" si="147"/>
        <v/>
      </c>
      <c r="H716" s="57">
        <f t="shared" si="142"/>
        <v>0</v>
      </c>
      <c r="I716" s="102">
        <f>VLOOKUP(P716&amp;"_"&amp;Q716,活动关卡!$A$60:$Z$83,3+5*MonsterWaveCallRuleCfg!R716,FALSE)</f>
        <v>15</v>
      </c>
      <c r="J716" s="102">
        <f>VLOOKUP(P716&amp;"_"&amp;Q716,活动关卡!$A$60:$Z$83,4+5*MonsterWaveCallRuleCfg!R716,FALSE)</f>
        <v>1.5</v>
      </c>
      <c r="K716" s="102">
        <f t="shared" si="143"/>
        <v>1</v>
      </c>
      <c r="L716" s="102" t="str">
        <f>IF(VLOOKUP(P716&amp;"_"&amp;Q716,活动关卡!$A$60:$Z$83,2+5*R716,FALSE)="","","Monster_Season3_Challenge"&amp;P716&amp;"_"&amp;Q716&amp;"_"&amp;R716)</f>
        <v>Monster_Season3_Challenge5_6_3</v>
      </c>
      <c r="M716" s="57">
        <f t="shared" si="144"/>
        <v>1</v>
      </c>
      <c r="O716" s="102">
        <f>VLOOKUP(P716&amp;"_"&amp;Q716,活动关卡!$A$4:$Z$27,6+5*MonsterWaveCallRuleCfg!R716,FALSE)</f>
        <v>5</v>
      </c>
      <c r="P716" s="110">
        <v>5</v>
      </c>
      <c r="Q716" s="110">
        <f t="shared" si="146"/>
        <v>6</v>
      </c>
      <c r="R716" s="110">
        <v>3</v>
      </c>
    </row>
    <row r="717" spans="2:18" x14ac:dyDescent="0.2">
      <c r="B717" s="57" t="str">
        <f t="shared" si="148"/>
        <v/>
      </c>
      <c r="D717" s="57" t="str">
        <f t="shared" si="149"/>
        <v/>
      </c>
      <c r="F717" s="57" t="str">
        <f t="shared" si="141"/>
        <v/>
      </c>
      <c r="G717" s="102" t="str">
        <f t="shared" si="147"/>
        <v/>
      </c>
      <c r="H717" s="57">
        <f t="shared" si="142"/>
        <v>0</v>
      </c>
      <c r="I717" s="102">
        <f>VLOOKUP(P717&amp;"_"&amp;Q717,活动关卡!$A$60:$Z$83,3+5*MonsterWaveCallRuleCfg!R717,FALSE)</f>
        <v>23</v>
      </c>
      <c r="J717" s="102">
        <f>VLOOKUP(P717&amp;"_"&amp;Q717,活动关卡!$A$60:$Z$83,4+5*MonsterWaveCallRuleCfg!R717,FALSE)</f>
        <v>1</v>
      </c>
      <c r="K717" s="102">
        <f t="shared" si="143"/>
        <v>1</v>
      </c>
      <c r="L717" s="102" t="str">
        <f>IF(VLOOKUP(P717&amp;"_"&amp;Q717,活动关卡!$A$60:$Z$83,2+5*R717,FALSE)="","","Monster_Season3_Challenge"&amp;P717&amp;"_"&amp;Q717&amp;"_"&amp;R717)</f>
        <v>Monster_Season3_Challenge5_6_4</v>
      </c>
      <c r="M717" s="57">
        <f t="shared" si="144"/>
        <v>1</v>
      </c>
      <c r="O717" s="102">
        <f>VLOOKUP(P717&amp;"_"&amp;Q717,活动关卡!$A$4:$Z$27,6+5*MonsterWaveCallRuleCfg!R717,FALSE)</f>
        <v>11</v>
      </c>
      <c r="P717" s="110">
        <v>5</v>
      </c>
      <c r="Q717" s="110">
        <f t="shared" si="146"/>
        <v>6</v>
      </c>
      <c r="R717" s="110">
        <v>4</v>
      </c>
    </row>
    <row r="718" spans="2:18" x14ac:dyDescent="0.2">
      <c r="B718" s="57" t="str">
        <f t="shared" si="148"/>
        <v>MonsterWaveCallRule_Season3_Challenge5</v>
      </c>
      <c r="C718" s="57">
        <v>7</v>
      </c>
      <c r="D718" s="57" t="str">
        <f t="shared" si="149"/>
        <v>赛季3关卡5第7波</v>
      </c>
      <c r="F718" s="57">
        <f t="shared" si="141"/>
        <v>0</v>
      </c>
      <c r="G718" s="102">
        <f t="shared" si="147"/>
        <v>180</v>
      </c>
      <c r="H718" s="57">
        <f t="shared" si="142"/>
        <v>0</v>
      </c>
      <c r="I718" s="102">
        <f>VLOOKUP(P718&amp;"_"&amp;Q718,活动关卡!$A$60:$Z$83,3+5*MonsterWaveCallRuleCfg!R718,FALSE)</f>
        <v>25</v>
      </c>
      <c r="J718" s="102">
        <f>VLOOKUP(P718&amp;"_"&amp;Q718,活动关卡!$A$60:$Z$83,4+5*MonsterWaveCallRuleCfg!R718,FALSE)</f>
        <v>1</v>
      </c>
      <c r="K718" s="102">
        <f t="shared" si="143"/>
        <v>1</v>
      </c>
      <c r="L718" s="102" t="str">
        <f>IF(VLOOKUP(P718&amp;"_"&amp;Q718,活动关卡!$A$60:$Z$83,2+5*R718,FALSE)="","","Monster_Season3_Challenge"&amp;P718&amp;"_"&amp;Q718&amp;"_"&amp;R718)</f>
        <v>Monster_Season3_Challenge5_7_1</v>
      </c>
      <c r="M718" s="57">
        <f t="shared" si="144"/>
        <v>1</v>
      </c>
      <c r="O718" s="102">
        <f>VLOOKUP(P718&amp;"_"&amp;Q718,活动关卡!$A$4:$Z$27,6+5*MonsterWaveCallRuleCfg!R718,FALSE)</f>
        <v>6</v>
      </c>
      <c r="P718" s="110">
        <v>5</v>
      </c>
      <c r="Q718" s="110">
        <f t="shared" si="146"/>
        <v>7</v>
      </c>
      <c r="R718" s="110">
        <v>1</v>
      </c>
    </row>
    <row r="719" spans="2:18" x14ac:dyDescent="0.2">
      <c r="B719" s="57" t="str">
        <f t="shared" si="148"/>
        <v/>
      </c>
      <c r="D719" s="57" t="str">
        <f t="shared" si="149"/>
        <v/>
      </c>
      <c r="F719" s="57" t="str">
        <f t="shared" si="141"/>
        <v/>
      </c>
      <c r="G719" s="102" t="str">
        <f t="shared" si="147"/>
        <v/>
      </c>
      <c r="H719" s="57">
        <f t="shared" si="142"/>
        <v>0</v>
      </c>
      <c r="I719" s="102">
        <f>VLOOKUP(P719&amp;"_"&amp;Q719,活动关卡!$A$60:$Z$83,3+5*MonsterWaveCallRuleCfg!R719,FALSE)</f>
        <v>25</v>
      </c>
      <c r="J719" s="102">
        <f>VLOOKUP(P719&amp;"_"&amp;Q719,活动关卡!$A$60:$Z$83,4+5*MonsterWaveCallRuleCfg!R719,FALSE)</f>
        <v>1</v>
      </c>
      <c r="K719" s="102">
        <f t="shared" si="143"/>
        <v>1</v>
      </c>
      <c r="L719" s="102" t="str">
        <f>IF(VLOOKUP(P719&amp;"_"&amp;Q719,活动关卡!$A$60:$Z$83,2+5*R719,FALSE)="","","Monster_Season3_Challenge"&amp;P719&amp;"_"&amp;Q719&amp;"_"&amp;R719)</f>
        <v>Monster_Season3_Challenge5_7_2</v>
      </c>
      <c r="M719" s="57">
        <f t="shared" si="144"/>
        <v>1</v>
      </c>
      <c r="O719" s="102">
        <f>VLOOKUP(P719&amp;"_"&amp;Q719,活动关卡!$A$4:$Z$27,6+5*MonsterWaveCallRuleCfg!R719,FALSE)</f>
        <v>3</v>
      </c>
      <c r="P719" s="110">
        <v>5</v>
      </c>
      <c r="Q719" s="110">
        <f t="shared" si="146"/>
        <v>7</v>
      </c>
      <c r="R719" s="110">
        <v>2</v>
      </c>
    </row>
    <row r="720" spans="2:18" x14ac:dyDescent="0.2">
      <c r="B720" s="57" t="str">
        <f t="shared" si="148"/>
        <v/>
      </c>
      <c r="D720" s="57" t="str">
        <f t="shared" si="149"/>
        <v/>
      </c>
      <c r="F720" s="57" t="str">
        <f t="shared" si="141"/>
        <v/>
      </c>
      <c r="G720" s="102" t="str">
        <f t="shared" si="147"/>
        <v/>
      </c>
      <c r="H720" s="57">
        <f t="shared" si="142"/>
        <v>0</v>
      </c>
      <c r="I720" s="102">
        <f>VLOOKUP(P720&amp;"_"&amp;Q720,活动关卡!$A$60:$Z$83,3+5*MonsterWaveCallRuleCfg!R720,FALSE)</f>
        <v>125</v>
      </c>
      <c r="J720" s="102">
        <f>VLOOKUP(P720&amp;"_"&amp;Q720,活动关卡!$A$60:$Z$83,4+5*MonsterWaveCallRuleCfg!R720,FALSE)</f>
        <v>0.2</v>
      </c>
      <c r="K720" s="102">
        <f t="shared" si="143"/>
        <v>1</v>
      </c>
      <c r="L720" s="102" t="str">
        <f>IF(VLOOKUP(P720&amp;"_"&amp;Q720,活动关卡!$A$60:$Z$83,2+5*R720,FALSE)="","","Monster_Season3_Challenge"&amp;P720&amp;"_"&amp;Q720&amp;"_"&amp;R720)</f>
        <v>Monster_Season3_Challenge5_7_3</v>
      </c>
      <c r="M720" s="57">
        <f t="shared" si="144"/>
        <v>1</v>
      </c>
      <c r="O720" s="102">
        <f>VLOOKUP(P720&amp;"_"&amp;Q720,活动关卡!$A$4:$Z$27,6+5*MonsterWaveCallRuleCfg!R720,FALSE)</f>
        <v>2</v>
      </c>
      <c r="P720" s="110">
        <v>5</v>
      </c>
      <c r="Q720" s="110">
        <f t="shared" si="146"/>
        <v>7</v>
      </c>
      <c r="R720" s="110">
        <v>3</v>
      </c>
    </row>
    <row r="721" spans="2:18" x14ac:dyDescent="0.2">
      <c r="B721" s="57" t="str">
        <f t="shared" si="148"/>
        <v/>
      </c>
      <c r="D721" s="57" t="str">
        <f t="shared" si="149"/>
        <v/>
      </c>
      <c r="F721" s="57" t="str">
        <f t="shared" si="141"/>
        <v/>
      </c>
      <c r="G721" s="102" t="str">
        <f t="shared" si="147"/>
        <v/>
      </c>
      <c r="H721" s="57">
        <f t="shared" si="142"/>
        <v>0</v>
      </c>
      <c r="I721" s="102">
        <f>VLOOKUP(P721&amp;"_"&amp;Q721,活动关卡!$A$60:$Z$83,3+5*MonsterWaveCallRuleCfg!R721,FALSE)</f>
        <v>25</v>
      </c>
      <c r="J721" s="102">
        <f>VLOOKUP(P721&amp;"_"&amp;Q721,活动关卡!$A$60:$Z$83,4+5*MonsterWaveCallRuleCfg!R721,FALSE)</f>
        <v>1</v>
      </c>
      <c r="K721" s="102">
        <f t="shared" si="143"/>
        <v>1</v>
      </c>
      <c r="L721" s="102" t="str">
        <f>IF(VLOOKUP(P721&amp;"_"&amp;Q721,活动关卡!$A$60:$Z$83,2+5*R721,FALSE)="","","Monster_Season3_Challenge"&amp;P721&amp;"_"&amp;Q721&amp;"_"&amp;R721)</f>
        <v>Monster_Season3_Challenge5_7_4</v>
      </c>
      <c r="M721" s="57">
        <f t="shared" si="144"/>
        <v>1</v>
      </c>
      <c r="O721" s="102">
        <f>VLOOKUP(P721&amp;"_"&amp;Q721,活动关卡!$A$4:$Z$27,6+5*MonsterWaveCallRuleCfg!R721,FALSE)</f>
        <v>6</v>
      </c>
      <c r="P721" s="110">
        <v>5</v>
      </c>
      <c r="Q721" s="110">
        <f t="shared" si="146"/>
        <v>7</v>
      </c>
      <c r="R721" s="110">
        <v>4</v>
      </c>
    </row>
    <row r="722" spans="2:18" x14ac:dyDescent="0.2">
      <c r="B722" s="57" t="str">
        <f t="shared" si="148"/>
        <v>MonsterWaveCallRule_Season3_Challenge5</v>
      </c>
      <c r="C722" s="57">
        <v>8</v>
      </c>
      <c r="D722" s="57" t="str">
        <f t="shared" si="149"/>
        <v>赛季3关卡5第8波</v>
      </c>
      <c r="F722" s="57">
        <f t="shared" si="141"/>
        <v>0</v>
      </c>
      <c r="G722" s="102">
        <f t="shared" si="147"/>
        <v>180</v>
      </c>
      <c r="H722" s="57">
        <f t="shared" si="142"/>
        <v>0</v>
      </c>
      <c r="I722" s="102">
        <f>VLOOKUP(P722&amp;"_"&amp;Q722,活动关卡!$A$60:$Z$83,3+5*MonsterWaveCallRuleCfg!R722,FALSE)</f>
        <v>1</v>
      </c>
      <c r="J722" s="102">
        <f>VLOOKUP(P722&amp;"_"&amp;Q722,活动关卡!$A$60:$Z$83,4+5*MonsterWaveCallRuleCfg!R722,FALSE)</f>
        <v>0</v>
      </c>
      <c r="K722" s="102">
        <f t="shared" si="143"/>
        <v>1</v>
      </c>
      <c r="L722" s="102" t="str">
        <f>IF(VLOOKUP(P722&amp;"_"&amp;Q722,活动关卡!$A$60:$Z$83,2+5*R722,FALSE)="","","Monster_Season3_Challenge"&amp;P722&amp;"_"&amp;Q722&amp;"_"&amp;R722)</f>
        <v>Monster_Season3_Challenge5_8_1</v>
      </c>
      <c r="M722" s="57">
        <f t="shared" si="144"/>
        <v>1</v>
      </c>
      <c r="O722" s="102">
        <f>VLOOKUP(P722&amp;"_"&amp;Q722,活动关卡!$A$4:$Z$27,6+5*MonsterWaveCallRuleCfg!R722,FALSE)</f>
        <v>192</v>
      </c>
      <c r="P722" s="110">
        <v>5</v>
      </c>
      <c r="Q722" s="110">
        <f t="shared" si="146"/>
        <v>8</v>
      </c>
      <c r="R722" s="110">
        <v>1</v>
      </c>
    </row>
    <row r="723" spans="2:18" x14ac:dyDescent="0.2">
      <c r="G723" s="102" t="str">
        <f t="shared" si="147"/>
        <v/>
      </c>
      <c r="H723" s="57">
        <f t="shared" si="142"/>
        <v>0</v>
      </c>
      <c r="I723" s="102">
        <f>VLOOKUP(P723&amp;"_"&amp;Q723,活动关卡!$A$60:$Z$83,3+5*MonsterWaveCallRuleCfg!R723,FALSE)</f>
        <v>55</v>
      </c>
      <c r="J723" s="102">
        <f>VLOOKUP(P723&amp;"_"&amp;Q723,活动关卡!$A$60:$Z$83,4+5*MonsterWaveCallRuleCfg!R723,FALSE)</f>
        <v>0.5</v>
      </c>
      <c r="K723" s="102">
        <f t="shared" si="143"/>
        <v>1</v>
      </c>
      <c r="L723" s="102" t="str">
        <f>IF(VLOOKUP(P723&amp;"_"&amp;Q723,活动关卡!$A$60:$Z$83,2+5*R723,FALSE)="","","Monster_Season2_Challenge"&amp;P723&amp;"_"&amp;Q723&amp;"_"&amp;R723)</f>
        <v>Monster_Season2_Challenge5_8_2</v>
      </c>
      <c r="M723" s="57">
        <f t="shared" si="144"/>
        <v>1</v>
      </c>
      <c r="O723" s="102">
        <f>VLOOKUP(P723&amp;"_"&amp;Q723,活动关卡!$A$4:$Z$27,6+5*MonsterWaveCallRuleCfg!R723,FALSE)</f>
        <v>5</v>
      </c>
      <c r="P723" s="110">
        <v>5</v>
      </c>
      <c r="Q723" s="110">
        <f t="shared" si="146"/>
        <v>8</v>
      </c>
      <c r="R723" s="110">
        <v>2</v>
      </c>
    </row>
    <row r="724" spans="2:18" x14ac:dyDescent="0.2">
      <c r="G724" s="102" t="str">
        <f t="shared" si="147"/>
        <v/>
      </c>
      <c r="H724" s="57">
        <f t="shared" si="142"/>
        <v>0</v>
      </c>
      <c r="I724" s="102">
        <f>VLOOKUP(P724&amp;"_"&amp;Q724,活动关卡!$A$60:$Z$83,3+5*MonsterWaveCallRuleCfg!R724,FALSE)</f>
        <v>14</v>
      </c>
      <c r="J724" s="102">
        <f>VLOOKUP(P724&amp;"_"&amp;Q724,活动关卡!$A$60:$Z$83,4+5*MonsterWaveCallRuleCfg!R724,FALSE)</f>
        <v>2</v>
      </c>
      <c r="K724" s="102">
        <f t="shared" si="143"/>
        <v>1</v>
      </c>
      <c r="L724" s="102" t="str">
        <f>IF(VLOOKUP(P724&amp;"_"&amp;Q724,活动关卡!$A$60:$Z$83,2+5*R724,FALSE)="","","Monster_Season2_Challenge"&amp;P724&amp;"_"&amp;Q724&amp;"_"&amp;R724)</f>
        <v>Monster_Season2_Challenge5_8_3</v>
      </c>
      <c r="M724" s="57">
        <f t="shared" si="144"/>
        <v>1</v>
      </c>
      <c r="O724" s="102">
        <f>VLOOKUP(P724&amp;"_"&amp;Q724,活动关卡!$A$4:$Z$27,6+5*MonsterWaveCallRuleCfg!R724,FALSE)</f>
        <v>10</v>
      </c>
      <c r="P724" s="110">
        <v>5</v>
      </c>
      <c r="Q724" s="110">
        <f t="shared" si="146"/>
        <v>8</v>
      </c>
      <c r="R724" s="110">
        <v>3</v>
      </c>
    </row>
    <row r="725" spans="2:18" x14ac:dyDescent="0.2">
      <c r="G725" s="102" t="str">
        <f t="shared" si="147"/>
        <v/>
      </c>
      <c r="H725" s="57">
        <f t="shared" si="142"/>
        <v>0</v>
      </c>
      <c r="I725" s="102">
        <f>VLOOKUP(P725&amp;"_"&amp;Q725,活动关卡!$A$60:$Z$83,3+5*MonsterWaveCallRuleCfg!R725,FALSE)</f>
        <v>1</v>
      </c>
      <c r="J725" s="102">
        <f>VLOOKUP(P725&amp;"_"&amp;Q725,活动关卡!$A$60:$Z$83,4+5*MonsterWaveCallRuleCfg!R725,FALSE)</f>
        <v>0</v>
      </c>
      <c r="K725" s="102">
        <f t="shared" si="143"/>
        <v>1</v>
      </c>
      <c r="L725" s="102" t="str">
        <f>IF(VLOOKUP(P725&amp;"_"&amp;Q725,活动关卡!$A$60:$Z$83,2+5*R725,FALSE)="","","Monster_Season2_Challenge"&amp;P725&amp;"_"&amp;Q725&amp;"_"&amp;R725)</f>
        <v>Monster_Season2_Challenge5_8_4</v>
      </c>
      <c r="M725" s="57">
        <f t="shared" si="144"/>
        <v>1</v>
      </c>
      <c r="O725" s="102">
        <f>VLOOKUP(P725&amp;"_"&amp;Q725,活动关卡!$A$4:$Z$27,6+5*MonsterWaveCallRuleCfg!R725,FALSE)</f>
        <v>10</v>
      </c>
      <c r="P725" s="110">
        <v>5</v>
      </c>
      <c r="Q725" s="110">
        <f t="shared" si="146"/>
        <v>8</v>
      </c>
      <c r="R725" s="110">
        <v>4</v>
      </c>
    </row>
    <row r="726" spans="2:18" s="166" customFormat="1" x14ac:dyDescent="0.2"/>
    <row r="727" spans="2:18" x14ac:dyDescent="0.2">
      <c r="B727" s="57" t="str">
        <f t="shared" ref="B727:B758" si="150">IF(C727="","","MonsterWaveCallRule_Season4_Challenge"&amp;P727)</f>
        <v>MonsterWaveCallRule_Season4_Challenge1</v>
      </c>
      <c r="C727" s="57">
        <v>1</v>
      </c>
      <c r="D727" s="57" t="str">
        <f t="shared" ref="D727:D758" si="151">IF(C727="","","赛季4关卡"&amp;P727&amp;"第"&amp;C727&amp;"波")</f>
        <v>赛季4关卡1第1波</v>
      </c>
      <c r="F727" s="57">
        <f t="shared" ref="F727:F790" si="152">IF(C727="","",0)</f>
        <v>0</v>
      </c>
      <c r="G727" s="102">
        <f>IF(C727="","",180)</f>
        <v>180</v>
      </c>
      <c r="H727" s="57">
        <f t="shared" ref="H727:H790" si="153">IF(I727="","",0)</f>
        <v>0</v>
      </c>
      <c r="I727" s="102">
        <f>VLOOKUP(P727&amp;"_"&amp;Q727,活动关卡!$A$88:$Z$111,3+5*MonsterWaveCallRuleCfg!R727,FALSE)</f>
        <v>5</v>
      </c>
      <c r="J727" s="102">
        <f>VLOOKUP(P727&amp;"_"&amp;Q727,活动关卡!$A$88:$Z$111,4+5*MonsterWaveCallRuleCfg!R727,FALSE)</f>
        <v>2</v>
      </c>
      <c r="K727" s="102">
        <f t="shared" ref="K727:K790" si="154">IF(I727="","",1)</f>
        <v>1</v>
      </c>
      <c r="L727" s="102" t="str">
        <f>IF(VLOOKUP(P727&amp;"_"&amp;Q727,活动关卡!$A$88:$Z$111,2+5*R727,FALSE)="","","Monster_Season4_Challenge"&amp;P727&amp;"_"&amp;Q727&amp;"_"&amp;R727)</f>
        <v>Monster_Season4_Challenge1_1_1</v>
      </c>
      <c r="M727" s="57">
        <f t="shared" ref="M727:M790" si="155">IF(I727="","",1)</f>
        <v>1</v>
      </c>
      <c r="O727" s="102">
        <f>VLOOKUP(P727&amp;"_"&amp;Q727,活动关卡!$A$4:$Z$27,6+5*MonsterWaveCallRuleCfg!R727,FALSE)</f>
        <v>35</v>
      </c>
      <c r="P727" s="110">
        <v>1</v>
      </c>
      <c r="Q727" s="110">
        <f>C727</f>
        <v>1</v>
      </c>
      <c r="R727" s="110">
        <v>1</v>
      </c>
    </row>
    <row r="728" spans="2:18" x14ac:dyDescent="0.2">
      <c r="B728" s="57" t="str">
        <f t="shared" si="150"/>
        <v/>
      </c>
      <c r="D728" s="57" t="str">
        <f t="shared" si="151"/>
        <v/>
      </c>
      <c r="F728" s="57" t="str">
        <f t="shared" si="152"/>
        <v/>
      </c>
      <c r="G728" s="102" t="str">
        <f t="shared" ref="G728:G791" si="156">IF(C728="","",180)</f>
        <v/>
      </c>
      <c r="H728" s="57">
        <f t="shared" si="153"/>
        <v>0</v>
      </c>
      <c r="I728" s="102">
        <f>VLOOKUP(P728&amp;"_"&amp;Q728,活动关卡!$A$88:$Z$111,3+5*MonsterWaveCallRuleCfg!R728,FALSE)</f>
        <v>3</v>
      </c>
      <c r="J728" s="102">
        <f>VLOOKUP(P728&amp;"_"&amp;Q728,活动关卡!$A$88:$Z$111,4+5*MonsterWaveCallRuleCfg!R728,FALSE)</f>
        <v>3</v>
      </c>
      <c r="K728" s="102">
        <f t="shared" si="154"/>
        <v>1</v>
      </c>
      <c r="L728" s="102" t="str">
        <f>IF(VLOOKUP(P728&amp;"_"&amp;Q728,活动关卡!$A$88:$Z$111,2+5*R728,FALSE)="","","Monster_Season4_Challenge"&amp;P728&amp;"_"&amp;Q728&amp;"_"&amp;R728)</f>
        <v>Monster_Season4_Challenge1_1_2</v>
      </c>
      <c r="M728" s="57">
        <f t="shared" si="155"/>
        <v>1</v>
      </c>
      <c r="O728" s="102">
        <f>VLOOKUP(P728&amp;"_"&amp;Q728,活动关卡!$A$4:$Z$27,6+5*MonsterWaveCallRuleCfg!R728,FALSE)</f>
        <v>141</v>
      </c>
      <c r="P728" s="110">
        <v>1</v>
      </c>
      <c r="Q728" s="110">
        <f>IF(C728="",Q727,C728)</f>
        <v>1</v>
      </c>
      <c r="R728" s="110">
        <v>2</v>
      </c>
    </row>
    <row r="729" spans="2:18" x14ac:dyDescent="0.2">
      <c r="B729" s="57" t="str">
        <f t="shared" si="150"/>
        <v/>
      </c>
      <c r="D729" s="57" t="str">
        <f t="shared" si="151"/>
        <v/>
      </c>
      <c r="F729" s="57" t="str">
        <f t="shared" si="152"/>
        <v/>
      </c>
      <c r="G729" s="102" t="str">
        <f t="shared" si="156"/>
        <v/>
      </c>
      <c r="H729" s="57" t="str">
        <f t="shared" si="153"/>
        <v/>
      </c>
      <c r="I729" s="102" t="str">
        <f>VLOOKUP(P729&amp;"_"&amp;Q729,活动关卡!$A$88:$Z$111,3+5*MonsterWaveCallRuleCfg!R729,FALSE)</f>
        <v/>
      </c>
      <c r="J729" s="102" t="str">
        <f>VLOOKUP(P729&amp;"_"&amp;Q729,活动关卡!$A$88:$Z$111,4+5*MonsterWaveCallRuleCfg!R729,FALSE)</f>
        <v/>
      </c>
      <c r="K729" s="102" t="str">
        <f t="shared" si="154"/>
        <v/>
      </c>
      <c r="L729" s="102" t="str">
        <f>IF(VLOOKUP(P729&amp;"_"&amp;Q729,活动关卡!$A$88:$Z$111,2+5*R729,FALSE)="","","Monster_Season4_Challenge"&amp;P729&amp;"_"&amp;Q729&amp;"_"&amp;R729)</f>
        <v/>
      </c>
      <c r="M729" s="57" t="str">
        <f t="shared" si="155"/>
        <v/>
      </c>
      <c r="O729" s="102" t="str">
        <f>VLOOKUP(P729&amp;"_"&amp;Q729,活动关卡!$A$4:$Z$27,6+5*MonsterWaveCallRuleCfg!R729,FALSE)</f>
        <v/>
      </c>
      <c r="P729" s="110">
        <v>1</v>
      </c>
      <c r="Q729" s="110">
        <f t="shared" ref="Q729:Q792" si="157">IF(C729="",Q728,C729)</f>
        <v>1</v>
      </c>
      <c r="R729" s="110">
        <v>3</v>
      </c>
    </row>
    <row r="730" spans="2:18" x14ac:dyDescent="0.2">
      <c r="B730" s="57" t="str">
        <f t="shared" si="150"/>
        <v/>
      </c>
      <c r="D730" s="57" t="str">
        <f t="shared" si="151"/>
        <v/>
      </c>
      <c r="F730" s="57" t="str">
        <f t="shared" si="152"/>
        <v/>
      </c>
      <c r="G730" s="102" t="str">
        <f t="shared" si="156"/>
        <v/>
      </c>
      <c r="H730" s="57" t="str">
        <f t="shared" si="153"/>
        <v/>
      </c>
      <c r="I730" s="102" t="str">
        <f>VLOOKUP(P730&amp;"_"&amp;Q730,活动关卡!$A$88:$Z$111,3+5*MonsterWaveCallRuleCfg!R730,FALSE)</f>
        <v/>
      </c>
      <c r="J730" s="102" t="str">
        <f>VLOOKUP(P730&amp;"_"&amp;Q730,活动关卡!$A$88:$Z$111,4+5*MonsterWaveCallRuleCfg!R730,FALSE)</f>
        <v/>
      </c>
      <c r="K730" s="102" t="str">
        <f t="shared" si="154"/>
        <v/>
      </c>
      <c r="L730" s="102" t="str">
        <f>IF(VLOOKUP(P730&amp;"_"&amp;Q730,活动关卡!$A$88:$Z$111,2+5*R730,FALSE)="","","Monster_Season4_Challenge"&amp;P730&amp;"_"&amp;Q730&amp;"_"&amp;R730)</f>
        <v/>
      </c>
      <c r="M730" s="57" t="str">
        <f t="shared" si="155"/>
        <v/>
      </c>
      <c r="O730" s="102" t="str">
        <f>VLOOKUP(P730&amp;"_"&amp;Q730,活动关卡!$A$4:$Z$27,6+5*MonsterWaveCallRuleCfg!R730,FALSE)</f>
        <v/>
      </c>
      <c r="P730" s="110">
        <v>1</v>
      </c>
      <c r="Q730" s="110">
        <f t="shared" si="157"/>
        <v>1</v>
      </c>
      <c r="R730" s="110">
        <v>4</v>
      </c>
    </row>
    <row r="731" spans="2:18" x14ac:dyDescent="0.2">
      <c r="B731" s="57" t="str">
        <f t="shared" si="150"/>
        <v>MonsterWaveCallRule_Season4_Challenge1</v>
      </c>
      <c r="C731" s="57">
        <v>2</v>
      </c>
      <c r="D731" s="57" t="str">
        <f t="shared" si="151"/>
        <v>赛季4关卡1第2波</v>
      </c>
      <c r="F731" s="57">
        <f t="shared" si="152"/>
        <v>0</v>
      </c>
      <c r="G731" s="102">
        <f t="shared" si="156"/>
        <v>180</v>
      </c>
      <c r="H731" s="57">
        <f t="shared" si="153"/>
        <v>0</v>
      </c>
      <c r="I731" s="102">
        <f>VLOOKUP(P731&amp;"_"&amp;Q731,活动关卡!$A$88:$Z$111,3+5*MonsterWaveCallRuleCfg!R731,FALSE)</f>
        <v>25</v>
      </c>
      <c r="J731" s="102">
        <f>VLOOKUP(P731&amp;"_"&amp;Q731,活动关卡!$A$88:$Z$111,4+5*MonsterWaveCallRuleCfg!R731,FALSE)</f>
        <v>0.5</v>
      </c>
      <c r="K731" s="102">
        <f t="shared" si="154"/>
        <v>1</v>
      </c>
      <c r="L731" s="102" t="str">
        <f>IF(VLOOKUP(P731&amp;"_"&amp;Q731,活动关卡!$A$88:$Z$111,2+5*R731,FALSE)="","","Monster_Season4_Challenge"&amp;P731&amp;"_"&amp;Q731&amp;"_"&amp;R731)</f>
        <v>Monster_Season4_Challenge1_2_1</v>
      </c>
      <c r="M731" s="57">
        <f t="shared" si="155"/>
        <v>1</v>
      </c>
      <c r="O731" s="102">
        <f>VLOOKUP(P731&amp;"_"&amp;Q731,活动关卡!$A$4:$Z$27,6+5*MonsterWaveCallRuleCfg!R731,FALSE)</f>
        <v>15</v>
      </c>
      <c r="P731" s="110">
        <v>1</v>
      </c>
      <c r="Q731" s="110">
        <f t="shared" si="157"/>
        <v>2</v>
      </c>
      <c r="R731" s="110">
        <v>1</v>
      </c>
    </row>
    <row r="732" spans="2:18" x14ac:dyDescent="0.2">
      <c r="B732" s="57" t="str">
        <f t="shared" si="150"/>
        <v/>
      </c>
      <c r="D732" s="57" t="str">
        <f t="shared" si="151"/>
        <v/>
      </c>
      <c r="F732" s="57" t="str">
        <f t="shared" si="152"/>
        <v/>
      </c>
      <c r="G732" s="102" t="str">
        <f t="shared" si="156"/>
        <v/>
      </c>
      <c r="H732" s="57">
        <f t="shared" si="153"/>
        <v>0</v>
      </c>
      <c r="I732" s="102">
        <f>VLOOKUP(P732&amp;"_"&amp;Q732,活动关卡!$A$88:$Z$111,3+5*MonsterWaveCallRuleCfg!R732,FALSE)</f>
        <v>4</v>
      </c>
      <c r="J732" s="102">
        <f>VLOOKUP(P732&amp;"_"&amp;Q732,活动关卡!$A$88:$Z$111,4+5*MonsterWaveCallRuleCfg!R732,FALSE)</f>
        <v>3</v>
      </c>
      <c r="K732" s="102">
        <f t="shared" si="154"/>
        <v>1</v>
      </c>
      <c r="L732" s="102" t="str">
        <f>IF(VLOOKUP(P732&amp;"_"&amp;Q732,活动关卡!$A$88:$Z$111,2+5*R732,FALSE)="","","Monster_Season4_Challenge"&amp;P732&amp;"_"&amp;Q732&amp;"_"&amp;R732)</f>
        <v>Monster_Season4_Challenge1_2_2</v>
      </c>
      <c r="M732" s="57">
        <f t="shared" si="155"/>
        <v>1</v>
      </c>
      <c r="O732" s="102">
        <f>VLOOKUP(P732&amp;"_"&amp;Q732,活动关卡!$A$4:$Z$27,6+5*MonsterWaveCallRuleCfg!R732,FALSE)</f>
        <v>59</v>
      </c>
      <c r="P732" s="110">
        <v>1</v>
      </c>
      <c r="Q732" s="110">
        <f t="shared" si="157"/>
        <v>2</v>
      </c>
      <c r="R732" s="110">
        <v>2</v>
      </c>
    </row>
    <row r="733" spans="2:18" x14ac:dyDescent="0.2">
      <c r="B733" s="57" t="str">
        <f t="shared" si="150"/>
        <v/>
      </c>
      <c r="D733" s="57" t="str">
        <f t="shared" si="151"/>
        <v/>
      </c>
      <c r="F733" s="57" t="str">
        <f t="shared" si="152"/>
        <v/>
      </c>
      <c r="G733" s="102" t="str">
        <f t="shared" si="156"/>
        <v/>
      </c>
      <c r="H733" s="57" t="str">
        <f t="shared" si="153"/>
        <v/>
      </c>
      <c r="I733" s="102" t="str">
        <f>VLOOKUP(P733&amp;"_"&amp;Q733,活动关卡!$A$88:$Z$111,3+5*MonsterWaveCallRuleCfg!R733,FALSE)</f>
        <v/>
      </c>
      <c r="J733" s="102" t="str">
        <f>VLOOKUP(P733&amp;"_"&amp;Q733,活动关卡!$A$88:$Z$111,4+5*MonsterWaveCallRuleCfg!R733,FALSE)</f>
        <v/>
      </c>
      <c r="K733" s="102" t="str">
        <f t="shared" si="154"/>
        <v/>
      </c>
      <c r="L733" s="102" t="str">
        <f>IF(VLOOKUP(P733&amp;"_"&amp;Q733,活动关卡!$A$88:$Z$111,2+5*R733,FALSE)="","","Monster_Season4_Challenge"&amp;P733&amp;"_"&amp;Q733&amp;"_"&amp;R733)</f>
        <v/>
      </c>
      <c r="M733" s="57" t="str">
        <f t="shared" si="155"/>
        <v/>
      </c>
      <c r="O733" s="102" t="str">
        <f>VLOOKUP(P733&amp;"_"&amp;Q733,活动关卡!$A$4:$Z$27,6+5*MonsterWaveCallRuleCfg!R733,FALSE)</f>
        <v/>
      </c>
      <c r="P733" s="110">
        <v>1</v>
      </c>
      <c r="Q733" s="110">
        <f t="shared" si="157"/>
        <v>2</v>
      </c>
      <c r="R733" s="110">
        <v>3</v>
      </c>
    </row>
    <row r="734" spans="2:18" x14ac:dyDescent="0.2">
      <c r="B734" s="57" t="str">
        <f t="shared" si="150"/>
        <v/>
      </c>
      <c r="D734" s="57" t="str">
        <f t="shared" si="151"/>
        <v/>
      </c>
      <c r="F734" s="57" t="str">
        <f t="shared" si="152"/>
        <v/>
      </c>
      <c r="G734" s="102" t="str">
        <f t="shared" si="156"/>
        <v/>
      </c>
      <c r="H734" s="57" t="str">
        <f t="shared" si="153"/>
        <v/>
      </c>
      <c r="I734" s="102" t="str">
        <f>VLOOKUP(P734&amp;"_"&amp;Q734,活动关卡!$A$88:$Z$111,3+5*MonsterWaveCallRuleCfg!R734,FALSE)</f>
        <v/>
      </c>
      <c r="J734" s="102" t="str">
        <f>VLOOKUP(P734&amp;"_"&amp;Q734,活动关卡!$A$88:$Z$111,4+5*MonsterWaveCallRuleCfg!R734,FALSE)</f>
        <v/>
      </c>
      <c r="K734" s="102" t="str">
        <f t="shared" si="154"/>
        <v/>
      </c>
      <c r="L734" s="102" t="str">
        <f>IF(VLOOKUP(P734&amp;"_"&amp;Q734,活动关卡!$A$88:$Z$111,2+5*R734,FALSE)="","","Monster_Season4_Challenge"&amp;P734&amp;"_"&amp;Q734&amp;"_"&amp;R734)</f>
        <v/>
      </c>
      <c r="M734" s="57" t="str">
        <f t="shared" si="155"/>
        <v/>
      </c>
      <c r="O734" s="102" t="str">
        <f>VLOOKUP(P734&amp;"_"&amp;Q734,活动关卡!$A$4:$Z$27,6+5*MonsterWaveCallRuleCfg!R734,FALSE)</f>
        <v/>
      </c>
      <c r="P734" s="110">
        <v>1</v>
      </c>
      <c r="Q734" s="110">
        <f t="shared" si="157"/>
        <v>2</v>
      </c>
      <c r="R734" s="110">
        <v>4</v>
      </c>
    </row>
    <row r="735" spans="2:18" x14ac:dyDescent="0.2">
      <c r="B735" s="57" t="str">
        <f t="shared" si="150"/>
        <v>MonsterWaveCallRule_Season4_Challenge1</v>
      </c>
      <c r="C735" s="57">
        <v>3</v>
      </c>
      <c r="D735" s="57" t="str">
        <f t="shared" si="151"/>
        <v>赛季4关卡1第3波</v>
      </c>
      <c r="F735" s="57">
        <f t="shared" si="152"/>
        <v>0</v>
      </c>
      <c r="G735" s="102">
        <f t="shared" si="156"/>
        <v>180</v>
      </c>
      <c r="H735" s="57">
        <f t="shared" si="153"/>
        <v>0</v>
      </c>
      <c r="I735" s="102">
        <f>VLOOKUP(P735&amp;"_"&amp;Q735,活动关卡!$A$88:$Z$111,3+5*MonsterWaveCallRuleCfg!R735,FALSE)</f>
        <v>30</v>
      </c>
      <c r="J735" s="102">
        <f>VLOOKUP(P735&amp;"_"&amp;Q735,活动关卡!$A$88:$Z$111,4+5*MonsterWaveCallRuleCfg!R735,FALSE)</f>
        <v>0.5</v>
      </c>
      <c r="K735" s="102">
        <f t="shared" si="154"/>
        <v>1</v>
      </c>
      <c r="L735" s="102" t="str">
        <f>IF(VLOOKUP(P735&amp;"_"&amp;Q735,活动关卡!$A$88:$Z$111,2+5*R735,FALSE)="","","Monster_Season4_Challenge"&amp;P735&amp;"_"&amp;Q735&amp;"_"&amp;R735)</f>
        <v>Monster_Season4_Challenge1_3_1</v>
      </c>
      <c r="M735" s="57">
        <f t="shared" si="155"/>
        <v>1</v>
      </c>
      <c r="O735" s="102">
        <f>VLOOKUP(P735&amp;"_"&amp;Q735,活动关卡!$A$4:$Z$27,6+5*MonsterWaveCallRuleCfg!R735,FALSE)</f>
        <v>7</v>
      </c>
      <c r="P735" s="110">
        <v>1</v>
      </c>
      <c r="Q735" s="110">
        <f t="shared" si="157"/>
        <v>3</v>
      </c>
      <c r="R735" s="110">
        <v>1</v>
      </c>
    </row>
    <row r="736" spans="2:18" x14ac:dyDescent="0.2">
      <c r="B736" s="57" t="str">
        <f t="shared" si="150"/>
        <v/>
      </c>
      <c r="D736" s="57" t="str">
        <f t="shared" si="151"/>
        <v/>
      </c>
      <c r="F736" s="57" t="str">
        <f t="shared" si="152"/>
        <v/>
      </c>
      <c r="G736" s="102" t="str">
        <f t="shared" si="156"/>
        <v/>
      </c>
      <c r="H736" s="57">
        <f t="shared" si="153"/>
        <v>0</v>
      </c>
      <c r="I736" s="102">
        <f>VLOOKUP(P736&amp;"_"&amp;Q736,活动关卡!$A$88:$Z$111,3+5*MonsterWaveCallRuleCfg!R736,FALSE)</f>
        <v>5</v>
      </c>
      <c r="J736" s="102">
        <f>VLOOKUP(P736&amp;"_"&amp;Q736,活动关卡!$A$88:$Z$111,4+5*MonsterWaveCallRuleCfg!R736,FALSE)</f>
        <v>3</v>
      </c>
      <c r="K736" s="102">
        <f t="shared" si="154"/>
        <v>1</v>
      </c>
      <c r="L736" s="102" t="str">
        <f>IF(VLOOKUP(P736&amp;"_"&amp;Q736,活动关卡!$A$88:$Z$111,2+5*R736,FALSE)="","","Monster_Season4_Challenge"&amp;P736&amp;"_"&amp;Q736&amp;"_"&amp;R736)</f>
        <v>Monster_Season4_Challenge1_3_2</v>
      </c>
      <c r="M736" s="57">
        <f t="shared" si="155"/>
        <v>1</v>
      </c>
      <c r="O736" s="102">
        <f>VLOOKUP(P736&amp;"_"&amp;Q736,活动关卡!$A$4:$Z$27,6+5*MonsterWaveCallRuleCfg!R736,FALSE)</f>
        <v>27</v>
      </c>
      <c r="P736" s="110">
        <v>1</v>
      </c>
      <c r="Q736" s="110">
        <f t="shared" si="157"/>
        <v>3</v>
      </c>
      <c r="R736" s="110">
        <v>2</v>
      </c>
    </row>
    <row r="737" spans="2:18" x14ac:dyDescent="0.2">
      <c r="B737" s="57" t="str">
        <f t="shared" si="150"/>
        <v/>
      </c>
      <c r="D737" s="57" t="str">
        <f t="shared" si="151"/>
        <v/>
      </c>
      <c r="F737" s="57" t="str">
        <f t="shared" si="152"/>
        <v/>
      </c>
      <c r="G737" s="102" t="str">
        <f t="shared" si="156"/>
        <v/>
      </c>
      <c r="H737" s="57">
        <f t="shared" si="153"/>
        <v>0</v>
      </c>
      <c r="I737" s="102">
        <f>VLOOKUP(P737&amp;"_"&amp;Q737,活动关卡!$A$88:$Z$111,3+5*MonsterWaveCallRuleCfg!R737,FALSE)</f>
        <v>10</v>
      </c>
      <c r="J737" s="102">
        <f>VLOOKUP(P737&amp;"_"&amp;Q737,活动关卡!$A$88:$Z$111,4+5*MonsterWaveCallRuleCfg!R737,FALSE)</f>
        <v>1.5</v>
      </c>
      <c r="K737" s="102">
        <f t="shared" si="154"/>
        <v>1</v>
      </c>
      <c r="L737" s="102" t="str">
        <f>IF(VLOOKUP(P737&amp;"_"&amp;Q737,活动关卡!$A$88:$Z$111,2+5*R737,FALSE)="","","Monster_Season4_Challenge"&amp;P737&amp;"_"&amp;Q737&amp;"_"&amp;R737)</f>
        <v>Monster_Season4_Challenge1_3_3</v>
      </c>
      <c r="M737" s="57">
        <f t="shared" si="155"/>
        <v>1</v>
      </c>
      <c r="O737" s="102">
        <f>VLOOKUP(P737&amp;"_"&amp;Q737,活动关卡!$A$4:$Z$27,6+5*MonsterWaveCallRuleCfg!R737,FALSE)</f>
        <v>27</v>
      </c>
      <c r="P737" s="110">
        <v>1</v>
      </c>
      <c r="Q737" s="110">
        <f t="shared" si="157"/>
        <v>3</v>
      </c>
      <c r="R737" s="110">
        <v>3</v>
      </c>
    </row>
    <row r="738" spans="2:18" x14ac:dyDescent="0.2">
      <c r="B738" s="57" t="str">
        <f t="shared" si="150"/>
        <v/>
      </c>
      <c r="D738" s="57" t="str">
        <f t="shared" si="151"/>
        <v/>
      </c>
      <c r="F738" s="57" t="str">
        <f t="shared" si="152"/>
        <v/>
      </c>
      <c r="G738" s="102" t="str">
        <f t="shared" si="156"/>
        <v/>
      </c>
      <c r="H738" s="57" t="str">
        <f t="shared" si="153"/>
        <v/>
      </c>
      <c r="I738" s="102" t="str">
        <f>VLOOKUP(P738&amp;"_"&amp;Q738,活动关卡!$A$88:$Z$111,3+5*MonsterWaveCallRuleCfg!R738,FALSE)</f>
        <v/>
      </c>
      <c r="J738" s="102" t="str">
        <f>VLOOKUP(P738&amp;"_"&amp;Q738,活动关卡!$A$88:$Z$111,4+5*MonsterWaveCallRuleCfg!R738,FALSE)</f>
        <v/>
      </c>
      <c r="K738" s="102" t="str">
        <f t="shared" si="154"/>
        <v/>
      </c>
      <c r="L738" s="102" t="str">
        <f>IF(VLOOKUP(P738&amp;"_"&amp;Q738,活动关卡!$A$88:$Z$111,2+5*R738,FALSE)="","","Monster_Season4_Challenge"&amp;P738&amp;"_"&amp;Q738&amp;"_"&amp;R738)</f>
        <v/>
      </c>
      <c r="M738" s="57" t="str">
        <f t="shared" si="155"/>
        <v/>
      </c>
      <c r="O738" s="102" t="str">
        <f>VLOOKUP(P738&amp;"_"&amp;Q738,活动关卡!$A$4:$Z$27,6+5*MonsterWaveCallRuleCfg!R738,FALSE)</f>
        <v/>
      </c>
      <c r="P738" s="110">
        <v>1</v>
      </c>
      <c r="Q738" s="110">
        <f t="shared" si="157"/>
        <v>3</v>
      </c>
      <c r="R738" s="110">
        <v>4</v>
      </c>
    </row>
    <row r="739" spans="2:18" x14ac:dyDescent="0.2">
      <c r="B739" s="57" t="str">
        <f t="shared" si="150"/>
        <v>MonsterWaveCallRule_Season4_Challenge1</v>
      </c>
      <c r="C739" s="57">
        <v>4</v>
      </c>
      <c r="D739" s="57" t="str">
        <f t="shared" si="151"/>
        <v>赛季4关卡1第4波</v>
      </c>
      <c r="F739" s="57">
        <f t="shared" si="152"/>
        <v>0</v>
      </c>
      <c r="G739" s="102">
        <f t="shared" si="156"/>
        <v>180</v>
      </c>
      <c r="H739" s="57" t="e">
        <f t="shared" si="153"/>
        <v>#N/A</v>
      </c>
      <c r="I739" s="102" t="e">
        <f>VLOOKUP(P739&amp;"_"&amp;Q739,活动关卡!$A$88:$Z$111,3+5*MonsterWaveCallRuleCfg!R739,FALSE)</f>
        <v>#N/A</v>
      </c>
      <c r="J739" s="102" t="e">
        <f>VLOOKUP(P739&amp;"_"&amp;Q739,活动关卡!$A$88:$Z$111,4+5*MonsterWaveCallRuleCfg!R739,FALSE)</f>
        <v>#N/A</v>
      </c>
      <c r="K739" s="102" t="e">
        <f t="shared" si="154"/>
        <v>#N/A</v>
      </c>
      <c r="L739" s="102" t="e">
        <f>IF(VLOOKUP(P739&amp;"_"&amp;Q739,活动关卡!$A$88:$Z$111,2+5*R739,FALSE)="","","Monster_Season4_Challenge"&amp;P739&amp;"_"&amp;Q739&amp;"_"&amp;R739)</f>
        <v>#N/A</v>
      </c>
      <c r="M739" s="57" t="e">
        <f t="shared" si="155"/>
        <v>#N/A</v>
      </c>
      <c r="O739" s="102" t="e">
        <f>VLOOKUP(P739&amp;"_"&amp;Q739,活动关卡!$A$4:$Z$27,6+5*MonsterWaveCallRuleCfg!R739,FALSE)</f>
        <v>#N/A</v>
      </c>
      <c r="P739" s="110">
        <v>1</v>
      </c>
      <c r="Q739" s="110">
        <f t="shared" si="157"/>
        <v>4</v>
      </c>
      <c r="R739" s="110">
        <v>1</v>
      </c>
    </row>
    <row r="740" spans="2:18" x14ac:dyDescent="0.2">
      <c r="B740" s="57" t="str">
        <f t="shared" si="150"/>
        <v/>
      </c>
      <c r="D740" s="57" t="str">
        <f t="shared" si="151"/>
        <v/>
      </c>
      <c r="F740" s="57" t="str">
        <f t="shared" si="152"/>
        <v/>
      </c>
      <c r="G740" s="102" t="str">
        <f t="shared" si="156"/>
        <v/>
      </c>
      <c r="H740" s="57" t="e">
        <f t="shared" si="153"/>
        <v>#N/A</v>
      </c>
      <c r="I740" s="102" t="e">
        <f>VLOOKUP(P740&amp;"_"&amp;Q740,活动关卡!$A$88:$Z$111,3+5*MonsterWaveCallRuleCfg!R740,FALSE)</f>
        <v>#N/A</v>
      </c>
      <c r="J740" s="102" t="e">
        <f>VLOOKUP(P740&amp;"_"&amp;Q740,活动关卡!$A$88:$Z$111,4+5*MonsterWaveCallRuleCfg!R740,FALSE)</f>
        <v>#N/A</v>
      </c>
      <c r="K740" s="102" t="e">
        <f t="shared" si="154"/>
        <v>#N/A</v>
      </c>
      <c r="L740" s="102" t="e">
        <f>IF(VLOOKUP(P740&amp;"_"&amp;Q740,活动关卡!$A$88:$Z$111,2+5*R740,FALSE)="","","Monster_Season4_Challenge"&amp;P740&amp;"_"&amp;Q740&amp;"_"&amp;R740)</f>
        <v>#N/A</v>
      </c>
      <c r="M740" s="57" t="e">
        <f t="shared" si="155"/>
        <v>#N/A</v>
      </c>
      <c r="O740" s="102" t="e">
        <f>VLOOKUP(P740&amp;"_"&amp;Q740,活动关卡!$A$4:$Z$27,6+5*MonsterWaveCallRuleCfg!R740,FALSE)</f>
        <v>#N/A</v>
      </c>
      <c r="P740" s="110">
        <v>1</v>
      </c>
      <c r="Q740" s="110">
        <f t="shared" si="157"/>
        <v>4</v>
      </c>
      <c r="R740" s="110">
        <v>2</v>
      </c>
    </row>
    <row r="741" spans="2:18" x14ac:dyDescent="0.2">
      <c r="B741" s="57" t="str">
        <f t="shared" si="150"/>
        <v/>
      </c>
      <c r="D741" s="57" t="str">
        <f t="shared" si="151"/>
        <v/>
      </c>
      <c r="F741" s="57" t="str">
        <f t="shared" si="152"/>
        <v/>
      </c>
      <c r="G741" s="102" t="str">
        <f t="shared" si="156"/>
        <v/>
      </c>
      <c r="H741" s="57" t="e">
        <f t="shared" si="153"/>
        <v>#N/A</v>
      </c>
      <c r="I741" s="102" t="e">
        <f>VLOOKUP(P741&amp;"_"&amp;Q741,活动关卡!$A$88:$Z$111,3+5*MonsterWaveCallRuleCfg!R741,FALSE)</f>
        <v>#N/A</v>
      </c>
      <c r="J741" s="102" t="e">
        <f>VLOOKUP(P741&amp;"_"&amp;Q741,活动关卡!$A$88:$Z$111,4+5*MonsterWaveCallRuleCfg!R741,FALSE)</f>
        <v>#N/A</v>
      </c>
      <c r="K741" s="102" t="e">
        <f t="shared" si="154"/>
        <v>#N/A</v>
      </c>
      <c r="L741" s="102" t="e">
        <f>IF(VLOOKUP(P741&amp;"_"&amp;Q741,活动关卡!$A$88:$Z$111,2+5*R741,FALSE)="","","Monster_Season4_Challenge"&amp;P741&amp;"_"&amp;Q741&amp;"_"&amp;R741)</f>
        <v>#N/A</v>
      </c>
      <c r="M741" s="57" t="e">
        <f t="shared" si="155"/>
        <v>#N/A</v>
      </c>
      <c r="O741" s="102" t="e">
        <f>VLOOKUP(P741&amp;"_"&amp;Q741,活动关卡!$A$4:$Z$27,6+5*MonsterWaveCallRuleCfg!R741,FALSE)</f>
        <v>#N/A</v>
      </c>
      <c r="P741" s="110">
        <v>1</v>
      </c>
      <c r="Q741" s="110">
        <f t="shared" si="157"/>
        <v>4</v>
      </c>
      <c r="R741" s="110">
        <v>3</v>
      </c>
    </row>
    <row r="742" spans="2:18" x14ac:dyDescent="0.2">
      <c r="B742" s="57" t="str">
        <f t="shared" si="150"/>
        <v/>
      </c>
      <c r="D742" s="57" t="str">
        <f t="shared" si="151"/>
        <v/>
      </c>
      <c r="F742" s="57" t="str">
        <f t="shared" si="152"/>
        <v/>
      </c>
      <c r="G742" s="102" t="str">
        <f t="shared" si="156"/>
        <v/>
      </c>
      <c r="H742" s="57" t="e">
        <f t="shared" si="153"/>
        <v>#N/A</v>
      </c>
      <c r="I742" s="102" t="e">
        <f>VLOOKUP(P742&amp;"_"&amp;Q742,活动关卡!$A$88:$Z$111,3+5*MonsterWaveCallRuleCfg!R742,FALSE)</f>
        <v>#N/A</v>
      </c>
      <c r="J742" s="102" t="e">
        <f>VLOOKUP(P742&amp;"_"&amp;Q742,活动关卡!$A$88:$Z$111,4+5*MonsterWaveCallRuleCfg!R742,FALSE)</f>
        <v>#N/A</v>
      </c>
      <c r="K742" s="102" t="e">
        <f t="shared" si="154"/>
        <v>#N/A</v>
      </c>
      <c r="L742" s="102" t="e">
        <f>IF(VLOOKUP(P742&amp;"_"&amp;Q742,活动关卡!$A$88:$Z$111,2+5*R742,FALSE)="","","Monster_Season4_Challenge"&amp;P742&amp;"_"&amp;Q742&amp;"_"&amp;R742)</f>
        <v>#N/A</v>
      </c>
      <c r="M742" s="57" t="e">
        <f t="shared" si="155"/>
        <v>#N/A</v>
      </c>
      <c r="O742" s="102" t="e">
        <f>VLOOKUP(P742&amp;"_"&amp;Q742,活动关卡!$A$4:$Z$27,6+5*MonsterWaveCallRuleCfg!R742,FALSE)</f>
        <v>#N/A</v>
      </c>
      <c r="P742" s="110">
        <v>1</v>
      </c>
      <c r="Q742" s="110">
        <f t="shared" si="157"/>
        <v>4</v>
      </c>
      <c r="R742" s="110">
        <v>4</v>
      </c>
    </row>
    <row r="743" spans="2:18" x14ac:dyDescent="0.2">
      <c r="B743" s="57" t="str">
        <f t="shared" si="150"/>
        <v>MonsterWaveCallRule_Season4_Challenge1</v>
      </c>
      <c r="C743" s="57">
        <v>5</v>
      </c>
      <c r="D743" s="57" t="str">
        <f t="shared" si="151"/>
        <v>赛季4关卡1第5波</v>
      </c>
      <c r="F743" s="57">
        <f t="shared" si="152"/>
        <v>0</v>
      </c>
      <c r="G743" s="102">
        <f t="shared" si="156"/>
        <v>180</v>
      </c>
      <c r="H743" s="57" t="e">
        <f t="shared" si="153"/>
        <v>#N/A</v>
      </c>
      <c r="I743" s="102" t="e">
        <f>VLOOKUP(P743&amp;"_"&amp;Q743,活动关卡!$A$88:$Z$111,3+5*MonsterWaveCallRuleCfg!R743,FALSE)</f>
        <v>#N/A</v>
      </c>
      <c r="J743" s="102" t="e">
        <f>VLOOKUP(P743&amp;"_"&amp;Q743,活动关卡!$A$88:$Z$111,4+5*MonsterWaveCallRuleCfg!R743,FALSE)</f>
        <v>#N/A</v>
      </c>
      <c r="K743" s="102" t="e">
        <f t="shared" si="154"/>
        <v>#N/A</v>
      </c>
      <c r="L743" s="102" t="e">
        <f>IF(VLOOKUP(P743&amp;"_"&amp;Q743,活动关卡!$A$88:$Z$111,2+5*R743,FALSE)="","","Monster_Season4_Challenge"&amp;P743&amp;"_"&amp;Q743&amp;"_"&amp;R743)</f>
        <v>#N/A</v>
      </c>
      <c r="M743" s="57" t="e">
        <f t="shared" si="155"/>
        <v>#N/A</v>
      </c>
      <c r="O743" s="102" t="e">
        <f>VLOOKUP(P743&amp;"_"&amp;Q743,活动关卡!$A$4:$Z$27,6+5*MonsterWaveCallRuleCfg!R743,FALSE)</f>
        <v>#N/A</v>
      </c>
      <c r="P743" s="110">
        <v>1</v>
      </c>
      <c r="Q743" s="110">
        <f t="shared" si="157"/>
        <v>5</v>
      </c>
      <c r="R743" s="110">
        <v>1</v>
      </c>
    </row>
    <row r="744" spans="2:18" x14ac:dyDescent="0.2">
      <c r="B744" s="57" t="str">
        <f t="shared" si="150"/>
        <v/>
      </c>
      <c r="D744" s="57" t="str">
        <f t="shared" si="151"/>
        <v/>
      </c>
      <c r="F744" s="57" t="str">
        <f t="shared" si="152"/>
        <v/>
      </c>
      <c r="G744" s="102" t="str">
        <f t="shared" si="156"/>
        <v/>
      </c>
      <c r="H744" s="57" t="e">
        <f t="shared" si="153"/>
        <v>#N/A</v>
      </c>
      <c r="I744" s="102" t="e">
        <f>VLOOKUP(P744&amp;"_"&amp;Q744,活动关卡!$A$88:$Z$111,3+5*MonsterWaveCallRuleCfg!R744,FALSE)</f>
        <v>#N/A</v>
      </c>
      <c r="J744" s="102" t="e">
        <f>VLOOKUP(P744&amp;"_"&amp;Q744,活动关卡!$A$88:$Z$111,4+5*MonsterWaveCallRuleCfg!R744,FALSE)</f>
        <v>#N/A</v>
      </c>
      <c r="K744" s="102" t="e">
        <f t="shared" si="154"/>
        <v>#N/A</v>
      </c>
      <c r="L744" s="102" t="e">
        <f>IF(VLOOKUP(P744&amp;"_"&amp;Q744,活动关卡!$A$88:$Z$111,2+5*R744,FALSE)="","","Monster_Season4_Challenge"&amp;P744&amp;"_"&amp;Q744&amp;"_"&amp;R744)</f>
        <v>#N/A</v>
      </c>
      <c r="M744" s="57" t="e">
        <f t="shared" si="155"/>
        <v>#N/A</v>
      </c>
      <c r="O744" s="102" t="e">
        <f>VLOOKUP(P744&amp;"_"&amp;Q744,活动关卡!$A$4:$Z$27,6+5*MonsterWaveCallRuleCfg!R744,FALSE)</f>
        <v>#N/A</v>
      </c>
      <c r="P744" s="110">
        <v>1</v>
      </c>
      <c r="Q744" s="110">
        <f t="shared" si="157"/>
        <v>5</v>
      </c>
      <c r="R744" s="110">
        <v>2</v>
      </c>
    </row>
    <row r="745" spans="2:18" x14ac:dyDescent="0.2">
      <c r="B745" s="57" t="str">
        <f t="shared" si="150"/>
        <v/>
      </c>
      <c r="D745" s="57" t="str">
        <f t="shared" si="151"/>
        <v/>
      </c>
      <c r="F745" s="57" t="str">
        <f t="shared" si="152"/>
        <v/>
      </c>
      <c r="G745" s="102" t="str">
        <f t="shared" si="156"/>
        <v/>
      </c>
      <c r="H745" s="57" t="e">
        <f t="shared" si="153"/>
        <v>#N/A</v>
      </c>
      <c r="I745" s="102" t="e">
        <f>VLOOKUP(P745&amp;"_"&amp;Q745,活动关卡!$A$88:$Z$111,3+5*MonsterWaveCallRuleCfg!R745,FALSE)</f>
        <v>#N/A</v>
      </c>
      <c r="J745" s="102" t="e">
        <f>VLOOKUP(P745&amp;"_"&amp;Q745,活动关卡!$A$88:$Z$111,4+5*MonsterWaveCallRuleCfg!R745,FALSE)</f>
        <v>#N/A</v>
      </c>
      <c r="K745" s="102" t="e">
        <f t="shared" si="154"/>
        <v>#N/A</v>
      </c>
      <c r="L745" s="102" t="e">
        <f>IF(VLOOKUP(P745&amp;"_"&amp;Q745,活动关卡!$A$88:$Z$111,2+5*R745,FALSE)="","","Monster_Season4_Challenge"&amp;P745&amp;"_"&amp;Q745&amp;"_"&amp;R745)</f>
        <v>#N/A</v>
      </c>
      <c r="M745" s="57" t="e">
        <f t="shared" si="155"/>
        <v>#N/A</v>
      </c>
      <c r="O745" s="102" t="e">
        <f>VLOOKUP(P745&amp;"_"&amp;Q745,活动关卡!$A$4:$Z$27,6+5*MonsterWaveCallRuleCfg!R745,FALSE)</f>
        <v>#N/A</v>
      </c>
      <c r="P745" s="110">
        <v>1</v>
      </c>
      <c r="Q745" s="110">
        <f t="shared" si="157"/>
        <v>5</v>
      </c>
      <c r="R745" s="110">
        <v>3</v>
      </c>
    </row>
    <row r="746" spans="2:18" x14ac:dyDescent="0.2">
      <c r="B746" s="57" t="str">
        <f t="shared" si="150"/>
        <v/>
      </c>
      <c r="D746" s="57" t="str">
        <f t="shared" si="151"/>
        <v/>
      </c>
      <c r="F746" s="57" t="str">
        <f t="shared" si="152"/>
        <v/>
      </c>
      <c r="G746" s="102" t="str">
        <f t="shared" si="156"/>
        <v/>
      </c>
      <c r="H746" s="57" t="e">
        <f t="shared" si="153"/>
        <v>#N/A</v>
      </c>
      <c r="I746" s="102" t="e">
        <f>VLOOKUP(P746&amp;"_"&amp;Q746,活动关卡!$A$88:$Z$111,3+5*MonsterWaveCallRuleCfg!R746,FALSE)</f>
        <v>#N/A</v>
      </c>
      <c r="J746" s="102" t="e">
        <f>VLOOKUP(P746&amp;"_"&amp;Q746,活动关卡!$A$88:$Z$111,4+5*MonsterWaveCallRuleCfg!R746,FALSE)</f>
        <v>#N/A</v>
      </c>
      <c r="K746" s="102" t="e">
        <f t="shared" si="154"/>
        <v>#N/A</v>
      </c>
      <c r="L746" s="102" t="e">
        <f>IF(VLOOKUP(P746&amp;"_"&amp;Q746,活动关卡!$A$88:$Z$111,2+5*R746,FALSE)="","","Monster_Season4_Challenge"&amp;P746&amp;"_"&amp;Q746&amp;"_"&amp;R746)</f>
        <v>#N/A</v>
      </c>
      <c r="M746" s="57" t="e">
        <f t="shared" si="155"/>
        <v>#N/A</v>
      </c>
      <c r="O746" s="102" t="e">
        <f>VLOOKUP(P746&amp;"_"&amp;Q746,活动关卡!$A$4:$Z$27,6+5*MonsterWaveCallRuleCfg!R746,FALSE)</f>
        <v>#N/A</v>
      </c>
      <c r="P746" s="110">
        <v>1</v>
      </c>
      <c r="Q746" s="110">
        <f t="shared" si="157"/>
        <v>5</v>
      </c>
      <c r="R746" s="110">
        <v>4</v>
      </c>
    </row>
    <row r="747" spans="2:18" x14ac:dyDescent="0.2">
      <c r="B747" s="57" t="str">
        <f t="shared" si="150"/>
        <v>MonsterWaveCallRule_Season4_Challenge2</v>
      </c>
      <c r="C747" s="57">
        <v>1</v>
      </c>
      <c r="D747" s="57" t="str">
        <f t="shared" si="151"/>
        <v>赛季4关卡2第1波</v>
      </c>
      <c r="F747" s="57">
        <f t="shared" si="152"/>
        <v>0</v>
      </c>
      <c r="G747" s="102">
        <f t="shared" si="156"/>
        <v>180</v>
      </c>
      <c r="H747" s="57">
        <f t="shared" si="153"/>
        <v>0</v>
      </c>
      <c r="I747" s="102">
        <f>VLOOKUP(P747&amp;"_"&amp;Q747,活动关卡!$A$88:$Z$111,3+5*MonsterWaveCallRuleCfg!R747,FALSE)</f>
        <v>5</v>
      </c>
      <c r="J747" s="102">
        <f>VLOOKUP(P747&amp;"_"&amp;Q747,活动关卡!$A$88:$Z$111,4+5*MonsterWaveCallRuleCfg!R747,FALSE)</f>
        <v>2</v>
      </c>
      <c r="K747" s="102">
        <f t="shared" si="154"/>
        <v>1</v>
      </c>
      <c r="L747" s="102" t="str">
        <f>IF(VLOOKUP(P747&amp;"_"&amp;Q747,活动关卡!$A$88:$Z$111,2+5*R747,FALSE)="","","Monster_Season4_Challenge"&amp;P747&amp;"_"&amp;Q747&amp;"_"&amp;R747)</f>
        <v>Monster_Season4_Challenge2_1_1</v>
      </c>
      <c r="M747" s="57">
        <f t="shared" si="155"/>
        <v>1</v>
      </c>
      <c r="O747" s="102">
        <f>VLOOKUP(P747&amp;"_"&amp;Q747,活动关卡!$A$4:$Z$27,6+5*MonsterWaveCallRuleCfg!R747,FALSE)</f>
        <v>40</v>
      </c>
      <c r="P747" s="110">
        <v>2</v>
      </c>
      <c r="Q747" s="110">
        <f t="shared" si="157"/>
        <v>1</v>
      </c>
      <c r="R747" s="110">
        <v>1</v>
      </c>
    </row>
    <row r="748" spans="2:18" x14ac:dyDescent="0.2">
      <c r="B748" s="57" t="str">
        <f t="shared" si="150"/>
        <v/>
      </c>
      <c r="D748" s="57" t="str">
        <f t="shared" si="151"/>
        <v/>
      </c>
      <c r="F748" s="57" t="str">
        <f t="shared" si="152"/>
        <v/>
      </c>
      <c r="G748" s="102" t="str">
        <f t="shared" si="156"/>
        <v/>
      </c>
      <c r="H748" s="57">
        <f t="shared" si="153"/>
        <v>0</v>
      </c>
      <c r="I748" s="102">
        <f>VLOOKUP(P748&amp;"_"&amp;Q748,活动关卡!$A$88:$Z$111,3+5*MonsterWaveCallRuleCfg!R748,FALSE)</f>
        <v>5</v>
      </c>
      <c r="J748" s="102">
        <f>VLOOKUP(P748&amp;"_"&amp;Q748,活动关卡!$A$88:$Z$111,4+5*MonsterWaveCallRuleCfg!R748,FALSE)</f>
        <v>2</v>
      </c>
      <c r="K748" s="102">
        <f t="shared" si="154"/>
        <v>1</v>
      </c>
      <c r="L748" s="102" t="str">
        <f>IF(VLOOKUP(P748&amp;"_"&amp;Q748,活动关卡!$A$88:$Z$111,2+5*R748,FALSE)="","","Monster_Season4_Challenge"&amp;P748&amp;"_"&amp;Q748&amp;"_"&amp;R748)</f>
        <v>Monster_Season4_Challenge2_1_2</v>
      </c>
      <c r="M748" s="57">
        <f t="shared" si="155"/>
        <v>1</v>
      </c>
      <c r="O748" s="102">
        <f>VLOOKUP(P748&amp;"_"&amp;Q748,活动关卡!$A$4:$Z$27,6+5*MonsterWaveCallRuleCfg!R748,FALSE)</f>
        <v>80</v>
      </c>
      <c r="P748" s="110">
        <v>2</v>
      </c>
      <c r="Q748" s="110">
        <f t="shared" si="157"/>
        <v>1</v>
      </c>
      <c r="R748" s="110">
        <v>2</v>
      </c>
    </row>
    <row r="749" spans="2:18" x14ac:dyDescent="0.2">
      <c r="B749" s="57" t="str">
        <f t="shared" si="150"/>
        <v/>
      </c>
      <c r="D749" s="57" t="str">
        <f t="shared" si="151"/>
        <v/>
      </c>
      <c r="F749" s="57" t="str">
        <f t="shared" si="152"/>
        <v/>
      </c>
      <c r="G749" s="102" t="str">
        <f t="shared" si="156"/>
        <v/>
      </c>
      <c r="H749" s="57" t="str">
        <f t="shared" si="153"/>
        <v/>
      </c>
      <c r="I749" s="102" t="str">
        <f>VLOOKUP(P749&amp;"_"&amp;Q749,活动关卡!$A$88:$Z$111,3+5*MonsterWaveCallRuleCfg!R749,FALSE)</f>
        <v/>
      </c>
      <c r="J749" s="102" t="str">
        <f>VLOOKUP(P749&amp;"_"&amp;Q749,活动关卡!$A$88:$Z$111,4+5*MonsterWaveCallRuleCfg!R749,FALSE)</f>
        <v/>
      </c>
      <c r="K749" s="102" t="str">
        <f t="shared" si="154"/>
        <v/>
      </c>
      <c r="L749" s="102" t="str">
        <f>IF(VLOOKUP(P749&amp;"_"&amp;Q749,活动关卡!$A$88:$Z$111,2+5*R749,FALSE)="","","Monster_Season4_Challenge"&amp;P749&amp;"_"&amp;Q749&amp;"_"&amp;R749)</f>
        <v/>
      </c>
      <c r="M749" s="57" t="str">
        <f t="shared" si="155"/>
        <v/>
      </c>
      <c r="O749" s="102" t="str">
        <f>VLOOKUP(P749&amp;"_"&amp;Q749,活动关卡!$A$4:$Z$27,6+5*MonsterWaveCallRuleCfg!R749,FALSE)</f>
        <v/>
      </c>
      <c r="P749" s="110">
        <v>2</v>
      </c>
      <c r="Q749" s="110">
        <f t="shared" si="157"/>
        <v>1</v>
      </c>
      <c r="R749" s="110">
        <v>3</v>
      </c>
    </row>
    <row r="750" spans="2:18" x14ac:dyDescent="0.2">
      <c r="B750" s="57" t="str">
        <f t="shared" si="150"/>
        <v/>
      </c>
      <c r="D750" s="57" t="str">
        <f t="shared" si="151"/>
        <v/>
      </c>
      <c r="F750" s="57" t="str">
        <f t="shared" si="152"/>
        <v/>
      </c>
      <c r="G750" s="102" t="str">
        <f t="shared" si="156"/>
        <v/>
      </c>
      <c r="H750" s="57" t="str">
        <f t="shared" si="153"/>
        <v/>
      </c>
      <c r="I750" s="102" t="str">
        <f>VLOOKUP(P750&amp;"_"&amp;Q750,活动关卡!$A$88:$Z$111,3+5*MonsterWaveCallRuleCfg!R750,FALSE)</f>
        <v/>
      </c>
      <c r="J750" s="102" t="str">
        <f>VLOOKUP(P750&amp;"_"&amp;Q750,活动关卡!$A$88:$Z$111,4+5*MonsterWaveCallRuleCfg!R750,FALSE)</f>
        <v/>
      </c>
      <c r="K750" s="102" t="str">
        <f t="shared" si="154"/>
        <v/>
      </c>
      <c r="L750" s="102" t="str">
        <f>IF(VLOOKUP(P750&amp;"_"&amp;Q750,活动关卡!$A$88:$Z$111,2+5*R750,FALSE)="","","Monster_Season4_Challenge"&amp;P750&amp;"_"&amp;Q750&amp;"_"&amp;R750)</f>
        <v/>
      </c>
      <c r="M750" s="57" t="str">
        <f t="shared" si="155"/>
        <v/>
      </c>
      <c r="O750" s="102" t="str">
        <f>VLOOKUP(P750&amp;"_"&amp;Q750,活动关卡!$A$4:$Z$27,6+5*MonsterWaveCallRuleCfg!R750,FALSE)</f>
        <v/>
      </c>
      <c r="P750" s="110">
        <v>2</v>
      </c>
      <c r="Q750" s="110">
        <f t="shared" si="157"/>
        <v>1</v>
      </c>
      <c r="R750" s="110">
        <v>4</v>
      </c>
    </row>
    <row r="751" spans="2:18" x14ac:dyDescent="0.2">
      <c r="B751" s="57" t="str">
        <f t="shared" si="150"/>
        <v>MonsterWaveCallRule_Season4_Challenge2</v>
      </c>
      <c r="C751" s="57">
        <v>2</v>
      </c>
      <c r="D751" s="57" t="str">
        <f t="shared" si="151"/>
        <v>赛季4关卡2第2波</v>
      </c>
      <c r="F751" s="57">
        <f t="shared" si="152"/>
        <v>0</v>
      </c>
      <c r="G751" s="102">
        <f t="shared" si="156"/>
        <v>180</v>
      </c>
      <c r="H751" s="57">
        <f t="shared" si="153"/>
        <v>0</v>
      </c>
      <c r="I751" s="102">
        <f>VLOOKUP(P751&amp;"_"&amp;Q751,活动关卡!$A$88:$Z$111,3+5*MonsterWaveCallRuleCfg!R751,FALSE)</f>
        <v>6</v>
      </c>
      <c r="J751" s="102">
        <f>VLOOKUP(P751&amp;"_"&amp;Q751,活动关卡!$A$88:$Z$111,4+5*MonsterWaveCallRuleCfg!R751,FALSE)</f>
        <v>2</v>
      </c>
      <c r="K751" s="102">
        <f t="shared" si="154"/>
        <v>1</v>
      </c>
      <c r="L751" s="102" t="str">
        <f>IF(VLOOKUP(P751&amp;"_"&amp;Q751,活动关卡!$A$88:$Z$111,2+5*R751,FALSE)="","","Monster_Season4_Challenge"&amp;P751&amp;"_"&amp;Q751&amp;"_"&amp;R751)</f>
        <v>Monster_Season4_Challenge2_2_1</v>
      </c>
      <c r="M751" s="57">
        <f t="shared" si="155"/>
        <v>1</v>
      </c>
      <c r="O751" s="102">
        <f>VLOOKUP(P751&amp;"_"&amp;Q751,活动关卡!$A$4:$Z$27,6+5*MonsterWaveCallRuleCfg!R751,FALSE)</f>
        <v>20</v>
      </c>
      <c r="P751" s="110">
        <v>2</v>
      </c>
      <c r="Q751" s="110">
        <f t="shared" si="157"/>
        <v>2</v>
      </c>
      <c r="R751" s="110">
        <v>1</v>
      </c>
    </row>
    <row r="752" spans="2:18" x14ac:dyDescent="0.2">
      <c r="B752" s="57" t="str">
        <f t="shared" si="150"/>
        <v/>
      </c>
      <c r="D752" s="57" t="str">
        <f t="shared" si="151"/>
        <v/>
      </c>
      <c r="F752" s="57" t="str">
        <f t="shared" si="152"/>
        <v/>
      </c>
      <c r="G752" s="102" t="str">
        <f t="shared" si="156"/>
        <v/>
      </c>
      <c r="H752" s="57">
        <f t="shared" si="153"/>
        <v>0</v>
      </c>
      <c r="I752" s="102">
        <f>VLOOKUP(P752&amp;"_"&amp;Q752,活动关卡!$A$88:$Z$111,3+5*MonsterWaveCallRuleCfg!R752,FALSE)</f>
        <v>6</v>
      </c>
      <c r="J752" s="102">
        <f>VLOOKUP(P752&amp;"_"&amp;Q752,活动关卡!$A$88:$Z$111,4+5*MonsterWaveCallRuleCfg!R752,FALSE)</f>
        <v>2</v>
      </c>
      <c r="K752" s="102">
        <f t="shared" si="154"/>
        <v>1</v>
      </c>
      <c r="L752" s="102" t="str">
        <f>IF(VLOOKUP(P752&amp;"_"&amp;Q752,活动关卡!$A$88:$Z$111,2+5*R752,FALSE)="","","Monster_Season4_Challenge"&amp;P752&amp;"_"&amp;Q752&amp;"_"&amp;R752)</f>
        <v>Monster_Season4_Challenge2_2_2</v>
      </c>
      <c r="M752" s="57">
        <f t="shared" si="155"/>
        <v>1</v>
      </c>
      <c r="O752" s="102">
        <f>VLOOKUP(P752&amp;"_"&amp;Q752,活动关卡!$A$4:$Z$27,6+5*MonsterWaveCallRuleCfg!R752,FALSE)</f>
        <v>40</v>
      </c>
      <c r="P752" s="110">
        <v>2</v>
      </c>
      <c r="Q752" s="110">
        <f t="shared" si="157"/>
        <v>2</v>
      </c>
      <c r="R752" s="110">
        <v>2</v>
      </c>
    </row>
    <row r="753" spans="2:18" x14ac:dyDescent="0.2">
      <c r="B753" s="57" t="str">
        <f t="shared" si="150"/>
        <v/>
      </c>
      <c r="D753" s="57" t="str">
        <f t="shared" si="151"/>
        <v/>
      </c>
      <c r="F753" s="57" t="str">
        <f t="shared" si="152"/>
        <v/>
      </c>
      <c r="G753" s="102" t="str">
        <f t="shared" si="156"/>
        <v/>
      </c>
      <c r="H753" s="57">
        <f t="shared" si="153"/>
        <v>0</v>
      </c>
      <c r="I753" s="102">
        <f>VLOOKUP(P753&amp;"_"&amp;Q753,活动关卡!$A$88:$Z$111,3+5*MonsterWaveCallRuleCfg!R753,FALSE)</f>
        <v>6</v>
      </c>
      <c r="J753" s="102">
        <f>VLOOKUP(P753&amp;"_"&amp;Q753,活动关卡!$A$88:$Z$111,4+5*MonsterWaveCallRuleCfg!R753,FALSE)</f>
        <v>2</v>
      </c>
      <c r="K753" s="102">
        <f t="shared" si="154"/>
        <v>1</v>
      </c>
      <c r="L753" s="102" t="str">
        <f>IF(VLOOKUP(P753&amp;"_"&amp;Q753,活动关卡!$A$88:$Z$111,2+5*R753,FALSE)="","","Monster_Season4_Challenge"&amp;P753&amp;"_"&amp;Q753&amp;"_"&amp;R753)</f>
        <v>Monster_Season4_Challenge2_2_3</v>
      </c>
      <c r="M753" s="57">
        <f t="shared" si="155"/>
        <v>1</v>
      </c>
      <c r="O753" s="102">
        <f>VLOOKUP(P753&amp;"_"&amp;Q753,活动关卡!$A$4:$Z$27,6+5*MonsterWaveCallRuleCfg!R753,FALSE)</f>
        <v>40</v>
      </c>
      <c r="P753" s="110">
        <v>2</v>
      </c>
      <c r="Q753" s="110">
        <f t="shared" si="157"/>
        <v>2</v>
      </c>
      <c r="R753" s="110">
        <v>3</v>
      </c>
    </row>
    <row r="754" spans="2:18" x14ac:dyDescent="0.2">
      <c r="B754" s="57" t="str">
        <f t="shared" si="150"/>
        <v/>
      </c>
      <c r="D754" s="57" t="str">
        <f t="shared" si="151"/>
        <v/>
      </c>
      <c r="F754" s="57" t="str">
        <f t="shared" si="152"/>
        <v/>
      </c>
      <c r="G754" s="102" t="str">
        <f t="shared" si="156"/>
        <v/>
      </c>
      <c r="H754" s="57" t="str">
        <f t="shared" si="153"/>
        <v/>
      </c>
      <c r="I754" s="102" t="str">
        <f>VLOOKUP(P754&amp;"_"&amp;Q754,活动关卡!$A$88:$Z$111,3+5*MonsterWaveCallRuleCfg!R754,FALSE)</f>
        <v/>
      </c>
      <c r="J754" s="102" t="str">
        <f>VLOOKUP(P754&amp;"_"&amp;Q754,活动关卡!$A$88:$Z$111,4+5*MonsterWaveCallRuleCfg!R754,FALSE)</f>
        <v/>
      </c>
      <c r="K754" s="102" t="str">
        <f t="shared" si="154"/>
        <v/>
      </c>
      <c r="L754" s="102" t="str">
        <f>IF(VLOOKUP(P754&amp;"_"&amp;Q754,活动关卡!$A$88:$Z$111,2+5*R754,FALSE)="","","Monster_Season4_Challenge"&amp;P754&amp;"_"&amp;Q754&amp;"_"&amp;R754)</f>
        <v/>
      </c>
      <c r="M754" s="57" t="str">
        <f t="shared" si="155"/>
        <v/>
      </c>
      <c r="O754" s="102" t="str">
        <f>VLOOKUP(P754&amp;"_"&amp;Q754,活动关卡!$A$4:$Z$27,6+5*MonsterWaveCallRuleCfg!R754,FALSE)</f>
        <v/>
      </c>
      <c r="P754" s="110">
        <v>2</v>
      </c>
      <c r="Q754" s="110">
        <f t="shared" si="157"/>
        <v>2</v>
      </c>
      <c r="R754" s="110">
        <v>4</v>
      </c>
    </row>
    <row r="755" spans="2:18" x14ac:dyDescent="0.2">
      <c r="B755" s="57" t="str">
        <f t="shared" si="150"/>
        <v>MonsterWaveCallRule_Season4_Challenge2</v>
      </c>
      <c r="C755" s="57">
        <v>3</v>
      </c>
      <c r="D755" s="57" t="str">
        <f t="shared" si="151"/>
        <v>赛季4关卡2第3波</v>
      </c>
      <c r="F755" s="57">
        <f t="shared" si="152"/>
        <v>0</v>
      </c>
      <c r="G755" s="102">
        <f t="shared" si="156"/>
        <v>180</v>
      </c>
      <c r="H755" s="57">
        <f t="shared" si="153"/>
        <v>0</v>
      </c>
      <c r="I755" s="102">
        <f>VLOOKUP(P755&amp;"_"&amp;Q755,活动关卡!$A$88:$Z$111,3+5*MonsterWaveCallRuleCfg!R755,FALSE)</f>
        <v>15</v>
      </c>
      <c r="J755" s="102">
        <f>VLOOKUP(P755&amp;"_"&amp;Q755,活动关卡!$A$88:$Z$111,4+5*MonsterWaveCallRuleCfg!R755,FALSE)</f>
        <v>1</v>
      </c>
      <c r="K755" s="102">
        <f t="shared" si="154"/>
        <v>1</v>
      </c>
      <c r="L755" s="102" t="str">
        <f>IF(VLOOKUP(P755&amp;"_"&amp;Q755,活动关卡!$A$88:$Z$111,2+5*R755,FALSE)="","","Monster_Season4_Challenge"&amp;P755&amp;"_"&amp;Q755&amp;"_"&amp;R755)</f>
        <v>Monster_Season4_Challenge2_3_1</v>
      </c>
      <c r="M755" s="57">
        <f t="shared" si="155"/>
        <v>1</v>
      </c>
      <c r="O755" s="102">
        <f>VLOOKUP(P755&amp;"_"&amp;Q755,活动关卡!$A$4:$Z$27,6+5*MonsterWaveCallRuleCfg!R755,FALSE)</f>
        <v>11</v>
      </c>
      <c r="P755" s="110">
        <v>2</v>
      </c>
      <c r="Q755" s="110">
        <f t="shared" si="157"/>
        <v>3</v>
      </c>
      <c r="R755" s="110">
        <v>1</v>
      </c>
    </row>
    <row r="756" spans="2:18" x14ac:dyDescent="0.2">
      <c r="B756" s="57" t="str">
        <f t="shared" si="150"/>
        <v/>
      </c>
      <c r="D756" s="57" t="str">
        <f t="shared" si="151"/>
        <v/>
      </c>
      <c r="F756" s="57" t="str">
        <f t="shared" si="152"/>
        <v/>
      </c>
      <c r="G756" s="102" t="str">
        <f t="shared" si="156"/>
        <v/>
      </c>
      <c r="H756" s="57">
        <f t="shared" si="153"/>
        <v>0</v>
      </c>
      <c r="I756" s="102">
        <f>VLOOKUP(P756&amp;"_"&amp;Q756,活动关卡!$A$88:$Z$111,3+5*MonsterWaveCallRuleCfg!R756,FALSE)</f>
        <v>15</v>
      </c>
      <c r="J756" s="102">
        <f>VLOOKUP(P756&amp;"_"&amp;Q756,活动关卡!$A$88:$Z$111,4+5*MonsterWaveCallRuleCfg!R756,FALSE)</f>
        <v>1</v>
      </c>
      <c r="K756" s="102">
        <f t="shared" si="154"/>
        <v>1</v>
      </c>
      <c r="L756" s="102" t="str">
        <f>IF(VLOOKUP(P756&amp;"_"&amp;Q756,活动关卡!$A$88:$Z$111,2+5*R756,FALSE)="","","Monster_Season4_Challenge"&amp;P756&amp;"_"&amp;Q756&amp;"_"&amp;R756)</f>
        <v>Monster_Season4_Challenge2_3_2</v>
      </c>
      <c r="M756" s="57">
        <f t="shared" si="155"/>
        <v>1</v>
      </c>
      <c r="O756" s="102">
        <f>VLOOKUP(P756&amp;"_"&amp;Q756,活动关卡!$A$4:$Z$27,6+5*MonsterWaveCallRuleCfg!R756,FALSE)</f>
        <v>6</v>
      </c>
      <c r="P756" s="110">
        <v>2</v>
      </c>
      <c r="Q756" s="110">
        <f t="shared" si="157"/>
        <v>3</v>
      </c>
      <c r="R756" s="110">
        <v>2</v>
      </c>
    </row>
    <row r="757" spans="2:18" x14ac:dyDescent="0.2">
      <c r="B757" s="57" t="str">
        <f t="shared" si="150"/>
        <v/>
      </c>
      <c r="D757" s="57" t="str">
        <f t="shared" si="151"/>
        <v/>
      </c>
      <c r="F757" s="57" t="str">
        <f t="shared" si="152"/>
        <v/>
      </c>
      <c r="G757" s="102" t="str">
        <f t="shared" si="156"/>
        <v/>
      </c>
      <c r="H757" s="57">
        <f t="shared" si="153"/>
        <v>0</v>
      </c>
      <c r="I757" s="102">
        <f>VLOOKUP(P757&amp;"_"&amp;Q757,活动关卡!$A$88:$Z$111,3+5*MonsterWaveCallRuleCfg!R757,FALSE)</f>
        <v>15</v>
      </c>
      <c r="J757" s="102">
        <f>VLOOKUP(P757&amp;"_"&amp;Q757,活动关卡!$A$88:$Z$111,4+5*MonsterWaveCallRuleCfg!R757,FALSE)</f>
        <v>1</v>
      </c>
      <c r="K757" s="102">
        <f t="shared" si="154"/>
        <v>1</v>
      </c>
      <c r="L757" s="102" t="str">
        <f>IF(VLOOKUP(P757&amp;"_"&amp;Q757,活动关卡!$A$88:$Z$111,2+5*R757,FALSE)="","","Monster_Season4_Challenge"&amp;P757&amp;"_"&amp;Q757&amp;"_"&amp;R757)</f>
        <v>Monster_Season4_Challenge2_3_3</v>
      </c>
      <c r="M757" s="57">
        <f t="shared" si="155"/>
        <v>1</v>
      </c>
      <c r="O757" s="102">
        <f>VLOOKUP(P757&amp;"_"&amp;Q757,活动关卡!$A$4:$Z$27,6+5*MonsterWaveCallRuleCfg!R757,FALSE)</f>
        <v>23</v>
      </c>
      <c r="P757" s="110">
        <v>2</v>
      </c>
      <c r="Q757" s="110">
        <f t="shared" si="157"/>
        <v>3</v>
      </c>
      <c r="R757" s="110">
        <v>3</v>
      </c>
    </row>
    <row r="758" spans="2:18" x14ac:dyDescent="0.2">
      <c r="B758" s="57" t="str">
        <f t="shared" si="150"/>
        <v/>
      </c>
      <c r="D758" s="57" t="str">
        <f t="shared" si="151"/>
        <v/>
      </c>
      <c r="F758" s="57" t="str">
        <f t="shared" si="152"/>
        <v/>
      </c>
      <c r="G758" s="102" t="str">
        <f t="shared" si="156"/>
        <v/>
      </c>
      <c r="H758" s="57" t="str">
        <f t="shared" si="153"/>
        <v/>
      </c>
      <c r="I758" s="102" t="str">
        <f>VLOOKUP(P758&amp;"_"&amp;Q758,活动关卡!$A$88:$Z$111,3+5*MonsterWaveCallRuleCfg!R758,FALSE)</f>
        <v/>
      </c>
      <c r="J758" s="102" t="str">
        <f>VLOOKUP(P758&amp;"_"&amp;Q758,活动关卡!$A$88:$Z$111,4+5*MonsterWaveCallRuleCfg!R758,FALSE)</f>
        <v/>
      </c>
      <c r="K758" s="102" t="str">
        <f t="shared" si="154"/>
        <v/>
      </c>
      <c r="L758" s="102" t="str">
        <f>IF(VLOOKUP(P758&amp;"_"&amp;Q758,活动关卡!$A$88:$Z$111,2+5*R758,FALSE)="","","Monster_Season4_Challenge"&amp;P758&amp;"_"&amp;Q758&amp;"_"&amp;R758)</f>
        <v/>
      </c>
      <c r="M758" s="57" t="str">
        <f t="shared" si="155"/>
        <v/>
      </c>
      <c r="O758" s="102" t="str">
        <f>VLOOKUP(P758&amp;"_"&amp;Q758,活动关卡!$A$4:$Z$27,6+5*MonsterWaveCallRuleCfg!R758,FALSE)</f>
        <v/>
      </c>
      <c r="P758" s="110">
        <v>2</v>
      </c>
      <c r="Q758" s="110">
        <f t="shared" si="157"/>
        <v>3</v>
      </c>
      <c r="R758" s="110">
        <v>4</v>
      </c>
    </row>
    <row r="759" spans="2:18" x14ac:dyDescent="0.2">
      <c r="B759" s="57" t="str">
        <f t="shared" ref="B759:B790" si="158">IF(C759="","","MonsterWaveCallRule_Season4_Challenge"&amp;P759)</f>
        <v>MonsterWaveCallRule_Season4_Challenge2</v>
      </c>
      <c r="C759" s="57">
        <v>4</v>
      </c>
      <c r="D759" s="57" t="str">
        <f t="shared" ref="D759:D790" si="159">IF(C759="","","赛季4关卡"&amp;P759&amp;"第"&amp;C759&amp;"波")</f>
        <v>赛季4关卡2第4波</v>
      </c>
      <c r="F759" s="57">
        <f t="shared" si="152"/>
        <v>0</v>
      </c>
      <c r="G759" s="102">
        <f t="shared" si="156"/>
        <v>180</v>
      </c>
      <c r="H759" s="57">
        <f t="shared" si="153"/>
        <v>0</v>
      </c>
      <c r="I759" s="102">
        <f>VLOOKUP(P759&amp;"_"&amp;Q759,活动关卡!$A$88:$Z$111,3+5*MonsterWaveCallRuleCfg!R759,FALSE)</f>
        <v>18</v>
      </c>
      <c r="J759" s="102">
        <f>VLOOKUP(P759&amp;"_"&amp;Q759,活动关卡!$A$88:$Z$111,4+5*MonsterWaveCallRuleCfg!R759,FALSE)</f>
        <v>1</v>
      </c>
      <c r="K759" s="102">
        <f t="shared" si="154"/>
        <v>1</v>
      </c>
      <c r="L759" s="102" t="str">
        <f>IF(VLOOKUP(P759&amp;"_"&amp;Q759,活动关卡!$A$88:$Z$111,2+5*R759,FALSE)="","","Monster_Season4_Challenge"&amp;P759&amp;"_"&amp;Q759&amp;"_"&amp;R759)</f>
        <v>Monster_Season4_Challenge2_4_1</v>
      </c>
      <c r="M759" s="57">
        <f t="shared" si="155"/>
        <v>1</v>
      </c>
      <c r="O759" s="102">
        <f>VLOOKUP(P759&amp;"_"&amp;Q759,活动关卡!$A$4:$Z$27,6+5*MonsterWaveCallRuleCfg!R759,FALSE)</f>
        <v>4</v>
      </c>
      <c r="P759" s="110">
        <v>2</v>
      </c>
      <c r="Q759" s="110">
        <f t="shared" si="157"/>
        <v>4</v>
      </c>
      <c r="R759" s="110">
        <v>1</v>
      </c>
    </row>
    <row r="760" spans="2:18" x14ac:dyDescent="0.2">
      <c r="B760" s="57" t="str">
        <f t="shared" si="158"/>
        <v/>
      </c>
      <c r="D760" s="57" t="str">
        <f t="shared" si="159"/>
        <v/>
      </c>
      <c r="F760" s="57" t="str">
        <f t="shared" si="152"/>
        <v/>
      </c>
      <c r="G760" s="102" t="str">
        <f t="shared" si="156"/>
        <v/>
      </c>
      <c r="H760" s="57">
        <f t="shared" si="153"/>
        <v>0</v>
      </c>
      <c r="I760" s="102">
        <f>VLOOKUP(P760&amp;"_"&amp;Q760,活动关卡!$A$88:$Z$111,3+5*MonsterWaveCallRuleCfg!R760,FALSE)</f>
        <v>44</v>
      </c>
      <c r="J760" s="102">
        <f>VLOOKUP(P760&amp;"_"&amp;Q760,活动关卡!$A$88:$Z$111,4+5*MonsterWaveCallRuleCfg!R760,FALSE)</f>
        <v>0.4</v>
      </c>
      <c r="K760" s="102">
        <f t="shared" si="154"/>
        <v>1</v>
      </c>
      <c r="L760" s="102" t="str">
        <f>IF(VLOOKUP(P760&amp;"_"&amp;Q760,活动关卡!$A$88:$Z$111,2+5*R760,FALSE)="","","Monster_Season4_Challenge"&amp;P760&amp;"_"&amp;Q760&amp;"_"&amp;R760)</f>
        <v>Monster_Season4_Challenge2_4_2</v>
      </c>
      <c r="M760" s="57">
        <f t="shared" si="155"/>
        <v>1</v>
      </c>
      <c r="O760" s="102">
        <f>VLOOKUP(P760&amp;"_"&amp;Q760,活动关卡!$A$4:$Z$27,6+5*MonsterWaveCallRuleCfg!R760,FALSE)</f>
        <v>2</v>
      </c>
      <c r="P760" s="110">
        <v>2</v>
      </c>
      <c r="Q760" s="110">
        <f t="shared" si="157"/>
        <v>4</v>
      </c>
      <c r="R760" s="110">
        <v>2</v>
      </c>
    </row>
    <row r="761" spans="2:18" x14ac:dyDescent="0.2">
      <c r="B761" s="57" t="str">
        <f t="shared" si="158"/>
        <v/>
      </c>
      <c r="D761" s="57" t="str">
        <f t="shared" si="159"/>
        <v/>
      </c>
      <c r="F761" s="57" t="str">
        <f t="shared" si="152"/>
        <v/>
      </c>
      <c r="G761" s="102" t="str">
        <f t="shared" si="156"/>
        <v/>
      </c>
      <c r="H761" s="57">
        <f t="shared" si="153"/>
        <v>0</v>
      </c>
      <c r="I761" s="102">
        <f>VLOOKUP(P761&amp;"_"&amp;Q761,活动关卡!$A$88:$Z$111,3+5*MonsterWaveCallRuleCfg!R761,FALSE)</f>
        <v>35</v>
      </c>
      <c r="J761" s="102">
        <f>VLOOKUP(P761&amp;"_"&amp;Q761,活动关卡!$A$88:$Z$111,4+5*MonsterWaveCallRuleCfg!R761,FALSE)</f>
        <v>0.5</v>
      </c>
      <c r="K761" s="102">
        <f t="shared" si="154"/>
        <v>1</v>
      </c>
      <c r="L761" s="102" t="str">
        <f>IF(VLOOKUP(P761&amp;"_"&amp;Q761,活动关卡!$A$88:$Z$111,2+5*R761,FALSE)="","","Monster_Season4_Challenge"&amp;P761&amp;"_"&amp;Q761&amp;"_"&amp;R761)</f>
        <v>Monster_Season4_Challenge2_4_3</v>
      </c>
      <c r="M761" s="57">
        <f t="shared" si="155"/>
        <v>1</v>
      </c>
      <c r="O761" s="102">
        <f>VLOOKUP(P761&amp;"_"&amp;Q761,活动关卡!$A$4:$Z$27,6+5*MonsterWaveCallRuleCfg!R761,FALSE)</f>
        <v>8</v>
      </c>
      <c r="P761" s="110">
        <v>2</v>
      </c>
      <c r="Q761" s="110">
        <f t="shared" si="157"/>
        <v>4</v>
      </c>
      <c r="R761" s="110">
        <v>3</v>
      </c>
    </row>
    <row r="762" spans="2:18" x14ac:dyDescent="0.2">
      <c r="B762" s="57" t="str">
        <f t="shared" si="158"/>
        <v/>
      </c>
      <c r="D762" s="57" t="str">
        <f t="shared" si="159"/>
        <v/>
      </c>
      <c r="F762" s="57" t="str">
        <f t="shared" si="152"/>
        <v/>
      </c>
      <c r="G762" s="102" t="str">
        <f t="shared" si="156"/>
        <v/>
      </c>
      <c r="H762" s="57">
        <f t="shared" si="153"/>
        <v>0</v>
      </c>
      <c r="I762" s="102">
        <f>VLOOKUP(P762&amp;"_"&amp;Q762,活动关卡!$A$88:$Z$111,3+5*MonsterWaveCallRuleCfg!R762,FALSE)</f>
        <v>18</v>
      </c>
      <c r="J762" s="102">
        <f>VLOOKUP(P762&amp;"_"&amp;Q762,活动关卡!$A$88:$Z$111,4+5*MonsterWaveCallRuleCfg!R762,FALSE)</f>
        <v>1</v>
      </c>
      <c r="K762" s="102">
        <f t="shared" si="154"/>
        <v>1</v>
      </c>
      <c r="L762" s="102" t="str">
        <f>IF(VLOOKUP(P762&amp;"_"&amp;Q762,活动关卡!$A$88:$Z$111,2+5*R762,FALSE)="","","Monster_Season4_Challenge"&amp;P762&amp;"_"&amp;Q762&amp;"_"&amp;R762)</f>
        <v>Monster_Season4_Challenge2_4_4</v>
      </c>
      <c r="M762" s="57">
        <f t="shared" si="155"/>
        <v>1</v>
      </c>
      <c r="O762" s="102">
        <f>VLOOKUP(P762&amp;"_"&amp;Q762,活动关卡!$A$4:$Z$27,6+5*MonsterWaveCallRuleCfg!R762,FALSE)</f>
        <v>8</v>
      </c>
      <c r="P762" s="110">
        <v>2</v>
      </c>
      <c r="Q762" s="110">
        <f t="shared" si="157"/>
        <v>4</v>
      </c>
      <c r="R762" s="110">
        <v>4</v>
      </c>
    </row>
    <row r="763" spans="2:18" x14ac:dyDescent="0.2">
      <c r="B763" s="57" t="str">
        <f t="shared" si="158"/>
        <v>MonsterWaveCallRule_Season4_Challenge2</v>
      </c>
      <c r="C763" s="57">
        <v>5</v>
      </c>
      <c r="D763" s="57" t="str">
        <f t="shared" si="159"/>
        <v>赛季4关卡2第5波</v>
      </c>
      <c r="F763" s="57">
        <f t="shared" si="152"/>
        <v>0</v>
      </c>
      <c r="G763" s="102">
        <f t="shared" si="156"/>
        <v>180</v>
      </c>
      <c r="H763" s="57">
        <f t="shared" si="153"/>
        <v>0</v>
      </c>
      <c r="I763" s="102">
        <f>VLOOKUP(P763&amp;"_"&amp;Q763,活动关卡!$A$88:$Z$111,3+5*MonsterWaveCallRuleCfg!R763,FALSE)</f>
        <v>67</v>
      </c>
      <c r="J763" s="102">
        <f>VLOOKUP(P763&amp;"_"&amp;Q763,活动关卡!$A$88:$Z$111,4+5*MonsterWaveCallRuleCfg!R763,FALSE)</f>
        <v>0.3</v>
      </c>
      <c r="K763" s="102">
        <f t="shared" si="154"/>
        <v>1</v>
      </c>
      <c r="L763" s="102" t="str">
        <f>IF(VLOOKUP(P763&amp;"_"&amp;Q763,活动关卡!$A$88:$Z$111,2+5*R763,FALSE)="","","Monster_Season4_Challenge"&amp;P763&amp;"_"&amp;Q763&amp;"_"&amp;R763)</f>
        <v>Monster_Season4_Challenge2_5_1</v>
      </c>
      <c r="M763" s="57">
        <f t="shared" si="155"/>
        <v>1</v>
      </c>
      <c r="O763" s="102">
        <f>VLOOKUP(P763&amp;"_"&amp;Q763,活动关卡!$A$4:$Z$27,6+5*MonsterWaveCallRuleCfg!R763,FALSE)</f>
        <v>3</v>
      </c>
      <c r="P763" s="110">
        <v>2</v>
      </c>
      <c r="Q763" s="110">
        <f t="shared" si="157"/>
        <v>5</v>
      </c>
      <c r="R763" s="110">
        <v>1</v>
      </c>
    </row>
    <row r="764" spans="2:18" x14ac:dyDescent="0.2">
      <c r="B764" s="57" t="str">
        <f t="shared" si="158"/>
        <v/>
      </c>
      <c r="D764" s="57" t="str">
        <f t="shared" si="159"/>
        <v/>
      </c>
      <c r="F764" s="57" t="str">
        <f t="shared" si="152"/>
        <v/>
      </c>
      <c r="G764" s="102" t="str">
        <f t="shared" si="156"/>
        <v/>
      </c>
      <c r="H764" s="57">
        <f t="shared" si="153"/>
        <v>0</v>
      </c>
      <c r="I764" s="102">
        <f>VLOOKUP(P764&amp;"_"&amp;Q764,活动关卡!$A$88:$Z$111,3+5*MonsterWaveCallRuleCfg!R764,FALSE)</f>
        <v>100</v>
      </c>
      <c r="J764" s="102">
        <f>VLOOKUP(P764&amp;"_"&amp;Q764,活动关卡!$A$88:$Z$111,4+5*MonsterWaveCallRuleCfg!R764,FALSE)</f>
        <v>0.2</v>
      </c>
      <c r="K764" s="102">
        <f t="shared" si="154"/>
        <v>1</v>
      </c>
      <c r="L764" s="102" t="str">
        <f>IF(VLOOKUP(P764&amp;"_"&amp;Q764,活动关卡!$A$88:$Z$111,2+5*R764,FALSE)="","","Monster_Season4_Challenge"&amp;P764&amp;"_"&amp;Q764&amp;"_"&amp;R764)</f>
        <v>Monster_Season4_Challenge2_5_2</v>
      </c>
      <c r="M764" s="57">
        <f t="shared" si="155"/>
        <v>1</v>
      </c>
      <c r="O764" s="102">
        <f>VLOOKUP(P764&amp;"_"&amp;Q764,活动关卡!$A$4:$Z$27,6+5*MonsterWaveCallRuleCfg!R764,FALSE)</f>
        <v>1</v>
      </c>
      <c r="P764" s="110">
        <v>2</v>
      </c>
      <c r="Q764" s="110">
        <f t="shared" si="157"/>
        <v>5</v>
      </c>
      <c r="R764" s="110">
        <v>2</v>
      </c>
    </row>
    <row r="765" spans="2:18" x14ac:dyDescent="0.2">
      <c r="B765" s="57" t="str">
        <f t="shared" si="158"/>
        <v/>
      </c>
      <c r="D765" s="57" t="str">
        <f t="shared" si="159"/>
        <v/>
      </c>
      <c r="F765" s="57" t="str">
        <f t="shared" si="152"/>
        <v/>
      </c>
      <c r="G765" s="102" t="str">
        <f t="shared" si="156"/>
        <v/>
      </c>
      <c r="H765" s="57">
        <f t="shared" si="153"/>
        <v>0</v>
      </c>
      <c r="I765" s="102">
        <f>VLOOKUP(P765&amp;"_"&amp;Q765,活动关卡!$A$88:$Z$111,3+5*MonsterWaveCallRuleCfg!R765,FALSE)</f>
        <v>40</v>
      </c>
      <c r="J765" s="102">
        <f>VLOOKUP(P765&amp;"_"&amp;Q765,活动关卡!$A$88:$Z$111,4+5*MonsterWaveCallRuleCfg!R765,FALSE)</f>
        <v>0.5</v>
      </c>
      <c r="K765" s="102">
        <f t="shared" si="154"/>
        <v>1</v>
      </c>
      <c r="L765" s="102" t="str">
        <f>IF(VLOOKUP(P765&amp;"_"&amp;Q765,活动关卡!$A$88:$Z$111,2+5*R765,FALSE)="","","Monster_Season4_Challenge"&amp;P765&amp;"_"&amp;Q765&amp;"_"&amp;R765)</f>
        <v>Monster_Season4_Challenge2_5_3</v>
      </c>
      <c r="M765" s="57">
        <f t="shared" si="155"/>
        <v>1</v>
      </c>
      <c r="O765" s="102">
        <f>VLOOKUP(P765&amp;"_"&amp;Q765,活动关卡!$A$4:$Z$27,6+5*MonsterWaveCallRuleCfg!R765,FALSE)</f>
        <v>5</v>
      </c>
      <c r="P765" s="110">
        <v>2</v>
      </c>
      <c r="Q765" s="110">
        <f t="shared" si="157"/>
        <v>5</v>
      </c>
      <c r="R765" s="110">
        <v>3</v>
      </c>
    </row>
    <row r="766" spans="2:18" x14ac:dyDescent="0.2">
      <c r="B766" s="57" t="str">
        <f t="shared" si="158"/>
        <v/>
      </c>
      <c r="D766" s="57" t="str">
        <f t="shared" si="159"/>
        <v/>
      </c>
      <c r="F766" s="57" t="str">
        <f t="shared" si="152"/>
        <v/>
      </c>
      <c r="G766" s="102" t="str">
        <f t="shared" si="156"/>
        <v/>
      </c>
      <c r="H766" s="57">
        <f t="shared" si="153"/>
        <v>0</v>
      </c>
      <c r="I766" s="102">
        <f>VLOOKUP(P766&amp;"_"&amp;Q766,活动关卡!$A$88:$Z$111,3+5*MonsterWaveCallRuleCfg!R766,FALSE)</f>
        <v>20</v>
      </c>
      <c r="J766" s="102">
        <f>VLOOKUP(P766&amp;"_"&amp;Q766,活动关卡!$A$88:$Z$111,4+5*MonsterWaveCallRuleCfg!R766,FALSE)</f>
        <v>1</v>
      </c>
      <c r="K766" s="102">
        <f t="shared" si="154"/>
        <v>1</v>
      </c>
      <c r="L766" s="102" t="str">
        <f>IF(VLOOKUP(P766&amp;"_"&amp;Q766,活动关卡!$A$88:$Z$111,2+5*R766,FALSE)="","","Monster_Season4_Challenge"&amp;P766&amp;"_"&amp;Q766&amp;"_"&amp;R766)</f>
        <v>Monster_Season4_Challenge2_5_4</v>
      </c>
      <c r="M766" s="57">
        <f t="shared" si="155"/>
        <v>1</v>
      </c>
      <c r="O766" s="102">
        <f>VLOOKUP(P766&amp;"_"&amp;Q766,活动关卡!$A$4:$Z$27,6+5*MonsterWaveCallRuleCfg!R766,FALSE)</f>
        <v>5</v>
      </c>
      <c r="P766" s="110">
        <v>2</v>
      </c>
      <c r="Q766" s="110">
        <f t="shared" si="157"/>
        <v>5</v>
      </c>
      <c r="R766" s="110">
        <v>4</v>
      </c>
    </row>
    <row r="767" spans="2:18" x14ac:dyDescent="0.2">
      <c r="B767" s="57" t="str">
        <f t="shared" si="158"/>
        <v>MonsterWaveCallRule_Season4_Challenge3</v>
      </c>
      <c r="C767" s="57">
        <v>1</v>
      </c>
      <c r="D767" s="57" t="str">
        <f t="shared" si="159"/>
        <v>赛季4关卡3第1波</v>
      </c>
      <c r="F767" s="57">
        <f t="shared" si="152"/>
        <v>0</v>
      </c>
      <c r="G767" s="102">
        <f t="shared" si="156"/>
        <v>180</v>
      </c>
      <c r="H767" s="57">
        <f t="shared" si="153"/>
        <v>0</v>
      </c>
      <c r="I767" s="102">
        <f>VLOOKUP(P767&amp;"_"&amp;Q767,活动关卡!$A$88:$Z$111,3+5*MonsterWaveCallRuleCfg!R767,FALSE)</f>
        <v>5</v>
      </c>
      <c r="J767" s="102">
        <f>VLOOKUP(P767&amp;"_"&amp;Q767,活动关卡!$A$88:$Z$111,4+5*MonsterWaveCallRuleCfg!R767,FALSE)</f>
        <v>2</v>
      </c>
      <c r="K767" s="102">
        <f t="shared" si="154"/>
        <v>1</v>
      </c>
      <c r="L767" s="102" t="str">
        <f>IF(VLOOKUP(P767&amp;"_"&amp;Q767,活动关卡!$A$88:$Z$111,2+5*R767,FALSE)="","","Monster_Season4_Challenge"&amp;P767&amp;"_"&amp;Q767&amp;"_"&amp;R767)</f>
        <v>Monster_Season4_Challenge3_1_1</v>
      </c>
      <c r="M767" s="57">
        <f t="shared" si="155"/>
        <v>1</v>
      </c>
      <c r="O767" s="102">
        <f>VLOOKUP(P767&amp;"_"&amp;Q767,活动关卡!$A$4:$Z$27,6+5*MonsterWaveCallRuleCfg!R767,FALSE)</f>
        <v>60</v>
      </c>
      <c r="P767" s="110">
        <v>3</v>
      </c>
      <c r="Q767" s="110">
        <f t="shared" si="157"/>
        <v>1</v>
      </c>
      <c r="R767" s="110">
        <v>1</v>
      </c>
    </row>
    <row r="768" spans="2:18" x14ac:dyDescent="0.2">
      <c r="B768" s="57" t="str">
        <f t="shared" si="158"/>
        <v/>
      </c>
      <c r="D768" s="57" t="str">
        <f t="shared" si="159"/>
        <v/>
      </c>
      <c r="F768" s="57" t="str">
        <f t="shared" si="152"/>
        <v/>
      </c>
      <c r="G768" s="102" t="str">
        <f t="shared" si="156"/>
        <v/>
      </c>
      <c r="H768" s="57">
        <f t="shared" si="153"/>
        <v>0</v>
      </c>
      <c r="I768" s="102">
        <f>VLOOKUP(P768&amp;"_"&amp;Q768,活动关卡!$A$88:$Z$111,3+5*MonsterWaveCallRuleCfg!R768,FALSE)</f>
        <v>5</v>
      </c>
      <c r="J768" s="102">
        <f>VLOOKUP(P768&amp;"_"&amp;Q768,活动关卡!$A$88:$Z$111,4+5*MonsterWaveCallRuleCfg!R768,FALSE)</f>
        <v>2</v>
      </c>
      <c r="K768" s="102">
        <f t="shared" si="154"/>
        <v>1</v>
      </c>
      <c r="L768" s="102" t="str">
        <f>IF(VLOOKUP(P768&amp;"_"&amp;Q768,活动关卡!$A$88:$Z$111,2+5*R768,FALSE)="","","Monster_Season4_Challenge"&amp;P768&amp;"_"&amp;Q768&amp;"_"&amp;R768)</f>
        <v>Monster_Season4_Challenge3_1_2</v>
      </c>
      <c r="M768" s="57">
        <f t="shared" si="155"/>
        <v>1</v>
      </c>
      <c r="O768" s="102">
        <f>VLOOKUP(P768&amp;"_"&amp;Q768,活动关卡!$A$4:$Z$27,6+5*MonsterWaveCallRuleCfg!R768,FALSE)</f>
        <v>60</v>
      </c>
      <c r="P768" s="110">
        <v>3</v>
      </c>
      <c r="Q768" s="110">
        <f t="shared" si="157"/>
        <v>1</v>
      </c>
      <c r="R768" s="110">
        <v>2</v>
      </c>
    </row>
    <row r="769" spans="2:18" x14ac:dyDescent="0.2">
      <c r="B769" s="57" t="str">
        <f t="shared" si="158"/>
        <v/>
      </c>
      <c r="D769" s="57" t="str">
        <f t="shared" si="159"/>
        <v/>
      </c>
      <c r="F769" s="57" t="str">
        <f t="shared" si="152"/>
        <v/>
      </c>
      <c r="G769" s="102" t="str">
        <f t="shared" si="156"/>
        <v/>
      </c>
      <c r="H769" s="57" t="str">
        <f t="shared" si="153"/>
        <v/>
      </c>
      <c r="I769" s="102" t="str">
        <f>VLOOKUP(P769&amp;"_"&amp;Q769,活动关卡!$A$88:$Z$111,3+5*MonsterWaveCallRuleCfg!R769,FALSE)</f>
        <v/>
      </c>
      <c r="J769" s="102" t="str">
        <f>VLOOKUP(P769&amp;"_"&amp;Q769,活动关卡!$A$88:$Z$111,4+5*MonsterWaveCallRuleCfg!R769,FALSE)</f>
        <v/>
      </c>
      <c r="K769" s="102" t="str">
        <f t="shared" si="154"/>
        <v/>
      </c>
      <c r="L769" s="102" t="str">
        <f>IF(VLOOKUP(P769&amp;"_"&amp;Q769,活动关卡!$A$88:$Z$111,2+5*R769,FALSE)="","","Monster_Season4_Challenge"&amp;P769&amp;"_"&amp;Q769&amp;"_"&amp;R769)</f>
        <v/>
      </c>
      <c r="M769" s="57" t="str">
        <f t="shared" si="155"/>
        <v/>
      </c>
      <c r="O769" s="102" t="str">
        <f>VLOOKUP(P769&amp;"_"&amp;Q769,活动关卡!$A$4:$Z$27,6+5*MonsterWaveCallRuleCfg!R769,FALSE)</f>
        <v/>
      </c>
      <c r="P769" s="110">
        <v>3</v>
      </c>
      <c r="Q769" s="110">
        <f t="shared" si="157"/>
        <v>1</v>
      </c>
      <c r="R769" s="110">
        <v>3</v>
      </c>
    </row>
    <row r="770" spans="2:18" x14ac:dyDescent="0.2">
      <c r="B770" s="57" t="str">
        <f t="shared" si="158"/>
        <v/>
      </c>
      <c r="D770" s="57" t="str">
        <f t="shared" si="159"/>
        <v/>
      </c>
      <c r="F770" s="57" t="str">
        <f t="shared" si="152"/>
        <v/>
      </c>
      <c r="G770" s="102" t="str">
        <f t="shared" si="156"/>
        <v/>
      </c>
      <c r="H770" s="57" t="str">
        <f t="shared" si="153"/>
        <v/>
      </c>
      <c r="I770" s="102" t="str">
        <f>VLOOKUP(P770&amp;"_"&amp;Q770,活动关卡!$A$88:$Z$111,3+5*MonsterWaveCallRuleCfg!R770,FALSE)</f>
        <v/>
      </c>
      <c r="J770" s="102" t="str">
        <f>VLOOKUP(P770&amp;"_"&amp;Q770,活动关卡!$A$88:$Z$111,4+5*MonsterWaveCallRuleCfg!R770,FALSE)</f>
        <v/>
      </c>
      <c r="K770" s="102" t="str">
        <f t="shared" si="154"/>
        <v/>
      </c>
      <c r="L770" s="102" t="str">
        <f>IF(VLOOKUP(P770&amp;"_"&amp;Q770,活动关卡!$A$88:$Z$111,2+5*R770,FALSE)="","","Monster_Season4_Challenge"&amp;P770&amp;"_"&amp;Q770&amp;"_"&amp;R770)</f>
        <v/>
      </c>
      <c r="M770" s="57" t="str">
        <f t="shared" si="155"/>
        <v/>
      </c>
      <c r="O770" s="102" t="str">
        <f>VLOOKUP(P770&amp;"_"&amp;Q770,活动关卡!$A$4:$Z$27,6+5*MonsterWaveCallRuleCfg!R770,FALSE)</f>
        <v/>
      </c>
      <c r="P770" s="110">
        <v>3</v>
      </c>
      <c r="Q770" s="110">
        <f t="shared" si="157"/>
        <v>1</v>
      </c>
      <c r="R770" s="110">
        <v>4</v>
      </c>
    </row>
    <row r="771" spans="2:18" x14ac:dyDescent="0.2">
      <c r="B771" s="57" t="str">
        <f t="shared" si="158"/>
        <v>MonsterWaveCallRule_Season4_Challenge3</v>
      </c>
      <c r="C771" s="57">
        <v>2</v>
      </c>
      <c r="D771" s="57" t="str">
        <f t="shared" si="159"/>
        <v>赛季4关卡3第2波</v>
      </c>
      <c r="F771" s="57">
        <f t="shared" si="152"/>
        <v>0</v>
      </c>
      <c r="G771" s="102">
        <f t="shared" si="156"/>
        <v>180</v>
      </c>
      <c r="H771" s="57">
        <f t="shared" si="153"/>
        <v>0</v>
      </c>
      <c r="I771" s="102">
        <f>VLOOKUP(P771&amp;"_"&amp;Q771,活动关卡!$A$88:$Z$111,3+5*MonsterWaveCallRuleCfg!R771,FALSE)</f>
        <v>6</v>
      </c>
      <c r="J771" s="102">
        <f>VLOOKUP(P771&amp;"_"&amp;Q771,活动关卡!$A$88:$Z$111,4+5*MonsterWaveCallRuleCfg!R771,FALSE)</f>
        <v>2</v>
      </c>
      <c r="K771" s="102">
        <f t="shared" si="154"/>
        <v>1</v>
      </c>
      <c r="L771" s="102" t="str">
        <f>IF(VLOOKUP(P771&amp;"_"&amp;Q771,活动关卡!$A$88:$Z$111,2+5*R771,FALSE)="","","Monster_Season4_Challenge"&amp;P771&amp;"_"&amp;Q771&amp;"_"&amp;R771)</f>
        <v>Monster_Season4_Challenge3_2_1</v>
      </c>
      <c r="M771" s="57">
        <f t="shared" si="155"/>
        <v>1</v>
      </c>
      <c r="O771" s="102">
        <f>VLOOKUP(P771&amp;"_"&amp;Q771,活动关卡!$A$4:$Z$27,6+5*MonsterWaveCallRuleCfg!R771,FALSE)</f>
        <v>33</v>
      </c>
      <c r="P771" s="110">
        <v>3</v>
      </c>
      <c r="Q771" s="110">
        <f t="shared" si="157"/>
        <v>2</v>
      </c>
      <c r="R771" s="110">
        <v>1</v>
      </c>
    </row>
    <row r="772" spans="2:18" x14ac:dyDescent="0.2">
      <c r="B772" s="57" t="str">
        <f t="shared" si="158"/>
        <v/>
      </c>
      <c r="D772" s="57" t="str">
        <f t="shared" si="159"/>
        <v/>
      </c>
      <c r="F772" s="57" t="str">
        <f t="shared" si="152"/>
        <v/>
      </c>
      <c r="G772" s="102" t="str">
        <f t="shared" si="156"/>
        <v/>
      </c>
      <c r="H772" s="57">
        <f t="shared" si="153"/>
        <v>0</v>
      </c>
      <c r="I772" s="102">
        <f>VLOOKUP(P772&amp;"_"&amp;Q772,活动关卡!$A$88:$Z$111,3+5*MonsterWaveCallRuleCfg!R772,FALSE)</f>
        <v>6</v>
      </c>
      <c r="J772" s="102">
        <f>VLOOKUP(P772&amp;"_"&amp;Q772,活动关卡!$A$88:$Z$111,4+5*MonsterWaveCallRuleCfg!R772,FALSE)</f>
        <v>2</v>
      </c>
      <c r="K772" s="102">
        <f t="shared" si="154"/>
        <v>1</v>
      </c>
      <c r="L772" s="102" t="str">
        <f>IF(VLOOKUP(P772&amp;"_"&amp;Q772,活动关卡!$A$88:$Z$111,2+5*R772,FALSE)="","","Monster_Season4_Challenge"&amp;P772&amp;"_"&amp;Q772&amp;"_"&amp;R772)</f>
        <v>Monster_Season4_Challenge3_2_2</v>
      </c>
      <c r="M772" s="57">
        <f t="shared" si="155"/>
        <v>1</v>
      </c>
      <c r="O772" s="102">
        <f>VLOOKUP(P772&amp;"_"&amp;Q772,活动关卡!$A$4:$Z$27,6+5*MonsterWaveCallRuleCfg!R772,FALSE)</f>
        <v>33</v>
      </c>
      <c r="P772" s="110">
        <v>3</v>
      </c>
      <c r="Q772" s="110">
        <f t="shared" si="157"/>
        <v>2</v>
      </c>
      <c r="R772" s="110">
        <v>2</v>
      </c>
    </row>
    <row r="773" spans="2:18" x14ac:dyDescent="0.2">
      <c r="B773" s="57" t="str">
        <f t="shared" si="158"/>
        <v/>
      </c>
      <c r="D773" s="57" t="str">
        <f t="shared" si="159"/>
        <v/>
      </c>
      <c r="F773" s="57" t="str">
        <f t="shared" si="152"/>
        <v/>
      </c>
      <c r="G773" s="102" t="str">
        <f t="shared" si="156"/>
        <v/>
      </c>
      <c r="H773" s="57">
        <f t="shared" si="153"/>
        <v>0</v>
      </c>
      <c r="I773" s="102">
        <f>VLOOKUP(P773&amp;"_"&amp;Q773,活动关卡!$A$88:$Z$111,3+5*MonsterWaveCallRuleCfg!R773,FALSE)</f>
        <v>6</v>
      </c>
      <c r="J773" s="102">
        <f>VLOOKUP(P773&amp;"_"&amp;Q773,活动关卡!$A$88:$Z$111,4+5*MonsterWaveCallRuleCfg!R773,FALSE)</f>
        <v>2</v>
      </c>
      <c r="K773" s="102">
        <f t="shared" si="154"/>
        <v>1</v>
      </c>
      <c r="L773" s="102" t="str">
        <f>IF(VLOOKUP(P773&amp;"_"&amp;Q773,活动关卡!$A$88:$Z$111,2+5*R773,FALSE)="","","Monster_Season4_Challenge"&amp;P773&amp;"_"&amp;Q773&amp;"_"&amp;R773)</f>
        <v>Monster_Season4_Challenge3_2_3</v>
      </c>
      <c r="M773" s="57">
        <f t="shared" si="155"/>
        <v>1</v>
      </c>
      <c r="O773" s="102">
        <f>VLOOKUP(P773&amp;"_"&amp;Q773,活动关卡!$A$4:$Z$27,6+5*MonsterWaveCallRuleCfg!R773,FALSE)</f>
        <v>33</v>
      </c>
      <c r="P773" s="110">
        <v>3</v>
      </c>
      <c r="Q773" s="110">
        <f t="shared" si="157"/>
        <v>2</v>
      </c>
      <c r="R773" s="110">
        <v>3</v>
      </c>
    </row>
    <row r="774" spans="2:18" x14ac:dyDescent="0.2">
      <c r="B774" s="57" t="str">
        <f t="shared" si="158"/>
        <v/>
      </c>
      <c r="D774" s="57" t="str">
        <f t="shared" si="159"/>
        <v/>
      </c>
      <c r="F774" s="57" t="str">
        <f t="shared" si="152"/>
        <v/>
      </c>
      <c r="G774" s="102" t="str">
        <f t="shared" si="156"/>
        <v/>
      </c>
      <c r="H774" s="57" t="str">
        <f t="shared" si="153"/>
        <v/>
      </c>
      <c r="I774" s="102" t="str">
        <f>VLOOKUP(P774&amp;"_"&amp;Q774,活动关卡!$A$88:$Z$111,3+5*MonsterWaveCallRuleCfg!R774,FALSE)</f>
        <v/>
      </c>
      <c r="J774" s="102" t="str">
        <f>VLOOKUP(P774&amp;"_"&amp;Q774,活动关卡!$A$88:$Z$111,4+5*MonsterWaveCallRuleCfg!R774,FALSE)</f>
        <v/>
      </c>
      <c r="K774" s="102" t="str">
        <f t="shared" si="154"/>
        <v/>
      </c>
      <c r="L774" s="102" t="str">
        <f>IF(VLOOKUP(P774&amp;"_"&amp;Q774,活动关卡!$A$88:$Z$111,2+5*R774,FALSE)="","","Monster_Season4_Challenge"&amp;P774&amp;"_"&amp;Q774&amp;"_"&amp;R774)</f>
        <v/>
      </c>
      <c r="M774" s="57" t="str">
        <f t="shared" si="155"/>
        <v/>
      </c>
      <c r="O774" s="102" t="str">
        <f>VLOOKUP(P774&amp;"_"&amp;Q774,活动关卡!$A$4:$Z$27,6+5*MonsterWaveCallRuleCfg!R774,FALSE)</f>
        <v/>
      </c>
      <c r="P774" s="110">
        <v>3</v>
      </c>
      <c r="Q774" s="110">
        <f t="shared" si="157"/>
        <v>2</v>
      </c>
      <c r="R774" s="110">
        <v>4</v>
      </c>
    </row>
    <row r="775" spans="2:18" x14ac:dyDescent="0.2">
      <c r="B775" s="57" t="str">
        <f t="shared" si="158"/>
        <v>MonsterWaveCallRule_Season4_Challenge3</v>
      </c>
      <c r="C775" s="57">
        <v>3</v>
      </c>
      <c r="D775" s="57" t="str">
        <f t="shared" si="159"/>
        <v>赛季4关卡3第3波</v>
      </c>
      <c r="F775" s="57">
        <f t="shared" si="152"/>
        <v>0</v>
      </c>
      <c r="G775" s="102">
        <f t="shared" si="156"/>
        <v>180</v>
      </c>
      <c r="H775" s="57">
        <f t="shared" si="153"/>
        <v>0</v>
      </c>
      <c r="I775" s="102">
        <f>VLOOKUP(P775&amp;"_"&amp;Q775,活动关卡!$A$88:$Z$111,3+5*MonsterWaveCallRuleCfg!R775,FALSE)</f>
        <v>8</v>
      </c>
      <c r="J775" s="102">
        <f>VLOOKUP(P775&amp;"_"&amp;Q775,活动关卡!$A$88:$Z$111,4+5*MonsterWaveCallRuleCfg!R775,FALSE)</f>
        <v>2</v>
      </c>
      <c r="K775" s="102">
        <f t="shared" si="154"/>
        <v>1</v>
      </c>
      <c r="L775" s="102" t="str">
        <f>IF(VLOOKUP(P775&amp;"_"&amp;Q775,活动关卡!$A$88:$Z$111,2+5*R775,FALSE)="","","Monster_Season4_Challenge"&amp;P775&amp;"_"&amp;Q775&amp;"_"&amp;R775)</f>
        <v>Monster_Season4_Challenge3_3_1</v>
      </c>
      <c r="M775" s="57">
        <f t="shared" si="155"/>
        <v>1</v>
      </c>
      <c r="O775" s="102">
        <f>VLOOKUP(P775&amp;"_"&amp;Q775,活动关卡!$A$4:$Z$27,6+5*MonsterWaveCallRuleCfg!R775,FALSE)</f>
        <v>30</v>
      </c>
      <c r="P775" s="110">
        <v>3</v>
      </c>
      <c r="Q775" s="110">
        <f t="shared" si="157"/>
        <v>3</v>
      </c>
      <c r="R775" s="110">
        <v>1</v>
      </c>
    </row>
    <row r="776" spans="2:18" x14ac:dyDescent="0.2">
      <c r="B776" s="57" t="str">
        <f t="shared" si="158"/>
        <v/>
      </c>
      <c r="D776" s="57" t="str">
        <f t="shared" si="159"/>
        <v/>
      </c>
      <c r="F776" s="57" t="str">
        <f t="shared" si="152"/>
        <v/>
      </c>
      <c r="G776" s="102" t="str">
        <f t="shared" si="156"/>
        <v/>
      </c>
      <c r="H776" s="57">
        <f t="shared" si="153"/>
        <v>0</v>
      </c>
      <c r="I776" s="102">
        <f>VLOOKUP(P776&amp;"_"&amp;Q776,活动关卡!$A$88:$Z$111,3+5*MonsterWaveCallRuleCfg!R776,FALSE)</f>
        <v>15</v>
      </c>
      <c r="J776" s="102">
        <f>VLOOKUP(P776&amp;"_"&amp;Q776,活动关卡!$A$88:$Z$111,4+5*MonsterWaveCallRuleCfg!R776,FALSE)</f>
        <v>1</v>
      </c>
      <c r="K776" s="102">
        <f t="shared" si="154"/>
        <v>1</v>
      </c>
      <c r="L776" s="102" t="str">
        <f>IF(VLOOKUP(P776&amp;"_"&amp;Q776,活动关卡!$A$88:$Z$111,2+5*R776,FALSE)="","","Monster_Season4_Challenge"&amp;P776&amp;"_"&amp;Q776&amp;"_"&amp;R776)</f>
        <v>Monster_Season4_Challenge3_3_2</v>
      </c>
      <c r="M776" s="57">
        <f t="shared" si="155"/>
        <v>1</v>
      </c>
      <c r="O776" s="102">
        <f>VLOOKUP(P776&amp;"_"&amp;Q776,活动关卡!$A$4:$Z$27,6+5*MonsterWaveCallRuleCfg!R776,FALSE)</f>
        <v>8</v>
      </c>
      <c r="P776" s="110">
        <v>3</v>
      </c>
      <c r="Q776" s="110">
        <f t="shared" si="157"/>
        <v>3</v>
      </c>
      <c r="R776" s="110">
        <v>2</v>
      </c>
    </row>
    <row r="777" spans="2:18" x14ac:dyDescent="0.2">
      <c r="B777" s="57" t="str">
        <f t="shared" si="158"/>
        <v/>
      </c>
      <c r="D777" s="57" t="str">
        <f t="shared" si="159"/>
        <v/>
      </c>
      <c r="F777" s="57" t="str">
        <f t="shared" si="152"/>
        <v/>
      </c>
      <c r="G777" s="102" t="str">
        <f t="shared" si="156"/>
        <v/>
      </c>
      <c r="H777" s="57">
        <f t="shared" si="153"/>
        <v>0</v>
      </c>
      <c r="I777" s="102">
        <f>VLOOKUP(P777&amp;"_"&amp;Q777,活动关卡!$A$88:$Z$111,3+5*MonsterWaveCallRuleCfg!R777,FALSE)</f>
        <v>8</v>
      </c>
      <c r="J777" s="102">
        <f>VLOOKUP(P777&amp;"_"&amp;Q777,活动关卡!$A$88:$Z$111,4+5*MonsterWaveCallRuleCfg!R777,FALSE)</f>
        <v>2</v>
      </c>
      <c r="K777" s="102">
        <f t="shared" si="154"/>
        <v>1</v>
      </c>
      <c r="L777" s="102" t="str">
        <f>IF(VLOOKUP(P777&amp;"_"&amp;Q777,活动关卡!$A$88:$Z$111,2+5*R777,FALSE)="","","Monster_Season4_Challenge"&amp;P777&amp;"_"&amp;Q777&amp;"_"&amp;R777)</f>
        <v>Monster_Season4_Challenge3_3_3</v>
      </c>
      <c r="M777" s="57">
        <f t="shared" si="155"/>
        <v>1</v>
      </c>
      <c r="O777" s="102">
        <f>VLOOKUP(P777&amp;"_"&amp;Q777,活动关卡!$A$4:$Z$27,6+5*MonsterWaveCallRuleCfg!R777,FALSE)</f>
        <v>30</v>
      </c>
      <c r="P777" s="110">
        <v>3</v>
      </c>
      <c r="Q777" s="110">
        <f t="shared" si="157"/>
        <v>3</v>
      </c>
      <c r="R777" s="110">
        <v>3</v>
      </c>
    </row>
    <row r="778" spans="2:18" x14ac:dyDescent="0.2">
      <c r="B778" s="57" t="str">
        <f t="shared" si="158"/>
        <v/>
      </c>
      <c r="D778" s="57" t="str">
        <f t="shared" si="159"/>
        <v/>
      </c>
      <c r="F778" s="57" t="str">
        <f t="shared" si="152"/>
        <v/>
      </c>
      <c r="G778" s="102" t="str">
        <f t="shared" si="156"/>
        <v/>
      </c>
      <c r="H778" s="57" t="str">
        <f t="shared" si="153"/>
        <v/>
      </c>
      <c r="I778" s="102" t="str">
        <f>VLOOKUP(P778&amp;"_"&amp;Q778,活动关卡!$A$88:$Z$111,3+5*MonsterWaveCallRuleCfg!R778,FALSE)</f>
        <v/>
      </c>
      <c r="J778" s="102" t="str">
        <f>VLOOKUP(P778&amp;"_"&amp;Q778,活动关卡!$A$88:$Z$111,4+5*MonsterWaveCallRuleCfg!R778,FALSE)</f>
        <v/>
      </c>
      <c r="K778" s="102" t="str">
        <f t="shared" si="154"/>
        <v/>
      </c>
      <c r="L778" s="102" t="str">
        <f>IF(VLOOKUP(P778&amp;"_"&amp;Q778,活动关卡!$A$88:$Z$111,2+5*R778,FALSE)="","","Monster_Season4_Challenge"&amp;P778&amp;"_"&amp;Q778&amp;"_"&amp;R778)</f>
        <v/>
      </c>
      <c r="M778" s="57" t="str">
        <f t="shared" si="155"/>
        <v/>
      </c>
      <c r="O778" s="102" t="str">
        <f>VLOOKUP(P778&amp;"_"&amp;Q778,活动关卡!$A$4:$Z$27,6+5*MonsterWaveCallRuleCfg!R778,FALSE)</f>
        <v/>
      </c>
      <c r="P778" s="110">
        <v>3</v>
      </c>
      <c r="Q778" s="110">
        <f t="shared" si="157"/>
        <v>3</v>
      </c>
      <c r="R778" s="110">
        <v>4</v>
      </c>
    </row>
    <row r="779" spans="2:18" x14ac:dyDescent="0.2">
      <c r="B779" s="57" t="str">
        <f t="shared" si="158"/>
        <v>MonsterWaveCallRule_Season4_Challenge3</v>
      </c>
      <c r="C779" s="57">
        <v>4</v>
      </c>
      <c r="D779" s="57" t="str">
        <f t="shared" si="159"/>
        <v>赛季4关卡3第4波</v>
      </c>
      <c r="F779" s="57">
        <f t="shared" si="152"/>
        <v>0</v>
      </c>
      <c r="G779" s="102">
        <f t="shared" si="156"/>
        <v>180</v>
      </c>
      <c r="H779" s="57" t="e">
        <f t="shared" si="153"/>
        <v>#N/A</v>
      </c>
      <c r="I779" s="102" t="e">
        <f>VLOOKUP(P779&amp;"_"&amp;Q779,活动关卡!$A$88:$Z$111,3+5*MonsterWaveCallRuleCfg!R779,FALSE)</f>
        <v>#N/A</v>
      </c>
      <c r="J779" s="102" t="e">
        <f>VLOOKUP(P779&amp;"_"&amp;Q779,活动关卡!$A$88:$Z$111,4+5*MonsterWaveCallRuleCfg!R779,FALSE)</f>
        <v>#N/A</v>
      </c>
      <c r="K779" s="102" t="e">
        <f t="shared" si="154"/>
        <v>#N/A</v>
      </c>
      <c r="L779" s="102" t="e">
        <f>IF(VLOOKUP(P779&amp;"_"&amp;Q779,活动关卡!$A$88:$Z$111,2+5*R779,FALSE)="","","Monster_Season4_Challenge"&amp;P779&amp;"_"&amp;Q779&amp;"_"&amp;R779)</f>
        <v>#N/A</v>
      </c>
      <c r="M779" s="57" t="e">
        <f t="shared" si="155"/>
        <v>#N/A</v>
      </c>
      <c r="O779" s="102" t="e">
        <f>VLOOKUP(P779&amp;"_"&amp;Q779,活动关卡!$A$4:$Z$27,6+5*MonsterWaveCallRuleCfg!R779,FALSE)</f>
        <v>#N/A</v>
      </c>
      <c r="P779" s="110">
        <v>3</v>
      </c>
      <c r="Q779" s="110">
        <f t="shared" si="157"/>
        <v>4</v>
      </c>
      <c r="R779" s="110">
        <v>1</v>
      </c>
    </row>
    <row r="780" spans="2:18" x14ac:dyDescent="0.2">
      <c r="B780" s="57" t="str">
        <f t="shared" si="158"/>
        <v/>
      </c>
      <c r="D780" s="57" t="str">
        <f t="shared" si="159"/>
        <v/>
      </c>
      <c r="F780" s="57" t="str">
        <f t="shared" si="152"/>
        <v/>
      </c>
      <c r="G780" s="102" t="str">
        <f t="shared" si="156"/>
        <v/>
      </c>
      <c r="H780" s="57" t="e">
        <f t="shared" si="153"/>
        <v>#N/A</v>
      </c>
      <c r="I780" s="102" t="e">
        <f>VLOOKUP(P780&amp;"_"&amp;Q780,活动关卡!$A$88:$Z$111,3+5*MonsterWaveCallRuleCfg!R780,FALSE)</f>
        <v>#N/A</v>
      </c>
      <c r="J780" s="102" t="e">
        <f>VLOOKUP(P780&amp;"_"&amp;Q780,活动关卡!$A$88:$Z$111,4+5*MonsterWaveCallRuleCfg!R780,FALSE)</f>
        <v>#N/A</v>
      </c>
      <c r="K780" s="102" t="e">
        <f t="shared" si="154"/>
        <v>#N/A</v>
      </c>
      <c r="L780" s="102" t="e">
        <f>IF(VLOOKUP(P780&amp;"_"&amp;Q780,活动关卡!$A$88:$Z$111,2+5*R780,FALSE)="","","Monster_Season4_Challenge"&amp;P780&amp;"_"&amp;Q780&amp;"_"&amp;R780)</f>
        <v>#N/A</v>
      </c>
      <c r="M780" s="57" t="e">
        <f t="shared" si="155"/>
        <v>#N/A</v>
      </c>
      <c r="O780" s="102" t="e">
        <f>VLOOKUP(P780&amp;"_"&amp;Q780,活动关卡!$A$4:$Z$27,6+5*MonsterWaveCallRuleCfg!R780,FALSE)</f>
        <v>#N/A</v>
      </c>
      <c r="P780" s="110">
        <v>3</v>
      </c>
      <c r="Q780" s="110">
        <f t="shared" si="157"/>
        <v>4</v>
      </c>
      <c r="R780" s="110">
        <v>2</v>
      </c>
    </row>
    <row r="781" spans="2:18" x14ac:dyDescent="0.2">
      <c r="B781" s="57" t="str">
        <f t="shared" si="158"/>
        <v/>
      </c>
      <c r="D781" s="57" t="str">
        <f t="shared" si="159"/>
        <v/>
      </c>
      <c r="F781" s="57" t="str">
        <f t="shared" si="152"/>
        <v/>
      </c>
      <c r="G781" s="102" t="str">
        <f t="shared" si="156"/>
        <v/>
      </c>
      <c r="H781" s="57" t="e">
        <f t="shared" si="153"/>
        <v>#N/A</v>
      </c>
      <c r="I781" s="102" t="e">
        <f>VLOOKUP(P781&amp;"_"&amp;Q781,活动关卡!$A$88:$Z$111,3+5*MonsterWaveCallRuleCfg!R781,FALSE)</f>
        <v>#N/A</v>
      </c>
      <c r="J781" s="102" t="e">
        <f>VLOOKUP(P781&amp;"_"&amp;Q781,活动关卡!$A$88:$Z$111,4+5*MonsterWaveCallRuleCfg!R781,FALSE)</f>
        <v>#N/A</v>
      </c>
      <c r="K781" s="102" t="e">
        <f t="shared" si="154"/>
        <v>#N/A</v>
      </c>
      <c r="L781" s="102" t="e">
        <f>IF(VLOOKUP(P781&amp;"_"&amp;Q781,活动关卡!$A$88:$Z$111,2+5*R781,FALSE)="","","Monster_Season4_Challenge"&amp;P781&amp;"_"&amp;Q781&amp;"_"&amp;R781)</f>
        <v>#N/A</v>
      </c>
      <c r="M781" s="57" t="e">
        <f t="shared" si="155"/>
        <v>#N/A</v>
      </c>
      <c r="O781" s="102" t="e">
        <f>VLOOKUP(P781&amp;"_"&amp;Q781,活动关卡!$A$4:$Z$27,6+5*MonsterWaveCallRuleCfg!R781,FALSE)</f>
        <v>#N/A</v>
      </c>
      <c r="P781" s="110">
        <v>3</v>
      </c>
      <c r="Q781" s="110">
        <f t="shared" si="157"/>
        <v>4</v>
      </c>
      <c r="R781" s="110">
        <v>3</v>
      </c>
    </row>
    <row r="782" spans="2:18" x14ac:dyDescent="0.2">
      <c r="B782" s="57" t="str">
        <f t="shared" si="158"/>
        <v/>
      </c>
      <c r="D782" s="57" t="str">
        <f t="shared" si="159"/>
        <v/>
      </c>
      <c r="F782" s="57" t="str">
        <f t="shared" si="152"/>
        <v/>
      </c>
      <c r="G782" s="102" t="str">
        <f t="shared" si="156"/>
        <v/>
      </c>
      <c r="H782" s="57" t="e">
        <f t="shared" si="153"/>
        <v>#N/A</v>
      </c>
      <c r="I782" s="102" t="e">
        <f>VLOOKUP(P782&amp;"_"&amp;Q782,活动关卡!$A$88:$Z$111,3+5*MonsterWaveCallRuleCfg!R782,FALSE)</f>
        <v>#N/A</v>
      </c>
      <c r="J782" s="102" t="e">
        <f>VLOOKUP(P782&amp;"_"&amp;Q782,活动关卡!$A$88:$Z$111,4+5*MonsterWaveCallRuleCfg!R782,FALSE)</f>
        <v>#N/A</v>
      </c>
      <c r="K782" s="102" t="e">
        <f t="shared" si="154"/>
        <v>#N/A</v>
      </c>
      <c r="L782" s="102" t="e">
        <f>IF(VLOOKUP(P782&amp;"_"&amp;Q782,活动关卡!$A$88:$Z$111,2+5*R782,FALSE)="","","Monster_Season4_Challenge"&amp;P782&amp;"_"&amp;Q782&amp;"_"&amp;R782)</f>
        <v>#N/A</v>
      </c>
      <c r="M782" s="57" t="e">
        <f t="shared" si="155"/>
        <v>#N/A</v>
      </c>
      <c r="O782" s="102" t="e">
        <f>VLOOKUP(P782&amp;"_"&amp;Q782,活动关卡!$A$4:$Z$27,6+5*MonsterWaveCallRuleCfg!R782,FALSE)</f>
        <v>#N/A</v>
      </c>
      <c r="P782" s="110">
        <v>3</v>
      </c>
      <c r="Q782" s="110">
        <f t="shared" si="157"/>
        <v>4</v>
      </c>
      <c r="R782" s="110">
        <v>4</v>
      </c>
    </row>
    <row r="783" spans="2:18" x14ac:dyDescent="0.2">
      <c r="B783" s="57" t="str">
        <f t="shared" si="158"/>
        <v>MonsterWaveCallRule_Season4_Challenge3</v>
      </c>
      <c r="C783" s="57">
        <v>5</v>
      </c>
      <c r="D783" s="57" t="str">
        <f t="shared" si="159"/>
        <v>赛季4关卡3第5波</v>
      </c>
      <c r="F783" s="57">
        <f t="shared" si="152"/>
        <v>0</v>
      </c>
      <c r="G783" s="102">
        <f t="shared" si="156"/>
        <v>180</v>
      </c>
      <c r="H783" s="57" t="e">
        <f t="shared" si="153"/>
        <v>#N/A</v>
      </c>
      <c r="I783" s="102" t="e">
        <f>VLOOKUP(P783&amp;"_"&amp;Q783,活动关卡!$A$88:$Z$111,3+5*MonsterWaveCallRuleCfg!R783,FALSE)</f>
        <v>#N/A</v>
      </c>
      <c r="J783" s="102" t="e">
        <f>VLOOKUP(P783&amp;"_"&amp;Q783,活动关卡!$A$88:$Z$111,4+5*MonsterWaveCallRuleCfg!R783,FALSE)</f>
        <v>#N/A</v>
      </c>
      <c r="K783" s="102" t="e">
        <f t="shared" si="154"/>
        <v>#N/A</v>
      </c>
      <c r="L783" s="102" t="e">
        <f>IF(VLOOKUP(P783&amp;"_"&amp;Q783,活动关卡!$A$88:$Z$111,2+5*R783,FALSE)="","","Monster_Season4_Challenge"&amp;P783&amp;"_"&amp;Q783&amp;"_"&amp;R783)</f>
        <v>#N/A</v>
      </c>
      <c r="M783" s="57" t="e">
        <f t="shared" si="155"/>
        <v>#N/A</v>
      </c>
      <c r="O783" s="102" t="e">
        <f>VLOOKUP(P783&amp;"_"&amp;Q783,活动关卡!$A$4:$Z$27,6+5*MonsterWaveCallRuleCfg!R783,FALSE)</f>
        <v>#N/A</v>
      </c>
      <c r="P783" s="110">
        <v>3</v>
      </c>
      <c r="Q783" s="110">
        <f t="shared" si="157"/>
        <v>5</v>
      </c>
      <c r="R783" s="110">
        <v>1</v>
      </c>
    </row>
    <row r="784" spans="2:18" x14ac:dyDescent="0.2">
      <c r="B784" s="57" t="str">
        <f t="shared" si="158"/>
        <v/>
      </c>
      <c r="D784" s="57" t="str">
        <f t="shared" si="159"/>
        <v/>
      </c>
      <c r="F784" s="57" t="str">
        <f t="shared" si="152"/>
        <v/>
      </c>
      <c r="G784" s="102" t="str">
        <f t="shared" si="156"/>
        <v/>
      </c>
      <c r="H784" s="57" t="e">
        <f t="shared" si="153"/>
        <v>#N/A</v>
      </c>
      <c r="I784" s="102" t="e">
        <f>VLOOKUP(P784&amp;"_"&amp;Q784,活动关卡!$A$88:$Z$111,3+5*MonsterWaveCallRuleCfg!R784,FALSE)</f>
        <v>#N/A</v>
      </c>
      <c r="J784" s="102" t="e">
        <f>VLOOKUP(P784&amp;"_"&amp;Q784,活动关卡!$A$88:$Z$111,4+5*MonsterWaveCallRuleCfg!R784,FALSE)</f>
        <v>#N/A</v>
      </c>
      <c r="K784" s="102" t="e">
        <f t="shared" si="154"/>
        <v>#N/A</v>
      </c>
      <c r="L784" s="102" t="e">
        <f>IF(VLOOKUP(P784&amp;"_"&amp;Q784,活动关卡!$A$88:$Z$111,2+5*R784,FALSE)="","","Monster_Season4_Challenge"&amp;P784&amp;"_"&amp;Q784&amp;"_"&amp;R784)</f>
        <v>#N/A</v>
      </c>
      <c r="M784" s="57" t="e">
        <f t="shared" si="155"/>
        <v>#N/A</v>
      </c>
      <c r="O784" s="102" t="e">
        <f>VLOOKUP(P784&amp;"_"&amp;Q784,活动关卡!$A$4:$Z$27,6+5*MonsterWaveCallRuleCfg!R784,FALSE)</f>
        <v>#N/A</v>
      </c>
      <c r="P784" s="110">
        <v>3</v>
      </c>
      <c r="Q784" s="110">
        <f t="shared" si="157"/>
        <v>5</v>
      </c>
      <c r="R784" s="110">
        <v>2</v>
      </c>
    </row>
    <row r="785" spans="2:18" x14ac:dyDescent="0.2">
      <c r="B785" s="57" t="str">
        <f t="shared" si="158"/>
        <v/>
      </c>
      <c r="D785" s="57" t="str">
        <f t="shared" si="159"/>
        <v/>
      </c>
      <c r="F785" s="57" t="str">
        <f t="shared" si="152"/>
        <v/>
      </c>
      <c r="G785" s="102" t="str">
        <f t="shared" si="156"/>
        <v/>
      </c>
      <c r="H785" s="57" t="e">
        <f t="shared" si="153"/>
        <v>#N/A</v>
      </c>
      <c r="I785" s="102" t="e">
        <f>VLOOKUP(P785&amp;"_"&amp;Q785,活动关卡!$A$88:$Z$111,3+5*MonsterWaveCallRuleCfg!R785,FALSE)</f>
        <v>#N/A</v>
      </c>
      <c r="J785" s="102" t="e">
        <f>VLOOKUP(P785&amp;"_"&amp;Q785,活动关卡!$A$88:$Z$111,4+5*MonsterWaveCallRuleCfg!R785,FALSE)</f>
        <v>#N/A</v>
      </c>
      <c r="K785" s="102" t="e">
        <f t="shared" si="154"/>
        <v>#N/A</v>
      </c>
      <c r="L785" s="102" t="e">
        <f>IF(VLOOKUP(P785&amp;"_"&amp;Q785,活动关卡!$A$88:$Z$111,2+5*R785,FALSE)="","","Monster_Season4_Challenge"&amp;P785&amp;"_"&amp;Q785&amp;"_"&amp;R785)</f>
        <v>#N/A</v>
      </c>
      <c r="M785" s="57" t="e">
        <f t="shared" si="155"/>
        <v>#N/A</v>
      </c>
      <c r="O785" s="102" t="e">
        <f>VLOOKUP(P785&amp;"_"&amp;Q785,活动关卡!$A$4:$Z$27,6+5*MonsterWaveCallRuleCfg!R785,FALSE)</f>
        <v>#N/A</v>
      </c>
      <c r="P785" s="110">
        <v>3</v>
      </c>
      <c r="Q785" s="110">
        <f t="shared" si="157"/>
        <v>5</v>
      </c>
      <c r="R785" s="110">
        <v>3</v>
      </c>
    </row>
    <row r="786" spans="2:18" x14ac:dyDescent="0.2">
      <c r="B786" s="57" t="str">
        <f t="shared" si="158"/>
        <v/>
      </c>
      <c r="D786" s="57" t="str">
        <f t="shared" si="159"/>
        <v/>
      </c>
      <c r="F786" s="57" t="str">
        <f t="shared" si="152"/>
        <v/>
      </c>
      <c r="G786" s="102" t="str">
        <f t="shared" si="156"/>
        <v/>
      </c>
      <c r="H786" s="57" t="e">
        <f t="shared" si="153"/>
        <v>#N/A</v>
      </c>
      <c r="I786" s="102" t="e">
        <f>VLOOKUP(P786&amp;"_"&amp;Q786,活动关卡!$A$88:$Z$111,3+5*MonsterWaveCallRuleCfg!R786,FALSE)</f>
        <v>#N/A</v>
      </c>
      <c r="J786" s="102" t="e">
        <f>VLOOKUP(P786&amp;"_"&amp;Q786,活动关卡!$A$88:$Z$111,4+5*MonsterWaveCallRuleCfg!R786,FALSE)</f>
        <v>#N/A</v>
      </c>
      <c r="K786" s="102" t="e">
        <f t="shared" si="154"/>
        <v>#N/A</v>
      </c>
      <c r="L786" s="102" t="e">
        <f>IF(VLOOKUP(P786&amp;"_"&amp;Q786,活动关卡!$A$88:$Z$111,2+5*R786,FALSE)="","","Monster_Season4_Challenge"&amp;P786&amp;"_"&amp;Q786&amp;"_"&amp;R786)</f>
        <v>#N/A</v>
      </c>
      <c r="M786" s="57" t="e">
        <f t="shared" si="155"/>
        <v>#N/A</v>
      </c>
      <c r="O786" s="102" t="e">
        <f>VLOOKUP(P786&amp;"_"&amp;Q786,活动关卡!$A$4:$Z$27,6+5*MonsterWaveCallRuleCfg!R786,FALSE)</f>
        <v>#N/A</v>
      </c>
      <c r="P786" s="110">
        <v>3</v>
      </c>
      <c r="Q786" s="110">
        <f t="shared" si="157"/>
        <v>5</v>
      </c>
      <c r="R786" s="110">
        <v>4</v>
      </c>
    </row>
    <row r="787" spans="2:18" x14ac:dyDescent="0.2">
      <c r="B787" s="57" t="str">
        <f t="shared" si="158"/>
        <v>MonsterWaveCallRule_Season4_Challenge4</v>
      </c>
      <c r="C787" s="57">
        <v>1</v>
      </c>
      <c r="D787" s="57" t="str">
        <f t="shared" si="159"/>
        <v>赛季4关卡4第1波</v>
      </c>
      <c r="F787" s="57">
        <f t="shared" si="152"/>
        <v>0</v>
      </c>
      <c r="G787" s="102">
        <f t="shared" si="156"/>
        <v>180</v>
      </c>
      <c r="H787" s="57">
        <f t="shared" si="153"/>
        <v>0</v>
      </c>
      <c r="I787" s="102">
        <f>VLOOKUP(P787&amp;"_"&amp;Q787,活动关卡!$A$88:$Z$111,3+5*MonsterWaveCallRuleCfg!R787,FALSE)</f>
        <v>7</v>
      </c>
      <c r="J787" s="102">
        <f>VLOOKUP(P787&amp;"_"&amp;Q787,活动关卡!$A$88:$Z$111,4+5*MonsterWaveCallRuleCfg!R787,FALSE)</f>
        <v>1.5</v>
      </c>
      <c r="K787" s="102">
        <f t="shared" si="154"/>
        <v>1</v>
      </c>
      <c r="L787" s="102" t="str">
        <f>IF(VLOOKUP(P787&amp;"_"&amp;Q787,活动关卡!$A$88:$Z$111,2+5*R787,FALSE)="","","Monster_Season4_Challenge"&amp;P787&amp;"_"&amp;Q787&amp;"_"&amp;R787)</f>
        <v>Monster_Season4_Challenge4_1_1</v>
      </c>
      <c r="M787" s="57">
        <f t="shared" si="155"/>
        <v>1</v>
      </c>
      <c r="O787" s="102">
        <f>VLOOKUP(P787&amp;"_"&amp;Q787,活动关卡!$A$4:$Z$27,6+5*MonsterWaveCallRuleCfg!R787,FALSE)</f>
        <v>35</v>
      </c>
      <c r="P787" s="110">
        <v>4</v>
      </c>
      <c r="Q787" s="110">
        <f t="shared" si="157"/>
        <v>1</v>
      </c>
      <c r="R787" s="110">
        <v>1</v>
      </c>
    </row>
    <row r="788" spans="2:18" x14ac:dyDescent="0.2">
      <c r="B788" s="57" t="str">
        <f t="shared" si="158"/>
        <v/>
      </c>
      <c r="D788" s="57" t="str">
        <f t="shared" si="159"/>
        <v/>
      </c>
      <c r="F788" s="57" t="str">
        <f t="shared" si="152"/>
        <v/>
      </c>
      <c r="G788" s="102" t="str">
        <f t="shared" si="156"/>
        <v/>
      </c>
      <c r="H788" s="57">
        <f t="shared" si="153"/>
        <v>0</v>
      </c>
      <c r="I788" s="102">
        <f>VLOOKUP(P788&amp;"_"&amp;Q788,活动关卡!$A$88:$Z$111,3+5*MonsterWaveCallRuleCfg!R788,FALSE)</f>
        <v>5</v>
      </c>
      <c r="J788" s="102">
        <f>VLOOKUP(P788&amp;"_"&amp;Q788,活动关卡!$A$88:$Z$111,4+5*MonsterWaveCallRuleCfg!R788,FALSE)</f>
        <v>2</v>
      </c>
      <c r="K788" s="102">
        <f t="shared" si="154"/>
        <v>1</v>
      </c>
      <c r="L788" s="102" t="str">
        <f>IF(VLOOKUP(P788&amp;"_"&amp;Q788,活动关卡!$A$88:$Z$111,2+5*R788,FALSE)="","","Monster_Season4_Challenge"&amp;P788&amp;"_"&amp;Q788&amp;"_"&amp;R788)</f>
        <v>Monster_Season4_Challenge4_1_2</v>
      </c>
      <c r="M788" s="57">
        <f t="shared" si="155"/>
        <v>1</v>
      </c>
      <c r="O788" s="102">
        <f>VLOOKUP(P788&amp;"_"&amp;Q788,活动关卡!$A$4:$Z$27,6+5*MonsterWaveCallRuleCfg!R788,FALSE)</f>
        <v>71</v>
      </c>
      <c r="P788" s="110">
        <v>4</v>
      </c>
      <c r="Q788" s="110">
        <f t="shared" si="157"/>
        <v>1</v>
      </c>
      <c r="R788" s="110">
        <v>2</v>
      </c>
    </row>
    <row r="789" spans="2:18" x14ac:dyDescent="0.2">
      <c r="B789" s="57" t="str">
        <f t="shared" si="158"/>
        <v/>
      </c>
      <c r="D789" s="57" t="str">
        <f t="shared" si="159"/>
        <v/>
      </c>
      <c r="F789" s="57" t="str">
        <f t="shared" si="152"/>
        <v/>
      </c>
      <c r="G789" s="102" t="str">
        <f t="shared" si="156"/>
        <v/>
      </c>
      <c r="H789" s="57" t="str">
        <f t="shared" si="153"/>
        <v/>
      </c>
      <c r="I789" s="102" t="str">
        <f>VLOOKUP(P789&amp;"_"&amp;Q789,活动关卡!$A$88:$Z$111,3+5*MonsterWaveCallRuleCfg!R789,FALSE)</f>
        <v/>
      </c>
      <c r="J789" s="102" t="str">
        <f>VLOOKUP(P789&amp;"_"&amp;Q789,活动关卡!$A$88:$Z$111,4+5*MonsterWaveCallRuleCfg!R789,FALSE)</f>
        <v/>
      </c>
      <c r="K789" s="102" t="str">
        <f t="shared" si="154"/>
        <v/>
      </c>
      <c r="L789" s="102" t="str">
        <f>IF(VLOOKUP(P789&amp;"_"&amp;Q789,活动关卡!$A$88:$Z$111,2+5*R789,FALSE)="","","Monster_Season4_Challenge"&amp;P789&amp;"_"&amp;Q789&amp;"_"&amp;R789)</f>
        <v/>
      </c>
      <c r="M789" s="57" t="str">
        <f t="shared" si="155"/>
        <v/>
      </c>
      <c r="O789" s="102" t="str">
        <f>VLOOKUP(P789&amp;"_"&amp;Q789,活动关卡!$A$4:$Z$27,6+5*MonsterWaveCallRuleCfg!R789,FALSE)</f>
        <v/>
      </c>
      <c r="P789" s="110">
        <v>4</v>
      </c>
      <c r="Q789" s="110">
        <f t="shared" si="157"/>
        <v>1</v>
      </c>
      <c r="R789" s="110">
        <v>3</v>
      </c>
    </row>
    <row r="790" spans="2:18" x14ac:dyDescent="0.2">
      <c r="B790" s="57" t="str">
        <f t="shared" si="158"/>
        <v/>
      </c>
      <c r="D790" s="57" t="str">
        <f t="shared" si="159"/>
        <v/>
      </c>
      <c r="F790" s="57" t="str">
        <f t="shared" si="152"/>
        <v/>
      </c>
      <c r="G790" s="102" t="str">
        <f t="shared" si="156"/>
        <v/>
      </c>
      <c r="H790" s="57" t="str">
        <f t="shared" si="153"/>
        <v/>
      </c>
      <c r="I790" s="102" t="str">
        <f>VLOOKUP(P790&amp;"_"&amp;Q790,活动关卡!$A$88:$Z$111,3+5*MonsterWaveCallRuleCfg!R790,FALSE)</f>
        <v/>
      </c>
      <c r="J790" s="102" t="str">
        <f>VLOOKUP(P790&amp;"_"&amp;Q790,活动关卡!$A$88:$Z$111,4+5*MonsterWaveCallRuleCfg!R790,FALSE)</f>
        <v/>
      </c>
      <c r="K790" s="102" t="str">
        <f t="shared" si="154"/>
        <v/>
      </c>
      <c r="L790" s="102" t="str">
        <f>IF(VLOOKUP(P790&amp;"_"&amp;Q790,活动关卡!$A$88:$Z$111,2+5*R790,FALSE)="","","Monster_Season4_Challenge"&amp;P790&amp;"_"&amp;Q790&amp;"_"&amp;R790)</f>
        <v/>
      </c>
      <c r="M790" s="57" t="str">
        <f t="shared" si="155"/>
        <v/>
      </c>
      <c r="O790" s="102" t="str">
        <f>VLOOKUP(P790&amp;"_"&amp;Q790,活动关卡!$A$4:$Z$27,6+5*MonsterWaveCallRuleCfg!R790,FALSE)</f>
        <v/>
      </c>
      <c r="P790" s="110">
        <v>4</v>
      </c>
      <c r="Q790" s="110">
        <f t="shared" si="157"/>
        <v>1</v>
      </c>
      <c r="R790" s="110">
        <v>4</v>
      </c>
    </row>
    <row r="791" spans="2:18" x14ac:dyDescent="0.2">
      <c r="B791" s="57" t="str">
        <f t="shared" ref="B791:B822" si="160">IF(C791="","","MonsterWaveCallRule_Season4_Challenge"&amp;P791)</f>
        <v>MonsterWaveCallRule_Season4_Challenge4</v>
      </c>
      <c r="C791" s="57">
        <v>2</v>
      </c>
      <c r="D791" s="57" t="str">
        <f t="shared" ref="D791:D822" si="161">IF(C791="","","赛季4关卡"&amp;P791&amp;"第"&amp;C791&amp;"波")</f>
        <v>赛季4关卡4第2波</v>
      </c>
      <c r="F791" s="57">
        <f t="shared" ref="F791:F835" si="162">IF(C791="","",0)</f>
        <v>0</v>
      </c>
      <c r="G791" s="102">
        <f t="shared" si="156"/>
        <v>180</v>
      </c>
      <c r="H791" s="57">
        <f t="shared" ref="H791:H838" si="163">IF(I791="","",0)</f>
        <v>0</v>
      </c>
      <c r="I791" s="102">
        <f>VLOOKUP(P791&amp;"_"&amp;Q791,活动关卡!$A$88:$Z$111,3+5*MonsterWaveCallRuleCfg!R791,FALSE)</f>
        <v>8</v>
      </c>
      <c r="J791" s="102">
        <f>VLOOKUP(P791&amp;"_"&amp;Q791,活动关卡!$A$88:$Z$111,4+5*MonsterWaveCallRuleCfg!R791,FALSE)</f>
        <v>1.5</v>
      </c>
      <c r="K791" s="102">
        <f t="shared" ref="K791:K838" si="164">IF(I791="","",1)</f>
        <v>1</v>
      </c>
      <c r="L791" s="102" t="str">
        <f>IF(VLOOKUP(P791&amp;"_"&amp;Q791,活动关卡!$A$88:$Z$111,2+5*R791,FALSE)="","","Monster_Season4_Challenge"&amp;P791&amp;"_"&amp;Q791&amp;"_"&amp;R791)</f>
        <v>Monster_Season4_Challenge4_2_1</v>
      </c>
      <c r="M791" s="57">
        <f t="shared" ref="M791:M838" si="165">IF(I791="","",1)</f>
        <v>1</v>
      </c>
      <c r="O791" s="102">
        <f>VLOOKUP(P791&amp;"_"&amp;Q791,活动关卡!$A$4:$Z$27,6+5*MonsterWaveCallRuleCfg!R791,FALSE)</f>
        <v>9</v>
      </c>
      <c r="P791" s="110">
        <v>4</v>
      </c>
      <c r="Q791" s="110">
        <f t="shared" si="157"/>
        <v>2</v>
      </c>
      <c r="R791" s="110">
        <v>1</v>
      </c>
    </row>
    <row r="792" spans="2:18" x14ac:dyDescent="0.2">
      <c r="B792" s="57" t="str">
        <f t="shared" si="160"/>
        <v/>
      </c>
      <c r="D792" s="57" t="str">
        <f t="shared" si="161"/>
        <v/>
      </c>
      <c r="F792" s="57" t="str">
        <f t="shared" si="162"/>
        <v/>
      </c>
      <c r="G792" s="102" t="str">
        <f t="shared" ref="G792:G806" si="166">IF(C792="","",180)</f>
        <v/>
      </c>
      <c r="H792" s="57">
        <f t="shared" si="163"/>
        <v>0</v>
      </c>
      <c r="I792" s="102">
        <f>VLOOKUP(P792&amp;"_"&amp;Q792,活动关卡!$A$88:$Z$111,3+5*MonsterWaveCallRuleCfg!R792,FALSE)</f>
        <v>25</v>
      </c>
      <c r="J792" s="102">
        <f>VLOOKUP(P792&amp;"_"&amp;Q792,活动关卡!$A$88:$Z$111,4+5*MonsterWaveCallRuleCfg!R792,FALSE)</f>
        <v>0.5</v>
      </c>
      <c r="K792" s="102">
        <f t="shared" si="164"/>
        <v>1</v>
      </c>
      <c r="L792" s="102" t="str">
        <f>IF(VLOOKUP(P792&amp;"_"&amp;Q792,活动关卡!$A$88:$Z$111,2+5*R792,FALSE)="","","Monster_Season4_Challenge"&amp;P792&amp;"_"&amp;Q792&amp;"_"&amp;R792)</f>
        <v>Monster_Season4_Challenge4_2_2</v>
      </c>
      <c r="M792" s="57">
        <f t="shared" si="165"/>
        <v>1</v>
      </c>
      <c r="O792" s="102">
        <f>VLOOKUP(P792&amp;"_"&amp;Q792,活动关卡!$A$4:$Z$27,6+5*MonsterWaveCallRuleCfg!R792,FALSE)</f>
        <v>17</v>
      </c>
      <c r="P792" s="110">
        <v>4</v>
      </c>
      <c r="Q792" s="110">
        <f t="shared" si="157"/>
        <v>2</v>
      </c>
      <c r="R792" s="110">
        <v>2</v>
      </c>
    </row>
    <row r="793" spans="2:18" x14ac:dyDescent="0.2">
      <c r="B793" s="57" t="str">
        <f t="shared" si="160"/>
        <v/>
      </c>
      <c r="D793" s="57" t="str">
        <f t="shared" si="161"/>
        <v/>
      </c>
      <c r="F793" s="57" t="str">
        <f t="shared" si="162"/>
        <v/>
      </c>
      <c r="G793" s="102" t="str">
        <f t="shared" si="166"/>
        <v/>
      </c>
      <c r="H793" s="57">
        <f t="shared" si="163"/>
        <v>0</v>
      </c>
      <c r="I793" s="102">
        <f>VLOOKUP(P793&amp;"_"&amp;Q793,活动关卡!$A$88:$Z$111,3+5*MonsterWaveCallRuleCfg!R793,FALSE)</f>
        <v>6</v>
      </c>
      <c r="J793" s="102">
        <f>VLOOKUP(P793&amp;"_"&amp;Q793,活动关卡!$A$88:$Z$111,4+5*MonsterWaveCallRuleCfg!R793,FALSE)</f>
        <v>2</v>
      </c>
      <c r="K793" s="102">
        <f t="shared" si="164"/>
        <v>1</v>
      </c>
      <c r="L793" s="102" t="str">
        <f>IF(VLOOKUP(P793&amp;"_"&amp;Q793,活动关卡!$A$88:$Z$111,2+5*R793,FALSE)="","","Monster_Season4_Challenge"&amp;P793&amp;"_"&amp;Q793&amp;"_"&amp;R793)</f>
        <v>Monster_Season4_Challenge4_2_3</v>
      </c>
      <c r="M793" s="57">
        <f t="shared" si="165"/>
        <v>1</v>
      </c>
      <c r="O793" s="102">
        <f>VLOOKUP(P793&amp;"_"&amp;Q793,活动关卡!$A$4:$Z$27,6+5*MonsterWaveCallRuleCfg!R793,FALSE)</f>
        <v>17</v>
      </c>
      <c r="P793" s="110">
        <v>4</v>
      </c>
      <c r="Q793" s="110">
        <f t="shared" ref="Q793:Q838" si="167">IF(C793="",Q792,C793)</f>
        <v>2</v>
      </c>
      <c r="R793" s="110">
        <v>3</v>
      </c>
    </row>
    <row r="794" spans="2:18" x14ac:dyDescent="0.2">
      <c r="B794" s="57" t="str">
        <f t="shared" si="160"/>
        <v/>
      </c>
      <c r="D794" s="57" t="str">
        <f t="shared" si="161"/>
        <v/>
      </c>
      <c r="F794" s="57" t="str">
        <f t="shared" si="162"/>
        <v/>
      </c>
      <c r="G794" s="102" t="str">
        <f t="shared" si="166"/>
        <v/>
      </c>
      <c r="H794" s="57" t="str">
        <f t="shared" si="163"/>
        <v/>
      </c>
      <c r="I794" s="102" t="str">
        <f>VLOOKUP(P794&amp;"_"&amp;Q794,活动关卡!$A$88:$Z$111,3+5*MonsterWaveCallRuleCfg!R794,FALSE)</f>
        <v/>
      </c>
      <c r="J794" s="102" t="str">
        <f>VLOOKUP(P794&amp;"_"&amp;Q794,活动关卡!$A$88:$Z$111,4+5*MonsterWaveCallRuleCfg!R794,FALSE)</f>
        <v/>
      </c>
      <c r="K794" s="102" t="str">
        <f t="shared" si="164"/>
        <v/>
      </c>
      <c r="L794" s="102" t="str">
        <f>IF(VLOOKUP(P794&amp;"_"&amp;Q794,活动关卡!$A$88:$Z$111,2+5*R794,FALSE)="","","Monster_Season4_Challenge"&amp;P794&amp;"_"&amp;Q794&amp;"_"&amp;R794)</f>
        <v/>
      </c>
      <c r="M794" s="57" t="str">
        <f t="shared" si="165"/>
        <v/>
      </c>
      <c r="O794" s="102" t="str">
        <f>VLOOKUP(P794&amp;"_"&amp;Q794,活动关卡!$A$4:$Z$27,6+5*MonsterWaveCallRuleCfg!R794,FALSE)</f>
        <v/>
      </c>
      <c r="P794" s="110">
        <v>4</v>
      </c>
      <c r="Q794" s="110">
        <f t="shared" si="167"/>
        <v>2</v>
      </c>
      <c r="R794" s="110">
        <v>4</v>
      </c>
    </row>
    <row r="795" spans="2:18" x14ac:dyDescent="0.2">
      <c r="B795" s="57" t="str">
        <f t="shared" si="160"/>
        <v>MonsterWaveCallRule_Season4_Challenge4</v>
      </c>
      <c r="C795" s="57">
        <v>3</v>
      </c>
      <c r="D795" s="57" t="str">
        <f t="shared" si="161"/>
        <v>赛季4关卡4第3波</v>
      </c>
      <c r="F795" s="57">
        <f t="shared" si="162"/>
        <v>0</v>
      </c>
      <c r="G795" s="102">
        <f t="shared" si="166"/>
        <v>180</v>
      </c>
      <c r="H795" s="57">
        <f t="shared" si="163"/>
        <v>0</v>
      </c>
      <c r="I795" s="102">
        <f>VLOOKUP(P795&amp;"_"&amp;Q795,活动关卡!$A$88:$Z$111,3+5*MonsterWaveCallRuleCfg!R795,FALSE)</f>
        <v>10</v>
      </c>
      <c r="J795" s="102">
        <f>VLOOKUP(P795&amp;"_"&amp;Q795,活动关卡!$A$88:$Z$111,4+5*MonsterWaveCallRuleCfg!R795,FALSE)</f>
        <v>1.5</v>
      </c>
      <c r="K795" s="102">
        <f t="shared" si="164"/>
        <v>1</v>
      </c>
      <c r="L795" s="102" t="str">
        <f>IF(VLOOKUP(P795&amp;"_"&amp;Q795,活动关卡!$A$88:$Z$111,2+5*R795,FALSE)="","","Monster_Season4_Challenge"&amp;P795&amp;"_"&amp;Q795&amp;"_"&amp;R795)</f>
        <v>Monster_Season4_Challenge4_3_1</v>
      </c>
      <c r="M795" s="57">
        <f t="shared" si="165"/>
        <v>1</v>
      </c>
      <c r="O795" s="102">
        <f>VLOOKUP(P795&amp;"_"&amp;Q795,活动关卡!$A$4:$Z$27,6+5*MonsterWaveCallRuleCfg!R795,FALSE)</f>
        <v>9</v>
      </c>
      <c r="P795" s="110">
        <v>4</v>
      </c>
      <c r="Q795" s="110">
        <f t="shared" si="167"/>
        <v>3</v>
      </c>
      <c r="R795" s="110">
        <v>1</v>
      </c>
    </row>
    <row r="796" spans="2:18" x14ac:dyDescent="0.2">
      <c r="B796" s="57" t="str">
        <f t="shared" si="160"/>
        <v/>
      </c>
      <c r="D796" s="57" t="str">
        <f t="shared" si="161"/>
        <v/>
      </c>
      <c r="F796" s="57" t="str">
        <f t="shared" si="162"/>
        <v/>
      </c>
      <c r="G796" s="102" t="str">
        <f t="shared" si="166"/>
        <v/>
      </c>
      <c r="H796" s="57">
        <f t="shared" si="163"/>
        <v>0</v>
      </c>
      <c r="I796" s="102">
        <f>VLOOKUP(P796&amp;"_"&amp;Q796,活动关卡!$A$88:$Z$111,3+5*MonsterWaveCallRuleCfg!R796,FALSE)</f>
        <v>75</v>
      </c>
      <c r="J796" s="102">
        <f>VLOOKUP(P796&amp;"_"&amp;Q796,活动关卡!$A$88:$Z$111,4+5*MonsterWaveCallRuleCfg!R796,FALSE)</f>
        <v>0.2</v>
      </c>
      <c r="K796" s="102">
        <f t="shared" si="164"/>
        <v>1</v>
      </c>
      <c r="L796" s="102" t="str">
        <f>IF(VLOOKUP(P796&amp;"_"&amp;Q796,活动关卡!$A$88:$Z$111,2+5*R796,FALSE)="","","Monster_Season4_Challenge"&amp;P796&amp;"_"&amp;Q796&amp;"_"&amp;R796)</f>
        <v>Monster_Season4_Challenge4_3_2</v>
      </c>
      <c r="M796" s="57">
        <f t="shared" si="165"/>
        <v>1</v>
      </c>
      <c r="O796" s="102">
        <f>VLOOKUP(P796&amp;"_"&amp;Q796,活动关卡!$A$4:$Z$27,6+5*MonsterWaveCallRuleCfg!R796,FALSE)</f>
        <v>5</v>
      </c>
      <c r="P796" s="110">
        <v>4</v>
      </c>
      <c r="Q796" s="110">
        <f t="shared" si="167"/>
        <v>3</v>
      </c>
      <c r="R796" s="110">
        <v>2</v>
      </c>
    </row>
    <row r="797" spans="2:18" x14ac:dyDescent="0.2">
      <c r="B797" s="57" t="str">
        <f t="shared" si="160"/>
        <v/>
      </c>
      <c r="D797" s="57" t="str">
        <f t="shared" si="161"/>
        <v/>
      </c>
      <c r="F797" s="57" t="str">
        <f t="shared" si="162"/>
        <v/>
      </c>
      <c r="G797" s="102" t="str">
        <f t="shared" si="166"/>
        <v/>
      </c>
      <c r="H797" s="57">
        <f t="shared" si="163"/>
        <v>0</v>
      </c>
      <c r="I797" s="102">
        <f>VLOOKUP(P797&amp;"_"&amp;Q797,活动关卡!$A$88:$Z$111,3+5*MonsterWaveCallRuleCfg!R797,FALSE)</f>
        <v>8</v>
      </c>
      <c r="J797" s="102">
        <f>VLOOKUP(P797&amp;"_"&amp;Q797,活动关卡!$A$88:$Z$111,4+5*MonsterWaveCallRuleCfg!R797,FALSE)</f>
        <v>2</v>
      </c>
      <c r="K797" s="102">
        <f t="shared" si="164"/>
        <v>1</v>
      </c>
      <c r="L797" s="102" t="str">
        <f>IF(VLOOKUP(P797&amp;"_"&amp;Q797,活动关卡!$A$88:$Z$111,2+5*R797,FALSE)="","","Monster_Season4_Challenge"&amp;P797&amp;"_"&amp;Q797&amp;"_"&amp;R797)</f>
        <v>Monster_Season4_Challenge4_3_3</v>
      </c>
      <c r="M797" s="57">
        <f t="shared" si="165"/>
        <v>1</v>
      </c>
      <c r="O797" s="102">
        <f>VLOOKUP(P797&amp;"_"&amp;Q797,活动关卡!$A$4:$Z$27,6+5*MonsterWaveCallRuleCfg!R797,FALSE)</f>
        <v>19</v>
      </c>
      <c r="P797" s="110">
        <v>4</v>
      </c>
      <c r="Q797" s="110">
        <f t="shared" si="167"/>
        <v>3</v>
      </c>
      <c r="R797" s="110">
        <v>3</v>
      </c>
    </row>
    <row r="798" spans="2:18" x14ac:dyDescent="0.2">
      <c r="B798" s="57" t="str">
        <f t="shared" si="160"/>
        <v/>
      </c>
      <c r="D798" s="57" t="str">
        <f t="shared" si="161"/>
        <v/>
      </c>
      <c r="F798" s="57" t="str">
        <f t="shared" si="162"/>
        <v/>
      </c>
      <c r="G798" s="102" t="str">
        <f t="shared" si="166"/>
        <v/>
      </c>
      <c r="H798" s="57" t="str">
        <f t="shared" si="163"/>
        <v/>
      </c>
      <c r="I798" s="102" t="str">
        <f>VLOOKUP(P798&amp;"_"&amp;Q798,活动关卡!$A$88:$Z$111,3+5*MonsterWaveCallRuleCfg!R798,FALSE)</f>
        <v/>
      </c>
      <c r="J798" s="102" t="str">
        <f>VLOOKUP(P798&amp;"_"&amp;Q798,活动关卡!$A$88:$Z$111,4+5*MonsterWaveCallRuleCfg!R798,FALSE)</f>
        <v/>
      </c>
      <c r="K798" s="102" t="str">
        <f t="shared" si="164"/>
        <v/>
      </c>
      <c r="L798" s="102" t="str">
        <f>IF(VLOOKUP(P798&amp;"_"&amp;Q798,活动关卡!$A$88:$Z$111,2+5*R798,FALSE)="","","Monster_Season4_Challenge"&amp;P798&amp;"_"&amp;Q798&amp;"_"&amp;R798)</f>
        <v/>
      </c>
      <c r="M798" s="57" t="str">
        <f t="shared" si="165"/>
        <v/>
      </c>
      <c r="O798" s="102" t="str">
        <f>VLOOKUP(P798&amp;"_"&amp;Q798,活动关卡!$A$4:$Z$27,6+5*MonsterWaveCallRuleCfg!R798,FALSE)</f>
        <v/>
      </c>
      <c r="P798" s="110">
        <v>4</v>
      </c>
      <c r="Q798" s="110">
        <f t="shared" si="167"/>
        <v>3</v>
      </c>
      <c r="R798" s="110">
        <v>4</v>
      </c>
    </row>
    <row r="799" spans="2:18" x14ac:dyDescent="0.2">
      <c r="B799" s="57" t="str">
        <f t="shared" si="160"/>
        <v>MonsterWaveCallRule_Season4_Challenge4</v>
      </c>
      <c r="C799" s="57">
        <v>4</v>
      </c>
      <c r="D799" s="57" t="str">
        <f t="shared" si="161"/>
        <v>赛季4关卡4第4波</v>
      </c>
      <c r="F799" s="57">
        <f t="shared" si="162"/>
        <v>0</v>
      </c>
      <c r="G799" s="102">
        <f t="shared" si="166"/>
        <v>180</v>
      </c>
      <c r="H799" s="57">
        <f t="shared" si="163"/>
        <v>0</v>
      </c>
      <c r="I799" s="102">
        <f>VLOOKUP(P799&amp;"_"&amp;Q799,活动关卡!$A$88:$Z$111,3+5*MonsterWaveCallRuleCfg!R799,FALSE)</f>
        <v>12</v>
      </c>
      <c r="J799" s="102">
        <f>VLOOKUP(P799&amp;"_"&amp;Q799,活动关卡!$A$88:$Z$111,4+5*MonsterWaveCallRuleCfg!R799,FALSE)</f>
        <v>1.5</v>
      </c>
      <c r="K799" s="102">
        <f t="shared" si="164"/>
        <v>1</v>
      </c>
      <c r="L799" s="102" t="str">
        <f>IF(VLOOKUP(P799&amp;"_"&amp;Q799,活动关卡!$A$88:$Z$111,2+5*R799,FALSE)="","","Monster_Season4_Challenge"&amp;P799&amp;"_"&amp;Q799&amp;"_"&amp;R799)</f>
        <v>Monster_Season4_Challenge4_4_1</v>
      </c>
      <c r="M799" s="57">
        <f t="shared" si="165"/>
        <v>1</v>
      </c>
      <c r="O799" s="102">
        <f>VLOOKUP(P799&amp;"_"&amp;Q799,活动关卡!$A$4:$Z$27,6+5*MonsterWaveCallRuleCfg!R799,FALSE)</f>
        <v>7</v>
      </c>
      <c r="P799" s="110">
        <v>4</v>
      </c>
      <c r="Q799" s="110">
        <f t="shared" si="167"/>
        <v>4</v>
      </c>
      <c r="R799" s="110">
        <v>1</v>
      </c>
    </row>
    <row r="800" spans="2:18" x14ac:dyDescent="0.2">
      <c r="B800" s="57" t="str">
        <f t="shared" si="160"/>
        <v/>
      </c>
      <c r="D800" s="57" t="str">
        <f t="shared" si="161"/>
        <v/>
      </c>
      <c r="F800" s="57" t="str">
        <f t="shared" si="162"/>
        <v/>
      </c>
      <c r="G800" s="102" t="str">
        <f t="shared" si="166"/>
        <v/>
      </c>
      <c r="H800" s="57">
        <f t="shared" si="163"/>
        <v>0</v>
      </c>
      <c r="I800" s="102">
        <f>VLOOKUP(P800&amp;"_"&amp;Q800,活动关卡!$A$88:$Z$111,3+5*MonsterWaveCallRuleCfg!R800,FALSE)</f>
        <v>44</v>
      </c>
      <c r="J800" s="102">
        <f>VLOOKUP(P800&amp;"_"&amp;Q800,活动关卡!$A$88:$Z$111,4+5*MonsterWaveCallRuleCfg!R800,FALSE)</f>
        <v>0.4</v>
      </c>
      <c r="K800" s="102">
        <f t="shared" si="164"/>
        <v>1</v>
      </c>
      <c r="L800" s="102" t="str">
        <f>IF(VLOOKUP(P800&amp;"_"&amp;Q800,活动关卡!$A$88:$Z$111,2+5*R800,FALSE)="","","Monster_Season4_Challenge"&amp;P800&amp;"_"&amp;Q800&amp;"_"&amp;R800)</f>
        <v>Monster_Season4_Challenge4_4_2</v>
      </c>
      <c r="M800" s="57">
        <f t="shared" si="165"/>
        <v>1</v>
      </c>
      <c r="O800" s="102">
        <f>VLOOKUP(P800&amp;"_"&amp;Q800,活动关卡!$A$4:$Z$27,6+5*MonsterWaveCallRuleCfg!R800,FALSE)</f>
        <v>7</v>
      </c>
      <c r="P800" s="110">
        <v>4</v>
      </c>
      <c r="Q800" s="110">
        <f t="shared" si="167"/>
        <v>4</v>
      </c>
      <c r="R800" s="110">
        <v>2</v>
      </c>
    </row>
    <row r="801" spans="2:18" x14ac:dyDescent="0.2">
      <c r="B801" s="57" t="str">
        <f t="shared" si="160"/>
        <v/>
      </c>
      <c r="D801" s="57" t="str">
        <f t="shared" si="161"/>
        <v/>
      </c>
      <c r="F801" s="57" t="str">
        <f t="shared" si="162"/>
        <v/>
      </c>
      <c r="G801" s="102" t="str">
        <f t="shared" si="166"/>
        <v/>
      </c>
      <c r="H801" s="57">
        <f t="shared" si="163"/>
        <v>0</v>
      </c>
      <c r="I801" s="102">
        <f>VLOOKUP(P801&amp;"_"&amp;Q801,活动关卡!$A$88:$Z$111,3+5*MonsterWaveCallRuleCfg!R801,FALSE)</f>
        <v>18</v>
      </c>
      <c r="J801" s="102">
        <f>VLOOKUP(P801&amp;"_"&amp;Q801,活动关卡!$A$88:$Z$111,4+5*MonsterWaveCallRuleCfg!R801,FALSE)</f>
        <v>1</v>
      </c>
      <c r="K801" s="102">
        <f t="shared" si="164"/>
        <v>1</v>
      </c>
      <c r="L801" s="102" t="str">
        <f>IF(VLOOKUP(P801&amp;"_"&amp;Q801,活动关卡!$A$88:$Z$111,2+5*R801,FALSE)="","","Monster_Season4_Challenge"&amp;P801&amp;"_"&amp;Q801&amp;"_"&amp;R801)</f>
        <v>Monster_Season4_Challenge4_4_3</v>
      </c>
      <c r="M801" s="57">
        <f t="shared" si="165"/>
        <v>1</v>
      </c>
      <c r="O801" s="102">
        <f>VLOOKUP(P801&amp;"_"&amp;Q801,活动关卡!$A$4:$Z$27,6+5*MonsterWaveCallRuleCfg!R801,FALSE)</f>
        <v>13</v>
      </c>
      <c r="P801" s="110">
        <v>4</v>
      </c>
      <c r="Q801" s="110">
        <f t="shared" si="167"/>
        <v>4</v>
      </c>
      <c r="R801" s="110">
        <v>3</v>
      </c>
    </row>
    <row r="802" spans="2:18" x14ac:dyDescent="0.2">
      <c r="B802" s="57" t="str">
        <f t="shared" si="160"/>
        <v/>
      </c>
      <c r="D802" s="57" t="str">
        <f t="shared" si="161"/>
        <v/>
      </c>
      <c r="F802" s="57" t="str">
        <f t="shared" si="162"/>
        <v/>
      </c>
      <c r="G802" s="102" t="str">
        <f t="shared" si="166"/>
        <v/>
      </c>
      <c r="H802" s="57" t="str">
        <f t="shared" si="163"/>
        <v/>
      </c>
      <c r="I802" s="102" t="str">
        <f>VLOOKUP(P802&amp;"_"&amp;Q802,活动关卡!$A$88:$Z$111,3+5*MonsterWaveCallRuleCfg!R802,FALSE)</f>
        <v/>
      </c>
      <c r="J802" s="102" t="str">
        <f>VLOOKUP(P802&amp;"_"&amp;Q802,活动关卡!$A$88:$Z$111,4+5*MonsterWaveCallRuleCfg!R802,FALSE)</f>
        <v/>
      </c>
      <c r="K802" s="102" t="str">
        <f t="shared" si="164"/>
        <v/>
      </c>
      <c r="L802" s="102" t="str">
        <f>IF(VLOOKUP(P802&amp;"_"&amp;Q802,活动关卡!$A$88:$Z$111,2+5*R802,FALSE)="","","Monster_Season4_Challenge"&amp;P802&amp;"_"&amp;Q802&amp;"_"&amp;R802)</f>
        <v/>
      </c>
      <c r="M802" s="57" t="str">
        <f t="shared" si="165"/>
        <v/>
      </c>
      <c r="O802" s="102" t="str">
        <f>VLOOKUP(P802&amp;"_"&amp;Q802,活动关卡!$A$4:$Z$27,6+5*MonsterWaveCallRuleCfg!R802,FALSE)</f>
        <v/>
      </c>
      <c r="P802" s="110">
        <v>4</v>
      </c>
      <c r="Q802" s="110">
        <f t="shared" si="167"/>
        <v>4</v>
      </c>
      <c r="R802" s="110">
        <v>4</v>
      </c>
    </row>
    <row r="803" spans="2:18" x14ac:dyDescent="0.2">
      <c r="B803" s="57" t="str">
        <f t="shared" si="160"/>
        <v>MonsterWaveCallRule_Season4_Challenge4</v>
      </c>
      <c r="C803" s="57">
        <v>5</v>
      </c>
      <c r="D803" s="57" t="str">
        <f t="shared" si="161"/>
        <v>赛季4关卡4第5波</v>
      </c>
      <c r="F803" s="57">
        <f t="shared" si="162"/>
        <v>0</v>
      </c>
      <c r="G803" s="102">
        <f t="shared" si="166"/>
        <v>180</v>
      </c>
      <c r="H803" s="57">
        <f t="shared" si="163"/>
        <v>0</v>
      </c>
      <c r="I803" s="102">
        <f>VLOOKUP(P803&amp;"_"&amp;Q803,活动关卡!$A$88:$Z$111,3+5*MonsterWaveCallRuleCfg!R803,FALSE)</f>
        <v>40</v>
      </c>
      <c r="J803" s="102">
        <f>VLOOKUP(P803&amp;"_"&amp;Q803,活动关卡!$A$88:$Z$111,4+5*MonsterWaveCallRuleCfg!R803,FALSE)</f>
        <v>0.5</v>
      </c>
      <c r="K803" s="102">
        <f t="shared" si="164"/>
        <v>1</v>
      </c>
      <c r="L803" s="102" t="str">
        <f>IF(VLOOKUP(P803&amp;"_"&amp;Q803,活动关卡!$A$88:$Z$111,2+5*R803,FALSE)="","","Monster_Season4_Challenge"&amp;P803&amp;"_"&amp;Q803&amp;"_"&amp;R803)</f>
        <v>Monster_Season4_Challenge4_5_1</v>
      </c>
      <c r="M803" s="57">
        <f t="shared" si="165"/>
        <v>1</v>
      </c>
      <c r="O803" s="102">
        <f>VLOOKUP(P803&amp;"_"&amp;Q803,活动关卡!$A$4:$Z$27,6+5*MonsterWaveCallRuleCfg!R803,FALSE)</f>
        <v>6</v>
      </c>
      <c r="P803" s="110">
        <v>4</v>
      </c>
      <c r="Q803" s="110">
        <f t="shared" si="167"/>
        <v>5</v>
      </c>
      <c r="R803" s="110">
        <v>1</v>
      </c>
    </row>
    <row r="804" spans="2:18" x14ac:dyDescent="0.2">
      <c r="B804" s="57" t="str">
        <f t="shared" si="160"/>
        <v/>
      </c>
      <c r="D804" s="57" t="str">
        <f t="shared" si="161"/>
        <v/>
      </c>
      <c r="F804" s="57" t="str">
        <f t="shared" si="162"/>
        <v/>
      </c>
      <c r="G804" s="102" t="str">
        <f t="shared" si="166"/>
        <v/>
      </c>
      <c r="H804" s="57">
        <f t="shared" si="163"/>
        <v>0</v>
      </c>
      <c r="I804" s="102">
        <f>VLOOKUP(P804&amp;"_"&amp;Q804,活动关卡!$A$88:$Z$111,3+5*MonsterWaveCallRuleCfg!R804,FALSE)</f>
        <v>10</v>
      </c>
      <c r="J804" s="102">
        <f>VLOOKUP(P804&amp;"_"&amp;Q804,活动关卡!$A$88:$Z$111,4+5*MonsterWaveCallRuleCfg!R804,FALSE)</f>
        <v>2</v>
      </c>
      <c r="K804" s="102">
        <f t="shared" si="164"/>
        <v>1</v>
      </c>
      <c r="L804" s="102" t="str">
        <f>IF(VLOOKUP(P804&amp;"_"&amp;Q804,活动关卡!$A$88:$Z$111,2+5*R804,FALSE)="","","Monster_Season4_Challenge"&amp;P804&amp;"_"&amp;Q804&amp;"_"&amp;R804)</f>
        <v>Monster_Season4_Challenge4_5_2</v>
      </c>
      <c r="M804" s="57">
        <f t="shared" si="165"/>
        <v>1</v>
      </c>
      <c r="O804" s="102">
        <f>VLOOKUP(P804&amp;"_"&amp;Q804,活动关卡!$A$4:$Z$27,6+5*MonsterWaveCallRuleCfg!R804,FALSE)</f>
        <v>12</v>
      </c>
      <c r="P804" s="110">
        <v>4</v>
      </c>
      <c r="Q804" s="110">
        <f t="shared" si="167"/>
        <v>5</v>
      </c>
      <c r="R804" s="110">
        <v>2</v>
      </c>
    </row>
    <row r="805" spans="2:18" x14ac:dyDescent="0.2">
      <c r="B805" s="57" t="str">
        <f t="shared" si="160"/>
        <v/>
      </c>
      <c r="D805" s="57" t="str">
        <f t="shared" si="161"/>
        <v/>
      </c>
      <c r="F805" s="57" t="str">
        <f t="shared" si="162"/>
        <v/>
      </c>
      <c r="G805" s="102" t="str">
        <f t="shared" si="166"/>
        <v/>
      </c>
      <c r="H805" s="57">
        <f t="shared" si="163"/>
        <v>0</v>
      </c>
      <c r="I805" s="102">
        <f>VLOOKUP(P805&amp;"_"&amp;Q805,活动关卡!$A$88:$Z$111,3+5*MonsterWaveCallRuleCfg!R805,FALSE)</f>
        <v>20</v>
      </c>
      <c r="J805" s="102">
        <f>VLOOKUP(P805&amp;"_"&amp;Q805,活动关卡!$A$88:$Z$111,4+5*MonsterWaveCallRuleCfg!R805,FALSE)</f>
        <v>1</v>
      </c>
      <c r="K805" s="102">
        <f t="shared" si="164"/>
        <v>1</v>
      </c>
      <c r="L805" s="102" t="str">
        <f>IF(VLOOKUP(P805&amp;"_"&amp;Q805,活动关卡!$A$88:$Z$111,2+5*R805,FALSE)="","","Monster_Season4_Challenge"&amp;P805&amp;"_"&amp;Q805&amp;"_"&amp;R805)</f>
        <v>Monster_Season4_Challenge4_5_3</v>
      </c>
      <c r="M805" s="57">
        <f t="shared" si="165"/>
        <v>1</v>
      </c>
      <c r="O805" s="102">
        <f>VLOOKUP(P805&amp;"_"&amp;Q805,活动关卡!$A$4:$Z$27,6+5*MonsterWaveCallRuleCfg!R805,FALSE)</f>
        <v>12</v>
      </c>
      <c r="P805" s="110">
        <v>4</v>
      </c>
      <c r="Q805" s="110">
        <f t="shared" si="167"/>
        <v>5</v>
      </c>
      <c r="R805" s="110">
        <v>3</v>
      </c>
    </row>
    <row r="806" spans="2:18" x14ac:dyDescent="0.2">
      <c r="B806" s="57" t="str">
        <f t="shared" si="160"/>
        <v/>
      </c>
      <c r="D806" s="57" t="str">
        <f t="shared" si="161"/>
        <v/>
      </c>
      <c r="F806" s="57" t="str">
        <f t="shared" si="162"/>
        <v/>
      </c>
      <c r="G806" s="102" t="str">
        <f t="shared" si="166"/>
        <v/>
      </c>
      <c r="H806" s="57" t="str">
        <f t="shared" si="163"/>
        <v/>
      </c>
      <c r="I806" s="102" t="str">
        <f>VLOOKUP(P806&amp;"_"&amp;Q806,活动关卡!$A$88:$Z$111,3+5*MonsterWaveCallRuleCfg!R806,FALSE)</f>
        <v/>
      </c>
      <c r="J806" s="102" t="str">
        <f>VLOOKUP(P806&amp;"_"&amp;Q806,活动关卡!$A$88:$Z$111,4+5*MonsterWaveCallRuleCfg!R806,FALSE)</f>
        <v/>
      </c>
      <c r="K806" s="102" t="str">
        <f t="shared" si="164"/>
        <v/>
      </c>
      <c r="L806" s="102" t="str">
        <f>IF(VLOOKUP(P806&amp;"_"&amp;Q806,活动关卡!$A$88:$Z$111,2+5*R806,FALSE)="","","Monster_Season4_Challenge"&amp;P806&amp;"_"&amp;Q806&amp;"_"&amp;R806)</f>
        <v/>
      </c>
      <c r="M806" s="57" t="str">
        <f t="shared" si="165"/>
        <v/>
      </c>
      <c r="O806" s="102" t="str">
        <f>VLOOKUP(P806&amp;"_"&amp;Q806,活动关卡!$A$4:$Z$27,6+5*MonsterWaveCallRuleCfg!R806,FALSE)</f>
        <v/>
      </c>
      <c r="P806" s="110">
        <v>4</v>
      </c>
      <c r="Q806" s="110">
        <f t="shared" si="167"/>
        <v>5</v>
      </c>
      <c r="R806" s="110">
        <v>4</v>
      </c>
    </row>
    <row r="807" spans="2:18" x14ac:dyDescent="0.2">
      <c r="B807" s="57" t="str">
        <f t="shared" si="160"/>
        <v>MonsterWaveCallRule_Season4_Challenge5</v>
      </c>
      <c r="C807" s="57">
        <v>1</v>
      </c>
      <c r="D807" s="57" t="str">
        <f t="shared" si="161"/>
        <v>赛季4关卡5第1波</v>
      </c>
      <c r="F807" s="57">
        <f t="shared" si="162"/>
        <v>0</v>
      </c>
      <c r="G807" s="102">
        <f>IF(C807="","",180)</f>
        <v>180</v>
      </c>
      <c r="H807" s="57">
        <f t="shared" si="163"/>
        <v>0</v>
      </c>
      <c r="I807" s="102">
        <f>VLOOKUP(P807&amp;"_"&amp;Q807,活动关卡!$A$88:$Z$111,3+5*MonsterWaveCallRuleCfg!R807,FALSE)</f>
        <v>7</v>
      </c>
      <c r="J807" s="102">
        <f>VLOOKUP(P807&amp;"_"&amp;Q807,活动关卡!$A$88:$Z$111,4+5*MonsterWaveCallRuleCfg!R807,FALSE)</f>
        <v>1.5</v>
      </c>
      <c r="K807" s="102">
        <f t="shared" si="164"/>
        <v>1</v>
      </c>
      <c r="L807" s="102" t="str">
        <f>IF(VLOOKUP(P807&amp;"_"&amp;Q807,活动关卡!$A$88:$Z$111,2+5*R807,FALSE)="","","Monster_Season4_Challenge"&amp;P807&amp;"_"&amp;Q807&amp;"_"&amp;R807)</f>
        <v>Monster_Season4_Challenge5_1_1</v>
      </c>
      <c r="M807" s="57">
        <f t="shared" si="165"/>
        <v>1</v>
      </c>
      <c r="O807" s="102">
        <f>VLOOKUP(P807&amp;"_"&amp;Q807,活动关卡!$A$4:$Z$27,6+5*MonsterWaveCallRuleCfg!R807,FALSE)</f>
        <v>50</v>
      </c>
      <c r="P807" s="110">
        <v>5</v>
      </c>
      <c r="Q807" s="110">
        <f t="shared" si="167"/>
        <v>1</v>
      </c>
      <c r="R807" s="110">
        <v>1</v>
      </c>
    </row>
    <row r="808" spans="2:18" x14ac:dyDescent="0.2">
      <c r="B808" s="57" t="str">
        <f t="shared" si="160"/>
        <v/>
      </c>
      <c r="D808" s="57" t="str">
        <f t="shared" si="161"/>
        <v/>
      </c>
      <c r="F808" s="57" t="str">
        <f t="shared" si="162"/>
        <v/>
      </c>
      <c r="G808" s="102" t="str">
        <f t="shared" ref="G808:G838" si="168">IF(C808="","",180)</f>
        <v/>
      </c>
      <c r="H808" s="57">
        <f t="shared" si="163"/>
        <v>0</v>
      </c>
      <c r="I808" s="102">
        <f>VLOOKUP(P808&amp;"_"&amp;Q808,活动关卡!$A$88:$Z$111,3+5*MonsterWaveCallRuleCfg!R808,FALSE)</f>
        <v>5</v>
      </c>
      <c r="J808" s="102">
        <f>VLOOKUP(P808&amp;"_"&amp;Q808,活动关卡!$A$88:$Z$111,4+5*MonsterWaveCallRuleCfg!R808,FALSE)</f>
        <v>2</v>
      </c>
      <c r="K808" s="102">
        <f t="shared" si="164"/>
        <v>1</v>
      </c>
      <c r="L808" s="102" t="str">
        <f>IF(VLOOKUP(P808&amp;"_"&amp;Q808,活动关卡!$A$88:$Z$111,2+5*R808,FALSE)="","","Monster_Season4_Challenge"&amp;P808&amp;"_"&amp;Q808&amp;"_"&amp;R808)</f>
        <v>Monster_Season4_Challenge5_1_2</v>
      </c>
      <c r="M808" s="57">
        <f t="shared" si="165"/>
        <v>1</v>
      </c>
      <c r="O808" s="102">
        <f>VLOOKUP(P808&amp;"_"&amp;Q808,活动关卡!$A$4:$Z$27,6+5*MonsterWaveCallRuleCfg!R808,FALSE)</f>
        <v>50</v>
      </c>
      <c r="P808" s="110">
        <v>5</v>
      </c>
      <c r="Q808" s="110">
        <f t="shared" si="167"/>
        <v>1</v>
      </c>
      <c r="R808" s="110">
        <v>2</v>
      </c>
    </row>
    <row r="809" spans="2:18" x14ac:dyDescent="0.2">
      <c r="B809" s="57" t="str">
        <f t="shared" si="160"/>
        <v/>
      </c>
      <c r="D809" s="57" t="str">
        <f t="shared" si="161"/>
        <v/>
      </c>
      <c r="F809" s="57" t="str">
        <f t="shared" si="162"/>
        <v/>
      </c>
      <c r="G809" s="102" t="str">
        <f t="shared" si="168"/>
        <v/>
      </c>
      <c r="H809" s="57" t="str">
        <f t="shared" si="163"/>
        <v/>
      </c>
      <c r="I809" s="102" t="str">
        <f>VLOOKUP(P809&amp;"_"&amp;Q809,活动关卡!$A$88:$Z$111,3+5*MonsterWaveCallRuleCfg!R809,FALSE)</f>
        <v/>
      </c>
      <c r="J809" s="102" t="str">
        <f>VLOOKUP(P809&amp;"_"&amp;Q809,活动关卡!$A$88:$Z$111,4+5*MonsterWaveCallRuleCfg!R809,FALSE)</f>
        <v/>
      </c>
      <c r="K809" s="102" t="str">
        <f t="shared" si="164"/>
        <v/>
      </c>
      <c r="L809" s="102" t="str">
        <f>IF(VLOOKUP(P809&amp;"_"&amp;Q809,活动关卡!$A$88:$Z$111,2+5*R809,FALSE)="","","Monster_Season4_Challenge"&amp;P809&amp;"_"&amp;Q809&amp;"_"&amp;R809)</f>
        <v/>
      </c>
      <c r="M809" s="57" t="str">
        <f t="shared" si="165"/>
        <v/>
      </c>
      <c r="O809" s="102" t="str">
        <f>VLOOKUP(P809&amp;"_"&amp;Q809,活动关卡!$A$4:$Z$27,6+5*MonsterWaveCallRuleCfg!R809,FALSE)</f>
        <v/>
      </c>
      <c r="P809" s="110">
        <v>5</v>
      </c>
      <c r="Q809" s="110">
        <f t="shared" si="167"/>
        <v>1</v>
      </c>
      <c r="R809" s="110">
        <v>3</v>
      </c>
    </row>
    <row r="810" spans="2:18" x14ac:dyDescent="0.2">
      <c r="B810" s="57" t="str">
        <f t="shared" si="160"/>
        <v/>
      </c>
      <c r="D810" s="57" t="str">
        <f t="shared" si="161"/>
        <v/>
      </c>
      <c r="F810" s="57" t="str">
        <f t="shared" si="162"/>
        <v/>
      </c>
      <c r="G810" s="102" t="str">
        <f t="shared" si="168"/>
        <v/>
      </c>
      <c r="H810" s="57" t="str">
        <f t="shared" si="163"/>
        <v/>
      </c>
      <c r="I810" s="102" t="str">
        <f>VLOOKUP(P810&amp;"_"&amp;Q810,活动关卡!$A$88:$Z$111,3+5*MonsterWaveCallRuleCfg!R810,FALSE)</f>
        <v/>
      </c>
      <c r="J810" s="102" t="str">
        <f>VLOOKUP(P810&amp;"_"&amp;Q810,活动关卡!$A$88:$Z$111,4+5*MonsterWaveCallRuleCfg!R810,FALSE)</f>
        <v/>
      </c>
      <c r="K810" s="102" t="str">
        <f t="shared" si="164"/>
        <v/>
      </c>
      <c r="L810" s="102" t="str">
        <f>IF(VLOOKUP(P810&amp;"_"&amp;Q810,活动关卡!$A$88:$Z$111,2+5*R810,FALSE)="","","Monster_Season4_Challenge"&amp;P810&amp;"_"&amp;Q810&amp;"_"&amp;R810)</f>
        <v/>
      </c>
      <c r="M810" s="57" t="str">
        <f t="shared" si="165"/>
        <v/>
      </c>
      <c r="O810" s="102" t="str">
        <f>VLOOKUP(P810&amp;"_"&amp;Q810,活动关卡!$A$4:$Z$27,6+5*MonsterWaveCallRuleCfg!R810,FALSE)</f>
        <v/>
      </c>
      <c r="P810" s="110">
        <v>5</v>
      </c>
      <c r="Q810" s="110">
        <f t="shared" si="167"/>
        <v>1</v>
      </c>
      <c r="R810" s="110">
        <v>4</v>
      </c>
    </row>
    <row r="811" spans="2:18" x14ac:dyDescent="0.2">
      <c r="B811" s="57" t="str">
        <f t="shared" si="160"/>
        <v>MonsterWaveCallRule_Season4_Challenge5</v>
      </c>
      <c r="C811" s="57">
        <v>2</v>
      </c>
      <c r="D811" s="57" t="str">
        <f t="shared" si="161"/>
        <v>赛季4关卡5第2波</v>
      </c>
      <c r="F811" s="57">
        <f t="shared" si="162"/>
        <v>0</v>
      </c>
      <c r="G811" s="102">
        <f t="shared" si="168"/>
        <v>180</v>
      </c>
      <c r="H811" s="57">
        <f t="shared" si="163"/>
        <v>0</v>
      </c>
      <c r="I811" s="102">
        <f>VLOOKUP(P811&amp;"_"&amp;Q811,活动关卡!$A$88:$Z$111,3+5*MonsterWaveCallRuleCfg!R811,FALSE)</f>
        <v>8</v>
      </c>
      <c r="J811" s="102">
        <f>VLOOKUP(P811&amp;"_"&amp;Q811,活动关卡!$A$88:$Z$111,4+5*MonsterWaveCallRuleCfg!R811,FALSE)</f>
        <v>1.5</v>
      </c>
      <c r="K811" s="102">
        <f t="shared" si="164"/>
        <v>1</v>
      </c>
      <c r="L811" s="102" t="str">
        <f>IF(VLOOKUP(P811&amp;"_"&amp;Q811,活动关卡!$A$88:$Z$111,2+5*R811,FALSE)="","","Monster_Season4_Challenge"&amp;P811&amp;"_"&amp;Q811&amp;"_"&amp;R811)</f>
        <v>Monster_Season4_Challenge5_2_1</v>
      </c>
      <c r="M811" s="57">
        <f t="shared" si="165"/>
        <v>1</v>
      </c>
      <c r="O811" s="102">
        <f>VLOOKUP(P811&amp;"_"&amp;Q811,活动关卡!$A$4:$Z$27,6+5*MonsterWaveCallRuleCfg!R811,FALSE)</f>
        <v>20</v>
      </c>
      <c r="P811" s="110">
        <v>5</v>
      </c>
      <c r="Q811" s="110">
        <f t="shared" si="167"/>
        <v>2</v>
      </c>
      <c r="R811" s="110">
        <v>1</v>
      </c>
    </row>
    <row r="812" spans="2:18" x14ac:dyDescent="0.2">
      <c r="B812" s="57" t="str">
        <f t="shared" si="160"/>
        <v/>
      </c>
      <c r="D812" s="57" t="str">
        <f t="shared" si="161"/>
        <v/>
      </c>
      <c r="F812" s="57" t="str">
        <f t="shared" si="162"/>
        <v/>
      </c>
      <c r="G812" s="102" t="str">
        <f t="shared" si="168"/>
        <v/>
      </c>
      <c r="H812" s="57">
        <f t="shared" si="163"/>
        <v>0</v>
      </c>
      <c r="I812" s="102">
        <f>VLOOKUP(P812&amp;"_"&amp;Q812,活动关卡!$A$88:$Z$111,3+5*MonsterWaveCallRuleCfg!R812,FALSE)</f>
        <v>63</v>
      </c>
      <c r="J812" s="102">
        <f>VLOOKUP(P812&amp;"_"&amp;Q812,活动关卡!$A$88:$Z$111,4+5*MonsterWaveCallRuleCfg!R812,FALSE)</f>
        <v>0.2</v>
      </c>
      <c r="K812" s="102">
        <f t="shared" si="164"/>
        <v>1</v>
      </c>
      <c r="L812" s="102" t="str">
        <f>IF(VLOOKUP(P812&amp;"_"&amp;Q812,活动关卡!$A$88:$Z$111,2+5*R812,FALSE)="","","Monster_Season4_Challenge"&amp;P812&amp;"_"&amp;Q812&amp;"_"&amp;R812)</f>
        <v>Monster_Season4_Challenge5_2_2</v>
      </c>
      <c r="M812" s="57">
        <f t="shared" si="165"/>
        <v>1</v>
      </c>
      <c r="O812" s="102">
        <f>VLOOKUP(P812&amp;"_"&amp;Q812,活动关卡!$A$4:$Z$27,6+5*MonsterWaveCallRuleCfg!R812,FALSE)</f>
        <v>5</v>
      </c>
      <c r="P812" s="110">
        <v>5</v>
      </c>
      <c r="Q812" s="110">
        <f t="shared" si="167"/>
        <v>2</v>
      </c>
      <c r="R812" s="110">
        <v>2</v>
      </c>
    </row>
    <row r="813" spans="2:18" x14ac:dyDescent="0.2">
      <c r="B813" s="57" t="str">
        <f t="shared" si="160"/>
        <v/>
      </c>
      <c r="D813" s="57" t="str">
        <f t="shared" si="161"/>
        <v/>
      </c>
      <c r="F813" s="57" t="str">
        <f t="shared" si="162"/>
        <v/>
      </c>
      <c r="G813" s="102" t="str">
        <f t="shared" si="168"/>
        <v/>
      </c>
      <c r="H813" s="57">
        <f t="shared" si="163"/>
        <v>0</v>
      </c>
      <c r="I813" s="102">
        <f>VLOOKUP(P813&amp;"_"&amp;Q813,活动关卡!$A$88:$Z$111,3+5*MonsterWaveCallRuleCfg!R813,FALSE)</f>
        <v>6</v>
      </c>
      <c r="J813" s="102">
        <f>VLOOKUP(P813&amp;"_"&amp;Q813,活动关卡!$A$88:$Z$111,4+5*MonsterWaveCallRuleCfg!R813,FALSE)</f>
        <v>2</v>
      </c>
      <c r="K813" s="102">
        <f t="shared" si="164"/>
        <v>1</v>
      </c>
      <c r="L813" s="102" t="str">
        <f>IF(VLOOKUP(P813&amp;"_"&amp;Q813,活动关卡!$A$88:$Z$111,2+5*R813,FALSE)="","","Monster_Season4_Challenge"&amp;P813&amp;"_"&amp;Q813&amp;"_"&amp;R813)</f>
        <v>Monster_Season4_Challenge5_2_3</v>
      </c>
      <c r="M813" s="57">
        <f t="shared" si="165"/>
        <v>1</v>
      </c>
      <c r="O813" s="102">
        <f>VLOOKUP(P813&amp;"_"&amp;Q813,活动关卡!$A$4:$Z$27,6+5*MonsterWaveCallRuleCfg!R813,FALSE)</f>
        <v>20</v>
      </c>
      <c r="P813" s="110">
        <v>5</v>
      </c>
      <c r="Q813" s="110">
        <f t="shared" si="167"/>
        <v>2</v>
      </c>
      <c r="R813" s="110">
        <v>3</v>
      </c>
    </row>
    <row r="814" spans="2:18" x14ac:dyDescent="0.2">
      <c r="B814" s="57" t="str">
        <f t="shared" si="160"/>
        <v/>
      </c>
      <c r="D814" s="57" t="str">
        <f t="shared" si="161"/>
        <v/>
      </c>
      <c r="F814" s="57" t="str">
        <f t="shared" si="162"/>
        <v/>
      </c>
      <c r="G814" s="102" t="str">
        <f t="shared" si="168"/>
        <v/>
      </c>
      <c r="H814" s="57" t="str">
        <f t="shared" si="163"/>
        <v/>
      </c>
      <c r="I814" s="102" t="str">
        <f>VLOOKUP(P814&amp;"_"&amp;Q814,活动关卡!$A$88:$Z$111,3+5*MonsterWaveCallRuleCfg!R814,FALSE)</f>
        <v/>
      </c>
      <c r="J814" s="102" t="str">
        <f>VLOOKUP(P814&amp;"_"&amp;Q814,活动关卡!$A$88:$Z$111,4+5*MonsterWaveCallRuleCfg!R814,FALSE)</f>
        <v/>
      </c>
      <c r="K814" s="102" t="str">
        <f t="shared" si="164"/>
        <v/>
      </c>
      <c r="L814" s="102" t="str">
        <f>IF(VLOOKUP(P814&amp;"_"&amp;Q814,活动关卡!$A$88:$Z$111,2+5*R814,FALSE)="","","Monster_Season4_Challenge"&amp;P814&amp;"_"&amp;Q814&amp;"_"&amp;R814)</f>
        <v/>
      </c>
      <c r="M814" s="57" t="str">
        <f t="shared" si="165"/>
        <v/>
      </c>
      <c r="O814" s="102" t="str">
        <f>VLOOKUP(P814&amp;"_"&amp;Q814,活动关卡!$A$4:$Z$27,6+5*MonsterWaveCallRuleCfg!R814,FALSE)</f>
        <v/>
      </c>
      <c r="P814" s="110">
        <v>5</v>
      </c>
      <c r="Q814" s="110">
        <f t="shared" si="167"/>
        <v>2</v>
      </c>
      <c r="R814" s="110">
        <v>4</v>
      </c>
    </row>
    <row r="815" spans="2:18" x14ac:dyDescent="0.2">
      <c r="B815" s="57" t="str">
        <f t="shared" si="160"/>
        <v>MonsterWaveCallRule_Season4_Challenge5</v>
      </c>
      <c r="C815" s="57">
        <v>3</v>
      </c>
      <c r="D815" s="57" t="str">
        <f t="shared" si="161"/>
        <v>赛季4关卡5第3波</v>
      </c>
      <c r="F815" s="57">
        <f t="shared" si="162"/>
        <v>0</v>
      </c>
      <c r="G815" s="102">
        <f t="shared" si="168"/>
        <v>180</v>
      </c>
      <c r="H815" s="57">
        <f t="shared" si="163"/>
        <v>0</v>
      </c>
      <c r="I815" s="102">
        <f>VLOOKUP(P815&amp;"_"&amp;Q815,活动关卡!$A$88:$Z$111,3+5*MonsterWaveCallRuleCfg!R815,FALSE)</f>
        <v>10</v>
      </c>
      <c r="J815" s="102">
        <f>VLOOKUP(P815&amp;"_"&amp;Q815,活动关卡!$A$88:$Z$111,4+5*MonsterWaveCallRuleCfg!R815,FALSE)</f>
        <v>1.5</v>
      </c>
      <c r="K815" s="102">
        <f t="shared" si="164"/>
        <v>1</v>
      </c>
      <c r="L815" s="102" t="str">
        <f>IF(VLOOKUP(P815&amp;"_"&amp;Q815,活动关卡!$A$88:$Z$111,2+5*R815,FALSE)="","","Monster_Season4_Challenge"&amp;P815&amp;"_"&amp;Q815&amp;"_"&amp;R815)</f>
        <v>Monster_Season4_Challenge5_3_1</v>
      </c>
      <c r="M815" s="57">
        <f t="shared" si="165"/>
        <v>1</v>
      </c>
      <c r="O815" s="102">
        <f>VLOOKUP(P815&amp;"_"&amp;Q815,活动关卡!$A$4:$Z$27,6+5*MonsterWaveCallRuleCfg!R815,FALSE)</f>
        <v>14</v>
      </c>
      <c r="P815" s="110">
        <v>5</v>
      </c>
      <c r="Q815" s="110">
        <f t="shared" si="167"/>
        <v>3</v>
      </c>
      <c r="R815" s="110">
        <v>1</v>
      </c>
    </row>
    <row r="816" spans="2:18" x14ac:dyDescent="0.2">
      <c r="B816" s="57" t="str">
        <f t="shared" si="160"/>
        <v/>
      </c>
      <c r="D816" s="57" t="str">
        <f t="shared" si="161"/>
        <v/>
      </c>
      <c r="F816" s="57" t="str">
        <f t="shared" si="162"/>
        <v/>
      </c>
      <c r="G816" s="102" t="str">
        <f t="shared" si="168"/>
        <v/>
      </c>
      <c r="H816" s="57">
        <f t="shared" si="163"/>
        <v>0</v>
      </c>
      <c r="I816" s="102">
        <f>VLOOKUP(P816&amp;"_"&amp;Q816,活动关卡!$A$88:$Z$111,3+5*MonsterWaveCallRuleCfg!R816,FALSE)</f>
        <v>38</v>
      </c>
      <c r="J816" s="102">
        <f>VLOOKUP(P816&amp;"_"&amp;Q816,活动关卡!$A$88:$Z$111,4+5*MonsterWaveCallRuleCfg!R816,FALSE)</f>
        <v>0.4</v>
      </c>
      <c r="K816" s="102">
        <f t="shared" si="164"/>
        <v>1</v>
      </c>
      <c r="L816" s="102" t="str">
        <f>IF(VLOOKUP(P816&amp;"_"&amp;Q816,活动关卡!$A$88:$Z$111,2+5*R816,FALSE)="","","Monster_Season4_Challenge"&amp;P816&amp;"_"&amp;Q816&amp;"_"&amp;R816)</f>
        <v>Monster_Season4_Challenge5_3_2</v>
      </c>
      <c r="M816" s="57">
        <f t="shared" si="165"/>
        <v>1</v>
      </c>
      <c r="O816" s="102">
        <f>VLOOKUP(P816&amp;"_"&amp;Q816,活动关卡!$A$4:$Z$27,6+5*MonsterWaveCallRuleCfg!R816,FALSE)</f>
        <v>7</v>
      </c>
      <c r="P816" s="110">
        <v>5</v>
      </c>
      <c r="Q816" s="110">
        <f t="shared" si="167"/>
        <v>3</v>
      </c>
      <c r="R816" s="110">
        <v>2</v>
      </c>
    </row>
    <row r="817" spans="2:18" x14ac:dyDescent="0.2">
      <c r="B817" s="57" t="str">
        <f t="shared" si="160"/>
        <v/>
      </c>
      <c r="D817" s="57" t="str">
        <f t="shared" si="161"/>
        <v/>
      </c>
      <c r="F817" s="57" t="str">
        <f t="shared" si="162"/>
        <v/>
      </c>
      <c r="G817" s="102" t="str">
        <f t="shared" si="168"/>
        <v/>
      </c>
      <c r="H817" s="57">
        <f t="shared" si="163"/>
        <v>0</v>
      </c>
      <c r="I817" s="102">
        <f>VLOOKUP(P817&amp;"_"&amp;Q817,活动关卡!$A$88:$Z$111,3+5*MonsterWaveCallRuleCfg!R817,FALSE)</f>
        <v>10</v>
      </c>
      <c r="J817" s="102">
        <f>VLOOKUP(P817&amp;"_"&amp;Q817,活动关卡!$A$88:$Z$111,4+5*MonsterWaveCallRuleCfg!R817,FALSE)</f>
        <v>1.5</v>
      </c>
      <c r="K817" s="102">
        <f t="shared" si="164"/>
        <v>1</v>
      </c>
      <c r="L817" s="102" t="str">
        <f>IF(VLOOKUP(P817&amp;"_"&amp;Q817,活动关卡!$A$88:$Z$111,2+5*R817,FALSE)="","","Monster_Season4_Challenge"&amp;P817&amp;"_"&amp;Q817&amp;"_"&amp;R817)</f>
        <v>Monster_Season4_Challenge5_3_3</v>
      </c>
      <c r="M817" s="57">
        <f t="shared" si="165"/>
        <v>1</v>
      </c>
      <c r="O817" s="102">
        <f>VLOOKUP(P817&amp;"_"&amp;Q817,活动关卡!$A$4:$Z$27,6+5*MonsterWaveCallRuleCfg!R817,FALSE)</f>
        <v>7</v>
      </c>
      <c r="P817" s="110">
        <v>5</v>
      </c>
      <c r="Q817" s="110">
        <f t="shared" si="167"/>
        <v>3</v>
      </c>
      <c r="R817" s="110">
        <v>3</v>
      </c>
    </row>
    <row r="818" spans="2:18" x14ac:dyDescent="0.2">
      <c r="B818" s="57" t="str">
        <f t="shared" si="160"/>
        <v/>
      </c>
      <c r="D818" s="57" t="str">
        <f t="shared" si="161"/>
        <v/>
      </c>
      <c r="F818" s="57" t="str">
        <f t="shared" si="162"/>
        <v/>
      </c>
      <c r="G818" s="102" t="str">
        <f t="shared" si="168"/>
        <v/>
      </c>
      <c r="H818" s="57">
        <f t="shared" si="163"/>
        <v>0</v>
      </c>
      <c r="I818" s="102">
        <f>VLOOKUP(P818&amp;"_"&amp;Q818,活动关卡!$A$88:$Z$111,3+5*MonsterWaveCallRuleCfg!R818,FALSE)</f>
        <v>8</v>
      </c>
      <c r="J818" s="102">
        <f>VLOOKUP(P818&amp;"_"&amp;Q818,活动关卡!$A$88:$Z$111,4+5*MonsterWaveCallRuleCfg!R818,FALSE)</f>
        <v>2</v>
      </c>
      <c r="K818" s="102">
        <f t="shared" si="164"/>
        <v>1</v>
      </c>
      <c r="L818" s="102" t="str">
        <f>IF(VLOOKUP(P818&amp;"_"&amp;Q818,活动关卡!$A$88:$Z$111,2+5*R818,FALSE)="","","Monster_Season4_Challenge"&amp;P818&amp;"_"&amp;Q818&amp;"_"&amp;R818)</f>
        <v>Monster_Season4_Challenge5_3_4</v>
      </c>
      <c r="M818" s="57">
        <f t="shared" si="165"/>
        <v>1</v>
      </c>
      <c r="O818" s="102">
        <f>VLOOKUP(P818&amp;"_"&amp;Q818,活动关卡!$A$4:$Z$27,6+5*MonsterWaveCallRuleCfg!R818,FALSE)</f>
        <v>14</v>
      </c>
      <c r="P818" s="110">
        <v>5</v>
      </c>
      <c r="Q818" s="110">
        <f t="shared" si="167"/>
        <v>3</v>
      </c>
      <c r="R818" s="110">
        <v>4</v>
      </c>
    </row>
    <row r="819" spans="2:18" x14ac:dyDescent="0.2">
      <c r="B819" s="57" t="str">
        <f t="shared" si="160"/>
        <v>MonsterWaveCallRule_Season4_Challenge5</v>
      </c>
      <c r="C819" s="57">
        <v>4</v>
      </c>
      <c r="D819" s="57" t="str">
        <f t="shared" si="161"/>
        <v>赛季4关卡5第4波</v>
      </c>
      <c r="F819" s="57">
        <f t="shared" si="162"/>
        <v>0</v>
      </c>
      <c r="G819" s="102">
        <f t="shared" si="168"/>
        <v>180</v>
      </c>
      <c r="H819" s="57">
        <f t="shared" si="163"/>
        <v>0</v>
      </c>
      <c r="I819" s="102">
        <f>VLOOKUP(P819&amp;"_"&amp;Q819,活动关卡!$A$88:$Z$111,3+5*MonsterWaveCallRuleCfg!R819,FALSE)</f>
        <v>12</v>
      </c>
      <c r="J819" s="102">
        <f>VLOOKUP(P819&amp;"_"&amp;Q819,活动关卡!$A$88:$Z$111,4+5*MonsterWaveCallRuleCfg!R819,FALSE)</f>
        <v>1.5</v>
      </c>
      <c r="K819" s="102">
        <f t="shared" si="164"/>
        <v>1</v>
      </c>
      <c r="L819" s="102" t="str">
        <f>IF(VLOOKUP(P819&amp;"_"&amp;Q819,活动关卡!$A$88:$Z$111,2+5*R819,FALSE)="","","Monster_Season4_Challenge"&amp;P819&amp;"_"&amp;Q819&amp;"_"&amp;R819)</f>
        <v>Monster_Season4_Challenge5_4_1</v>
      </c>
      <c r="M819" s="57">
        <f t="shared" si="165"/>
        <v>1</v>
      </c>
      <c r="O819" s="102">
        <f>VLOOKUP(P819&amp;"_"&amp;Q819,活动关卡!$A$4:$Z$27,6+5*MonsterWaveCallRuleCfg!R819,FALSE)</f>
        <v>16</v>
      </c>
      <c r="P819" s="110">
        <v>5</v>
      </c>
      <c r="Q819" s="110">
        <f t="shared" si="167"/>
        <v>4</v>
      </c>
      <c r="R819" s="110">
        <v>1</v>
      </c>
    </row>
    <row r="820" spans="2:18" x14ac:dyDescent="0.2">
      <c r="B820" s="57" t="str">
        <f t="shared" si="160"/>
        <v/>
      </c>
      <c r="D820" s="57" t="str">
        <f t="shared" si="161"/>
        <v/>
      </c>
      <c r="F820" s="57" t="str">
        <f t="shared" si="162"/>
        <v/>
      </c>
      <c r="G820" s="102" t="str">
        <f t="shared" si="168"/>
        <v/>
      </c>
      <c r="H820" s="57">
        <f t="shared" si="163"/>
        <v>0</v>
      </c>
      <c r="I820" s="102">
        <f>VLOOKUP(P820&amp;"_"&amp;Q820,活动关卡!$A$88:$Z$111,3+5*MonsterWaveCallRuleCfg!R820,FALSE)</f>
        <v>35</v>
      </c>
      <c r="J820" s="102">
        <f>VLOOKUP(P820&amp;"_"&amp;Q820,活动关卡!$A$88:$Z$111,4+5*MonsterWaveCallRuleCfg!R820,FALSE)</f>
        <v>0.5</v>
      </c>
      <c r="K820" s="102">
        <f t="shared" si="164"/>
        <v>1</v>
      </c>
      <c r="L820" s="102" t="str">
        <f>IF(VLOOKUP(P820&amp;"_"&amp;Q820,活动关卡!$A$88:$Z$111,2+5*R820,FALSE)="","","Monster_Season4_Challenge"&amp;P820&amp;"_"&amp;Q820&amp;"_"&amp;R820)</f>
        <v>Monster_Season4_Challenge5_4_2</v>
      </c>
      <c r="M820" s="57">
        <f t="shared" si="165"/>
        <v>1</v>
      </c>
      <c r="O820" s="102">
        <f>VLOOKUP(P820&amp;"_"&amp;Q820,活动关卡!$A$4:$Z$27,6+5*MonsterWaveCallRuleCfg!R820,FALSE)</f>
        <v>8</v>
      </c>
      <c r="P820" s="110">
        <v>5</v>
      </c>
      <c r="Q820" s="110">
        <f t="shared" si="167"/>
        <v>4</v>
      </c>
      <c r="R820" s="110">
        <v>2</v>
      </c>
    </row>
    <row r="821" spans="2:18" x14ac:dyDescent="0.2">
      <c r="B821" s="57" t="str">
        <f t="shared" si="160"/>
        <v/>
      </c>
      <c r="D821" s="57" t="str">
        <f t="shared" si="161"/>
        <v/>
      </c>
      <c r="F821" s="57" t="str">
        <f t="shared" si="162"/>
        <v/>
      </c>
      <c r="G821" s="102" t="str">
        <f t="shared" si="168"/>
        <v/>
      </c>
      <c r="H821" s="57">
        <f t="shared" si="163"/>
        <v>0</v>
      </c>
      <c r="I821" s="102">
        <f>VLOOKUP(P821&amp;"_"&amp;Q821,活动关卡!$A$88:$Z$111,3+5*MonsterWaveCallRuleCfg!R821,FALSE)</f>
        <v>9</v>
      </c>
      <c r="J821" s="102">
        <f>VLOOKUP(P821&amp;"_"&amp;Q821,活动关卡!$A$88:$Z$111,4+5*MonsterWaveCallRuleCfg!R821,FALSE)</f>
        <v>2</v>
      </c>
      <c r="K821" s="102">
        <f t="shared" si="164"/>
        <v>1</v>
      </c>
      <c r="L821" s="102" t="str">
        <f>IF(VLOOKUP(P821&amp;"_"&amp;Q821,活动关卡!$A$88:$Z$111,2+5*R821,FALSE)="","","Monster_Season4_Challenge"&amp;P821&amp;"_"&amp;Q821&amp;"_"&amp;R821)</f>
        <v>Monster_Season4_Challenge5_4_3</v>
      </c>
      <c r="M821" s="57">
        <f t="shared" si="165"/>
        <v>1</v>
      </c>
      <c r="O821" s="102">
        <f>VLOOKUP(P821&amp;"_"&amp;Q821,活动关卡!$A$4:$Z$27,6+5*MonsterWaveCallRuleCfg!R821,FALSE)</f>
        <v>16</v>
      </c>
      <c r="P821" s="110">
        <v>5</v>
      </c>
      <c r="Q821" s="110">
        <f t="shared" si="167"/>
        <v>4</v>
      </c>
      <c r="R821" s="110">
        <v>3</v>
      </c>
    </row>
    <row r="822" spans="2:18" x14ac:dyDescent="0.2">
      <c r="B822" s="57" t="str">
        <f t="shared" si="160"/>
        <v/>
      </c>
      <c r="D822" s="57" t="str">
        <f t="shared" si="161"/>
        <v/>
      </c>
      <c r="F822" s="57" t="str">
        <f t="shared" si="162"/>
        <v/>
      </c>
      <c r="G822" s="102" t="str">
        <f t="shared" si="168"/>
        <v/>
      </c>
      <c r="H822" s="57" t="str">
        <f t="shared" si="163"/>
        <v/>
      </c>
      <c r="I822" s="102" t="str">
        <f>VLOOKUP(P822&amp;"_"&amp;Q822,活动关卡!$A$88:$Z$111,3+5*MonsterWaveCallRuleCfg!R822,FALSE)</f>
        <v/>
      </c>
      <c r="J822" s="102" t="str">
        <f>VLOOKUP(P822&amp;"_"&amp;Q822,活动关卡!$A$88:$Z$111,4+5*MonsterWaveCallRuleCfg!R822,FALSE)</f>
        <v/>
      </c>
      <c r="K822" s="102" t="str">
        <f t="shared" si="164"/>
        <v/>
      </c>
      <c r="L822" s="102" t="str">
        <f>IF(VLOOKUP(P822&amp;"_"&amp;Q822,活动关卡!$A$88:$Z$111,2+5*R822,FALSE)="","","Monster_Season4_Challenge"&amp;P822&amp;"_"&amp;Q822&amp;"_"&amp;R822)</f>
        <v/>
      </c>
      <c r="M822" s="57" t="str">
        <f t="shared" si="165"/>
        <v/>
      </c>
      <c r="O822" s="102" t="str">
        <f>VLOOKUP(P822&amp;"_"&amp;Q822,活动关卡!$A$4:$Z$27,6+5*MonsterWaveCallRuleCfg!R822,FALSE)</f>
        <v/>
      </c>
      <c r="P822" s="110">
        <v>5</v>
      </c>
      <c r="Q822" s="110">
        <f t="shared" si="167"/>
        <v>4</v>
      </c>
      <c r="R822" s="110">
        <v>4</v>
      </c>
    </row>
    <row r="823" spans="2:18" x14ac:dyDescent="0.2">
      <c r="B823" s="57" t="str">
        <f t="shared" ref="B823:B835" si="169">IF(C823="","","MonsterWaveCallRule_Season4_Challenge"&amp;P823)</f>
        <v>MonsterWaveCallRule_Season4_Challenge5</v>
      </c>
      <c r="C823" s="57">
        <v>5</v>
      </c>
      <c r="D823" s="57" t="str">
        <f t="shared" ref="D823:D835" si="170">IF(C823="","","赛季4关卡"&amp;P823&amp;"第"&amp;C823&amp;"波")</f>
        <v>赛季4关卡5第5波</v>
      </c>
      <c r="F823" s="57">
        <f t="shared" si="162"/>
        <v>0</v>
      </c>
      <c r="G823" s="102">
        <f t="shared" si="168"/>
        <v>180</v>
      </c>
      <c r="H823" s="57">
        <f t="shared" si="163"/>
        <v>0</v>
      </c>
      <c r="I823" s="102">
        <f>VLOOKUP(P823&amp;"_"&amp;Q823,活动关卡!$A$88:$Z$111,3+5*MonsterWaveCallRuleCfg!R823,FALSE)</f>
        <v>13</v>
      </c>
      <c r="J823" s="102">
        <f>VLOOKUP(P823&amp;"_"&amp;Q823,活动关卡!$A$88:$Z$111,4+5*MonsterWaveCallRuleCfg!R823,FALSE)</f>
        <v>1.5</v>
      </c>
      <c r="K823" s="102">
        <f t="shared" si="164"/>
        <v>1</v>
      </c>
      <c r="L823" s="102" t="str">
        <f>IF(VLOOKUP(P823&amp;"_"&amp;Q823,活动关卡!$A$88:$Z$111,2+5*R823,FALSE)="","","Monster_Season4_Challenge"&amp;P823&amp;"_"&amp;Q823&amp;"_"&amp;R823)</f>
        <v>Monster_Season4_Challenge5_5_1</v>
      </c>
      <c r="M823" s="57">
        <f t="shared" si="165"/>
        <v>1</v>
      </c>
      <c r="O823" s="102">
        <f>VLOOKUP(P823&amp;"_"&amp;Q823,活动关卡!$A$4:$Z$27,6+5*MonsterWaveCallRuleCfg!R823,FALSE)</f>
        <v>10</v>
      </c>
      <c r="P823" s="110">
        <v>5</v>
      </c>
      <c r="Q823" s="110">
        <f t="shared" si="167"/>
        <v>5</v>
      </c>
      <c r="R823" s="110">
        <v>1</v>
      </c>
    </row>
    <row r="824" spans="2:18" x14ac:dyDescent="0.2">
      <c r="B824" s="57" t="str">
        <f t="shared" si="169"/>
        <v/>
      </c>
      <c r="D824" s="57" t="str">
        <f t="shared" si="170"/>
        <v/>
      </c>
      <c r="F824" s="57" t="str">
        <f t="shared" si="162"/>
        <v/>
      </c>
      <c r="G824" s="102" t="str">
        <f t="shared" si="168"/>
        <v/>
      </c>
      <c r="H824" s="57">
        <f t="shared" si="163"/>
        <v>0</v>
      </c>
      <c r="I824" s="102">
        <f>VLOOKUP(P824&amp;"_"&amp;Q824,活动关卡!$A$88:$Z$111,3+5*MonsterWaveCallRuleCfg!R824,FALSE)</f>
        <v>40</v>
      </c>
      <c r="J824" s="102">
        <f>VLOOKUP(P824&amp;"_"&amp;Q824,活动关卡!$A$88:$Z$111,4+5*MonsterWaveCallRuleCfg!R824,FALSE)</f>
        <v>0.5</v>
      </c>
      <c r="K824" s="102">
        <f t="shared" si="164"/>
        <v>1</v>
      </c>
      <c r="L824" s="102" t="str">
        <f>IF(VLOOKUP(P824&amp;"_"&amp;Q824,活动关卡!$A$88:$Z$111,2+5*R824,FALSE)="","","Monster_Season4_Challenge"&amp;P824&amp;"_"&amp;Q824&amp;"_"&amp;R824)</f>
        <v>Monster_Season4_Challenge5_5_2</v>
      </c>
      <c r="M824" s="57">
        <f t="shared" si="165"/>
        <v>1</v>
      </c>
      <c r="O824" s="102">
        <f>VLOOKUP(P824&amp;"_"&amp;Q824,活动关卡!$A$4:$Z$27,6+5*MonsterWaveCallRuleCfg!R824,FALSE)</f>
        <v>5</v>
      </c>
      <c r="P824" s="110">
        <v>5</v>
      </c>
      <c r="Q824" s="110">
        <f t="shared" si="167"/>
        <v>5</v>
      </c>
      <c r="R824" s="110">
        <v>2</v>
      </c>
    </row>
    <row r="825" spans="2:18" x14ac:dyDescent="0.2">
      <c r="B825" s="57" t="str">
        <f t="shared" si="169"/>
        <v/>
      </c>
      <c r="D825" s="57" t="str">
        <f t="shared" si="170"/>
        <v/>
      </c>
      <c r="F825" s="57" t="str">
        <f t="shared" si="162"/>
        <v/>
      </c>
      <c r="G825" s="102" t="str">
        <f t="shared" si="168"/>
        <v/>
      </c>
      <c r="H825" s="57">
        <f t="shared" si="163"/>
        <v>0</v>
      </c>
      <c r="I825" s="102">
        <f>VLOOKUP(P825&amp;"_"&amp;Q825,活动关卡!$A$88:$Z$111,3+5*MonsterWaveCallRuleCfg!R825,FALSE)</f>
        <v>10</v>
      </c>
      <c r="J825" s="102">
        <f>VLOOKUP(P825&amp;"_"&amp;Q825,活动关卡!$A$88:$Z$111,4+5*MonsterWaveCallRuleCfg!R825,FALSE)</f>
        <v>2</v>
      </c>
      <c r="K825" s="102">
        <f t="shared" si="164"/>
        <v>1</v>
      </c>
      <c r="L825" s="102" t="str">
        <f>IF(VLOOKUP(P825&amp;"_"&amp;Q825,活动关卡!$A$88:$Z$111,2+5*R825,FALSE)="","","Monster_Season4_Challenge"&amp;P825&amp;"_"&amp;Q825&amp;"_"&amp;R825)</f>
        <v>Monster_Season4_Challenge5_5_3</v>
      </c>
      <c r="M825" s="57">
        <f t="shared" si="165"/>
        <v>1</v>
      </c>
      <c r="O825" s="102">
        <f>VLOOKUP(P825&amp;"_"&amp;Q825,活动关卡!$A$4:$Z$27,6+5*MonsterWaveCallRuleCfg!R825,FALSE)</f>
        <v>10</v>
      </c>
      <c r="P825" s="110">
        <v>5</v>
      </c>
      <c r="Q825" s="110">
        <f t="shared" si="167"/>
        <v>5</v>
      </c>
      <c r="R825" s="110">
        <v>3</v>
      </c>
    </row>
    <row r="826" spans="2:18" x14ac:dyDescent="0.2">
      <c r="B826" s="57" t="str">
        <f t="shared" si="169"/>
        <v/>
      </c>
      <c r="D826" s="57" t="str">
        <f t="shared" si="170"/>
        <v/>
      </c>
      <c r="F826" s="57" t="str">
        <f t="shared" si="162"/>
        <v/>
      </c>
      <c r="G826" s="102" t="str">
        <f t="shared" si="168"/>
        <v/>
      </c>
      <c r="H826" s="57">
        <f t="shared" si="163"/>
        <v>0</v>
      </c>
      <c r="I826" s="102">
        <f>VLOOKUP(P826&amp;"_"&amp;Q826,活动关卡!$A$88:$Z$111,3+5*MonsterWaveCallRuleCfg!R826,FALSE)</f>
        <v>20</v>
      </c>
      <c r="J826" s="102">
        <f>VLOOKUP(P826&amp;"_"&amp;Q826,活动关卡!$A$88:$Z$111,4+5*MonsterWaveCallRuleCfg!R826,FALSE)</f>
        <v>1</v>
      </c>
      <c r="K826" s="102">
        <f t="shared" si="164"/>
        <v>1</v>
      </c>
      <c r="L826" s="102" t="str">
        <f>IF(VLOOKUP(P826&amp;"_"&amp;Q826,活动关卡!$A$88:$Z$111,2+5*R826,FALSE)="","","Monster_Season4_Challenge"&amp;P826&amp;"_"&amp;Q826&amp;"_"&amp;R826)</f>
        <v>Monster_Season4_Challenge5_5_4</v>
      </c>
      <c r="M826" s="57">
        <f t="shared" si="165"/>
        <v>1</v>
      </c>
      <c r="O826" s="102">
        <f>VLOOKUP(P826&amp;"_"&amp;Q826,活动关卡!$A$4:$Z$27,6+5*MonsterWaveCallRuleCfg!R826,FALSE)</f>
        <v>10</v>
      </c>
      <c r="P826" s="110">
        <v>5</v>
      </c>
      <c r="Q826" s="110">
        <f t="shared" si="167"/>
        <v>5</v>
      </c>
      <c r="R826" s="110">
        <v>4</v>
      </c>
    </row>
    <row r="827" spans="2:18" x14ac:dyDescent="0.2">
      <c r="B827" s="57" t="str">
        <f t="shared" si="169"/>
        <v>MonsterWaveCallRule_Season4_Challenge5</v>
      </c>
      <c r="C827" s="57">
        <v>6</v>
      </c>
      <c r="D827" s="57" t="str">
        <f t="shared" si="170"/>
        <v>赛季4关卡5第6波</v>
      </c>
      <c r="F827" s="57">
        <f t="shared" si="162"/>
        <v>0</v>
      </c>
      <c r="G827" s="102">
        <f t="shared" si="168"/>
        <v>180</v>
      </c>
      <c r="H827" s="57">
        <f t="shared" si="163"/>
        <v>0</v>
      </c>
      <c r="I827" s="102">
        <f>VLOOKUP(P827&amp;"_"&amp;Q827,活动关卡!$A$88:$Z$111,3+5*MonsterWaveCallRuleCfg!R827,FALSE)</f>
        <v>15</v>
      </c>
      <c r="J827" s="102">
        <f>VLOOKUP(P827&amp;"_"&amp;Q827,活动关卡!$A$88:$Z$111,4+5*MonsterWaveCallRuleCfg!R827,FALSE)</f>
        <v>1.5</v>
      </c>
      <c r="K827" s="102">
        <f t="shared" si="164"/>
        <v>1</v>
      </c>
      <c r="L827" s="102" t="str">
        <f>IF(VLOOKUP(P827&amp;"_"&amp;Q827,活动关卡!$A$88:$Z$111,2+5*R827,FALSE)="","","Monster_Season4_Challenge"&amp;P827&amp;"_"&amp;Q827&amp;"_"&amp;R827)</f>
        <v>Monster_Season4_Challenge5_6_1</v>
      </c>
      <c r="M827" s="57">
        <f t="shared" si="165"/>
        <v>1</v>
      </c>
      <c r="O827" s="102">
        <f>VLOOKUP(P827&amp;"_"&amp;Q827,活动关卡!$A$4:$Z$27,6+5*MonsterWaveCallRuleCfg!R827,FALSE)</f>
        <v>11</v>
      </c>
      <c r="P827" s="110">
        <v>5</v>
      </c>
      <c r="Q827" s="110">
        <f t="shared" si="167"/>
        <v>6</v>
      </c>
      <c r="R827" s="110">
        <v>1</v>
      </c>
    </row>
    <row r="828" spans="2:18" x14ac:dyDescent="0.2">
      <c r="B828" s="57" t="str">
        <f t="shared" si="169"/>
        <v/>
      </c>
      <c r="D828" s="57" t="str">
        <f t="shared" si="170"/>
        <v/>
      </c>
      <c r="F828" s="57" t="str">
        <f t="shared" si="162"/>
        <v/>
      </c>
      <c r="G828" s="102" t="str">
        <f t="shared" si="168"/>
        <v/>
      </c>
      <c r="H828" s="57">
        <f t="shared" si="163"/>
        <v>0</v>
      </c>
      <c r="I828" s="102">
        <f>VLOOKUP(P828&amp;"_"&amp;Q828,活动关卡!$A$88:$Z$111,3+5*MonsterWaveCallRuleCfg!R828,FALSE)</f>
        <v>11</v>
      </c>
      <c r="J828" s="102">
        <f>VLOOKUP(P828&amp;"_"&amp;Q828,活动关卡!$A$88:$Z$111,4+5*MonsterWaveCallRuleCfg!R828,FALSE)</f>
        <v>2</v>
      </c>
      <c r="K828" s="102">
        <f t="shared" si="164"/>
        <v>1</v>
      </c>
      <c r="L828" s="102" t="str">
        <f>IF(VLOOKUP(P828&amp;"_"&amp;Q828,活动关卡!$A$88:$Z$111,2+5*R828,FALSE)="","","Monster_Season4_Challenge"&amp;P828&amp;"_"&amp;Q828&amp;"_"&amp;R828)</f>
        <v>Monster_Season4_Challenge5_6_2</v>
      </c>
      <c r="M828" s="57">
        <f t="shared" si="165"/>
        <v>1</v>
      </c>
      <c r="O828" s="102">
        <f>VLOOKUP(P828&amp;"_"&amp;Q828,活动关卡!$A$4:$Z$27,6+5*MonsterWaveCallRuleCfg!R828,FALSE)</f>
        <v>11</v>
      </c>
      <c r="P828" s="110">
        <v>5</v>
      </c>
      <c r="Q828" s="110">
        <f t="shared" si="167"/>
        <v>6</v>
      </c>
      <c r="R828" s="110">
        <v>2</v>
      </c>
    </row>
    <row r="829" spans="2:18" x14ac:dyDescent="0.2">
      <c r="B829" s="57" t="str">
        <f t="shared" si="169"/>
        <v/>
      </c>
      <c r="D829" s="57" t="str">
        <f t="shared" si="170"/>
        <v/>
      </c>
      <c r="F829" s="57" t="str">
        <f t="shared" si="162"/>
        <v/>
      </c>
      <c r="G829" s="102" t="str">
        <f t="shared" si="168"/>
        <v/>
      </c>
      <c r="H829" s="57">
        <f t="shared" si="163"/>
        <v>0</v>
      </c>
      <c r="I829" s="102">
        <f>VLOOKUP(P829&amp;"_"&amp;Q829,活动关卡!$A$88:$Z$111,3+5*MonsterWaveCallRuleCfg!R829,FALSE)</f>
        <v>15</v>
      </c>
      <c r="J829" s="102">
        <f>VLOOKUP(P829&amp;"_"&amp;Q829,活动关卡!$A$88:$Z$111,4+5*MonsterWaveCallRuleCfg!R829,FALSE)</f>
        <v>1.5</v>
      </c>
      <c r="K829" s="102">
        <f t="shared" si="164"/>
        <v>1</v>
      </c>
      <c r="L829" s="102" t="str">
        <f>IF(VLOOKUP(P829&amp;"_"&amp;Q829,活动关卡!$A$88:$Z$111,2+5*R829,FALSE)="","","Monster_Season4_Challenge"&amp;P829&amp;"_"&amp;Q829&amp;"_"&amp;R829)</f>
        <v>Monster_Season4_Challenge5_6_3</v>
      </c>
      <c r="M829" s="57">
        <f t="shared" si="165"/>
        <v>1</v>
      </c>
      <c r="O829" s="102">
        <f>VLOOKUP(P829&amp;"_"&amp;Q829,活动关卡!$A$4:$Z$27,6+5*MonsterWaveCallRuleCfg!R829,FALSE)</f>
        <v>5</v>
      </c>
      <c r="P829" s="110">
        <v>5</v>
      </c>
      <c r="Q829" s="110">
        <f t="shared" si="167"/>
        <v>6</v>
      </c>
      <c r="R829" s="110">
        <v>3</v>
      </c>
    </row>
    <row r="830" spans="2:18" x14ac:dyDescent="0.2">
      <c r="B830" s="57" t="str">
        <f t="shared" si="169"/>
        <v/>
      </c>
      <c r="D830" s="57" t="str">
        <f t="shared" si="170"/>
        <v/>
      </c>
      <c r="F830" s="57" t="str">
        <f t="shared" si="162"/>
        <v/>
      </c>
      <c r="G830" s="102" t="str">
        <f t="shared" si="168"/>
        <v/>
      </c>
      <c r="H830" s="57">
        <f t="shared" si="163"/>
        <v>0</v>
      </c>
      <c r="I830" s="102">
        <f>VLOOKUP(P830&amp;"_"&amp;Q830,活动关卡!$A$88:$Z$111,3+5*MonsterWaveCallRuleCfg!R830,FALSE)</f>
        <v>23</v>
      </c>
      <c r="J830" s="102">
        <f>VLOOKUP(P830&amp;"_"&amp;Q830,活动关卡!$A$88:$Z$111,4+5*MonsterWaveCallRuleCfg!R830,FALSE)</f>
        <v>1</v>
      </c>
      <c r="K830" s="102">
        <f t="shared" si="164"/>
        <v>1</v>
      </c>
      <c r="L830" s="102" t="str">
        <f>IF(VLOOKUP(P830&amp;"_"&amp;Q830,活动关卡!$A$88:$Z$111,2+5*R830,FALSE)="","","Monster_Season4_Challenge"&amp;P830&amp;"_"&amp;Q830&amp;"_"&amp;R830)</f>
        <v>Monster_Season4_Challenge5_6_4</v>
      </c>
      <c r="M830" s="57">
        <f t="shared" si="165"/>
        <v>1</v>
      </c>
      <c r="O830" s="102">
        <f>VLOOKUP(P830&amp;"_"&amp;Q830,活动关卡!$A$4:$Z$27,6+5*MonsterWaveCallRuleCfg!R830,FALSE)</f>
        <v>11</v>
      </c>
      <c r="P830" s="110">
        <v>5</v>
      </c>
      <c r="Q830" s="110">
        <f t="shared" si="167"/>
        <v>6</v>
      </c>
      <c r="R830" s="110">
        <v>4</v>
      </c>
    </row>
    <row r="831" spans="2:18" x14ac:dyDescent="0.2">
      <c r="B831" s="57" t="str">
        <f t="shared" si="169"/>
        <v>MonsterWaveCallRule_Season4_Challenge5</v>
      </c>
      <c r="C831" s="57">
        <v>7</v>
      </c>
      <c r="D831" s="57" t="str">
        <f t="shared" si="170"/>
        <v>赛季4关卡5第7波</v>
      </c>
      <c r="F831" s="57">
        <f t="shared" si="162"/>
        <v>0</v>
      </c>
      <c r="G831" s="102">
        <f t="shared" si="168"/>
        <v>180</v>
      </c>
      <c r="H831" s="57">
        <f t="shared" si="163"/>
        <v>0</v>
      </c>
      <c r="I831" s="102">
        <f>VLOOKUP(P831&amp;"_"&amp;Q831,活动关卡!$A$88:$Z$111,3+5*MonsterWaveCallRuleCfg!R831,FALSE)</f>
        <v>25</v>
      </c>
      <c r="J831" s="102">
        <f>VLOOKUP(P831&amp;"_"&amp;Q831,活动关卡!$A$88:$Z$111,4+5*MonsterWaveCallRuleCfg!R831,FALSE)</f>
        <v>1</v>
      </c>
      <c r="K831" s="102">
        <f t="shared" si="164"/>
        <v>1</v>
      </c>
      <c r="L831" s="102" t="str">
        <f>IF(VLOOKUP(P831&amp;"_"&amp;Q831,活动关卡!$A$88:$Z$111,2+5*R831,FALSE)="","","Monster_Season4_Challenge"&amp;P831&amp;"_"&amp;Q831&amp;"_"&amp;R831)</f>
        <v>Monster_Season4_Challenge5_7_1</v>
      </c>
      <c r="M831" s="57">
        <f t="shared" si="165"/>
        <v>1</v>
      </c>
      <c r="O831" s="102">
        <f>VLOOKUP(P831&amp;"_"&amp;Q831,活动关卡!$A$4:$Z$27,6+5*MonsterWaveCallRuleCfg!R831,FALSE)</f>
        <v>6</v>
      </c>
      <c r="P831" s="110">
        <v>5</v>
      </c>
      <c r="Q831" s="110">
        <f t="shared" si="167"/>
        <v>7</v>
      </c>
      <c r="R831" s="110">
        <v>1</v>
      </c>
    </row>
    <row r="832" spans="2:18" x14ac:dyDescent="0.2">
      <c r="B832" s="57" t="str">
        <f t="shared" si="169"/>
        <v/>
      </c>
      <c r="D832" s="57" t="str">
        <f t="shared" si="170"/>
        <v/>
      </c>
      <c r="F832" s="57" t="str">
        <f t="shared" si="162"/>
        <v/>
      </c>
      <c r="G832" s="102" t="str">
        <f t="shared" si="168"/>
        <v/>
      </c>
      <c r="H832" s="57">
        <f t="shared" si="163"/>
        <v>0</v>
      </c>
      <c r="I832" s="102">
        <f>VLOOKUP(P832&amp;"_"&amp;Q832,活动关卡!$A$88:$Z$111,3+5*MonsterWaveCallRuleCfg!R832,FALSE)</f>
        <v>25</v>
      </c>
      <c r="J832" s="102">
        <f>VLOOKUP(P832&amp;"_"&amp;Q832,活动关卡!$A$88:$Z$111,4+5*MonsterWaveCallRuleCfg!R832,FALSE)</f>
        <v>1</v>
      </c>
      <c r="K832" s="102">
        <f t="shared" si="164"/>
        <v>1</v>
      </c>
      <c r="L832" s="102" t="str">
        <f>IF(VLOOKUP(P832&amp;"_"&amp;Q832,活动关卡!$A$88:$Z$111,2+5*R832,FALSE)="","","Monster_Season4_Challenge"&amp;P832&amp;"_"&amp;Q832&amp;"_"&amp;R832)</f>
        <v>Monster_Season4_Challenge5_7_2</v>
      </c>
      <c r="M832" s="57">
        <f t="shared" si="165"/>
        <v>1</v>
      </c>
      <c r="O832" s="102">
        <f>VLOOKUP(P832&amp;"_"&amp;Q832,活动关卡!$A$4:$Z$27,6+5*MonsterWaveCallRuleCfg!R832,FALSE)</f>
        <v>3</v>
      </c>
      <c r="P832" s="110">
        <v>5</v>
      </c>
      <c r="Q832" s="110">
        <f t="shared" si="167"/>
        <v>7</v>
      </c>
      <c r="R832" s="110">
        <v>2</v>
      </c>
    </row>
    <row r="833" spans="2:18" x14ac:dyDescent="0.2">
      <c r="B833" s="57" t="str">
        <f t="shared" si="169"/>
        <v/>
      </c>
      <c r="D833" s="57" t="str">
        <f t="shared" si="170"/>
        <v/>
      </c>
      <c r="F833" s="57" t="str">
        <f t="shared" si="162"/>
        <v/>
      </c>
      <c r="G833" s="102" t="str">
        <f t="shared" si="168"/>
        <v/>
      </c>
      <c r="H833" s="57">
        <f t="shared" si="163"/>
        <v>0</v>
      </c>
      <c r="I833" s="102">
        <f>VLOOKUP(P833&amp;"_"&amp;Q833,活动关卡!$A$88:$Z$111,3+5*MonsterWaveCallRuleCfg!R833,FALSE)</f>
        <v>125</v>
      </c>
      <c r="J833" s="102">
        <f>VLOOKUP(P833&amp;"_"&amp;Q833,活动关卡!$A$88:$Z$111,4+5*MonsterWaveCallRuleCfg!R833,FALSE)</f>
        <v>0.2</v>
      </c>
      <c r="K833" s="102">
        <f t="shared" si="164"/>
        <v>1</v>
      </c>
      <c r="L833" s="102" t="str">
        <f>IF(VLOOKUP(P833&amp;"_"&amp;Q833,活动关卡!$A$88:$Z$111,2+5*R833,FALSE)="","","Monster_Season4_Challenge"&amp;P833&amp;"_"&amp;Q833&amp;"_"&amp;R833)</f>
        <v>Monster_Season4_Challenge5_7_3</v>
      </c>
      <c r="M833" s="57">
        <f t="shared" si="165"/>
        <v>1</v>
      </c>
      <c r="O833" s="102">
        <f>VLOOKUP(P833&amp;"_"&amp;Q833,活动关卡!$A$4:$Z$27,6+5*MonsterWaveCallRuleCfg!R833,FALSE)</f>
        <v>2</v>
      </c>
      <c r="P833" s="110">
        <v>5</v>
      </c>
      <c r="Q833" s="110">
        <f t="shared" si="167"/>
        <v>7</v>
      </c>
      <c r="R833" s="110">
        <v>3</v>
      </c>
    </row>
    <row r="834" spans="2:18" x14ac:dyDescent="0.2">
      <c r="B834" s="57" t="str">
        <f t="shared" si="169"/>
        <v/>
      </c>
      <c r="D834" s="57" t="str">
        <f t="shared" si="170"/>
        <v/>
      </c>
      <c r="F834" s="57" t="str">
        <f t="shared" si="162"/>
        <v/>
      </c>
      <c r="G834" s="102" t="str">
        <f t="shared" si="168"/>
        <v/>
      </c>
      <c r="H834" s="57">
        <f t="shared" si="163"/>
        <v>0</v>
      </c>
      <c r="I834" s="102">
        <f>VLOOKUP(P834&amp;"_"&amp;Q834,活动关卡!$A$88:$Z$111,3+5*MonsterWaveCallRuleCfg!R834,FALSE)</f>
        <v>25</v>
      </c>
      <c r="J834" s="102">
        <f>VLOOKUP(P834&amp;"_"&amp;Q834,活动关卡!$A$88:$Z$111,4+5*MonsterWaveCallRuleCfg!R834,FALSE)</f>
        <v>1</v>
      </c>
      <c r="K834" s="102">
        <f t="shared" si="164"/>
        <v>1</v>
      </c>
      <c r="L834" s="102" t="str">
        <f>IF(VLOOKUP(P834&amp;"_"&amp;Q834,活动关卡!$A$88:$Z$111,2+5*R834,FALSE)="","","Monster_Season4_Challenge"&amp;P834&amp;"_"&amp;Q834&amp;"_"&amp;R834)</f>
        <v>Monster_Season4_Challenge5_7_4</v>
      </c>
      <c r="M834" s="57">
        <f t="shared" si="165"/>
        <v>1</v>
      </c>
      <c r="O834" s="102">
        <f>VLOOKUP(P834&amp;"_"&amp;Q834,活动关卡!$A$4:$Z$27,6+5*MonsterWaveCallRuleCfg!R834,FALSE)</f>
        <v>6</v>
      </c>
      <c r="P834" s="110">
        <v>5</v>
      </c>
      <c r="Q834" s="110">
        <f t="shared" si="167"/>
        <v>7</v>
      </c>
      <c r="R834" s="110">
        <v>4</v>
      </c>
    </row>
    <row r="835" spans="2:18" x14ac:dyDescent="0.2">
      <c r="B835" s="57" t="str">
        <f t="shared" si="169"/>
        <v>MonsterWaveCallRule_Season4_Challenge5</v>
      </c>
      <c r="C835" s="57">
        <v>8</v>
      </c>
      <c r="D835" s="57" t="str">
        <f t="shared" si="170"/>
        <v>赛季4关卡5第8波</v>
      </c>
      <c r="F835" s="57">
        <f t="shared" si="162"/>
        <v>0</v>
      </c>
      <c r="G835" s="102">
        <f t="shared" si="168"/>
        <v>180</v>
      </c>
      <c r="H835" s="57">
        <f t="shared" si="163"/>
        <v>0</v>
      </c>
      <c r="I835" s="102">
        <f>VLOOKUP(P835&amp;"_"&amp;Q835,活动关卡!$A$88:$Z$111,3+5*MonsterWaveCallRuleCfg!R835,FALSE)</f>
        <v>1</v>
      </c>
      <c r="J835" s="102">
        <f>VLOOKUP(P835&amp;"_"&amp;Q835,活动关卡!$A$88:$Z$111,4+5*MonsterWaveCallRuleCfg!R835,FALSE)</f>
        <v>0</v>
      </c>
      <c r="K835" s="102">
        <f t="shared" si="164"/>
        <v>1</v>
      </c>
      <c r="L835" s="102" t="str">
        <f>IF(VLOOKUP(P835&amp;"_"&amp;Q835,活动关卡!$A$88:$Z$111,2+5*R835,FALSE)="","","Monster_Season4_Challenge"&amp;P835&amp;"_"&amp;Q835&amp;"_"&amp;R835)</f>
        <v>Monster_Season4_Challenge5_8_1</v>
      </c>
      <c r="M835" s="57">
        <f t="shared" si="165"/>
        <v>1</v>
      </c>
      <c r="O835" s="102">
        <f>VLOOKUP(P835&amp;"_"&amp;Q835,活动关卡!$A$4:$Z$27,6+5*MonsterWaveCallRuleCfg!R835,FALSE)</f>
        <v>192</v>
      </c>
      <c r="P835" s="110">
        <v>5</v>
      </c>
      <c r="Q835" s="110">
        <f t="shared" si="167"/>
        <v>8</v>
      </c>
      <c r="R835" s="110">
        <v>1</v>
      </c>
    </row>
    <row r="836" spans="2:18" x14ac:dyDescent="0.2">
      <c r="G836" s="102" t="str">
        <f t="shared" si="168"/>
        <v/>
      </c>
      <c r="H836" s="57">
        <f t="shared" si="163"/>
        <v>0</v>
      </c>
      <c r="I836" s="102">
        <f>VLOOKUP(P836&amp;"_"&amp;Q836,活动关卡!$A$88:$Z$111,3+5*MonsterWaveCallRuleCfg!R836,FALSE)</f>
        <v>55</v>
      </c>
      <c r="J836" s="102">
        <f>VLOOKUP(P836&amp;"_"&amp;Q836,活动关卡!$A$88:$Z$111,4+5*MonsterWaveCallRuleCfg!R836,FALSE)</f>
        <v>0.5</v>
      </c>
      <c r="K836" s="102">
        <f t="shared" si="164"/>
        <v>1</v>
      </c>
      <c r="L836" s="102" t="str">
        <f>IF(VLOOKUP(P836&amp;"_"&amp;Q836,活动关卡!$A$88:$Z$111,2+5*R836,FALSE)="","","Monster_Season2_Challenge"&amp;P836&amp;"_"&amp;Q836&amp;"_"&amp;R836)</f>
        <v>Monster_Season2_Challenge5_8_2</v>
      </c>
      <c r="M836" s="57">
        <f t="shared" si="165"/>
        <v>1</v>
      </c>
      <c r="O836" s="102">
        <f>VLOOKUP(P836&amp;"_"&amp;Q836,活动关卡!$A$4:$Z$27,6+5*MonsterWaveCallRuleCfg!R836,FALSE)</f>
        <v>5</v>
      </c>
      <c r="P836" s="110">
        <v>5</v>
      </c>
      <c r="Q836" s="110">
        <f t="shared" si="167"/>
        <v>8</v>
      </c>
      <c r="R836" s="110">
        <v>2</v>
      </c>
    </row>
    <row r="837" spans="2:18" x14ac:dyDescent="0.2">
      <c r="G837" s="102" t="str">
        <f t="shared" si="168"/>
        <v/>
      </c>
      <c r="H837" s="57">
        <f t="shared" si="163"/>
        <v>0</v>
      </c>
      <c r="I837" s="102">
        <f>VLOOKUP(P837&amp;"_"&amp;Q837,活动关卡!$A$88:$Z$111,3+5*MonsterWaveCallRuleCfg!R837,FALSE)</f>
        <v>14</v>
      </c>
      <c r="J837" s="102">
        <f>VLOOKUP(P837&amp;"_"&amp;Q837,活动关卡!$A$88:$Z$111,4+5*MonsterWaveCallRuleCfg!R837,FALSE)</f>
        <v>2</v>
      </c>
      <c r="K837" s="102">
        <f t="shared" si="164"/>
        <v>1</v>
      </c>
      <c r="L837" s="102" t="str">
        <f>IF(VLOOKUP(P837&amp;"_"&amp;Q837,活动关卡!$A$88:$Z$111,2+5*R837,FALSE)="","","Monster_Season2_Challenge"&amp;P837&amp;"_"&amp;Q837&amp;"_"&amp;R837)</f>
        <v>Monster_Season2_Challenge5_8_3</v>
      </c>
      <c r="M837" s="57">
        <f t="shared" si="165"/>
        <v>1</v>
      </c>
      <c r="O837" s="102">
        <f>VLOOKUP(P837&amp;"_"&amp;Q837,活动关卡!$A$4:$Z$27,6+5*MonsterWaveCallRuleCfg!R837,FALSE)</f>
        <v>10</v>
      </c>
      <c r="P837" s="110">
        <v>5</v>
      </c>
      <c r="Q837" s="110">
        <f t="shared" si="167"/>
        <v>8</v>
      </c>
      <c r="R837" s="110">
        <v>3</v>
      </c>
    </row>
    <row r="838" spans="2:18" x14ac:dyDescent="0.2">
      <c r="G838" s="102" t="str">
        <f t="shared" si="168"/>
        <v/>
      </c>
      <c r="H838" s="57">
        <f t="shared" si="163"/>
        <v>0</v>
      </c>
      <c r="I838" s="102">
        <f>VLOOKUP(P838&amp;"_"&amp;Q838,活动关卡!$A$88:$Z$111,3+5*MonsterWaveCallRuleCfg!R838,FALSE)</f>
        <v>1</v>
      </c>
      <c r="J838" s="102">
        <f>VLOOKUP(P838&amp;"_"&amp;Q838,活动关卡!$A$88:$Z$111,4+5*MonsterWaveCallRuleCfg!R838,FALSE)</f>
        <v>0</v>
      </c>
      <c r="K838" s="102">
        <f t="shared" si="164"/>
        <v>1</v>
      </c>
      <c r="L838" s="102" t="str">
        <f>IF(VLOOKUP(P838&amp;"_"&amp;Q838,活动关卡!$A$88:$Z$111,2+5*R838,FALSE)="","","Monster_Season2_Challenge"&amp;P838&amp;"_"&amp;Q838&amp;"_"&amp;R838)</f>
        <v>Monster_Season2_Challenge5_8_4</v>
      </c>
      <c r="M838" s="57">
        <f t="shared" si="165"/>
        <v>1</v>
      </c>
      <c r="O838" s="102">
        <f>VLOOKUP(P838&amp;"_"&amp;Q838,活动关卡!$A$4:$Z$27,6+5*MonsterWaveCallRuleCfg!R838,FALSE)</f>
        <v>10</v>
      </c>
      <c r="P838" s="110">
        <v>5</v>
      </c>
      <c r="Q838" s="110">
        <f t="shared" si="167"/>
        <v>8</v>
      </c>
      <c r="R838" s="110">
        <v>4</v>
      </c>
    </row>
    <row r="839" spans="2:18" s="166" customFormat="1" x14ac:dyDescent="0.2"/>
  </sheetData>
  <mergeCells count="2">
    <mergeCell ref="H1:O1"/>
    <mergeCell ref="H4:O4"/>
  </mergeCells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EA20-1C7A-475A-A102-F5666DB18962}">
  <dimension ref="A1:AG519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P519" sqref="P225:P519"/>
    </sheetView>
  </sheetViews>
  <sheetFormatPr defaultColWidth="9" defaultRowHeight="14.25" x14ac:dyDescent="0.2"/>
  <cols>
    <col min="1" max="1" width="5.875" customWidth="1"/>
    <col min="2" max="2" width="23.875" customWidth="1"/>
    <col min="3" max="3" width="16.5" customWidth="1"/>
    <col min="4" max="4" width="15.125" customWidth="1"/>
    <col min="5" max="7" width="8.75" customWidth="1"/>
    <col min="8" max="11" width="12.875" customWidth="1"/>
    <col min="12" max="12" width="21.5" customWidth="1"/>
    <col min="13" max="15" width="10.125" customWidth="1"/>
    <col min="16" max="16" width="24" customWidth="1"/>
    <col min="17" max="19" width="4.75" customWidth="1"/>
  </cols>
  <sheetData>
    <row r="1" spans="1:33" s="43" customFormat="1" x14ac:dyDescent="0.2">
      <c r="A1" s="45" t="s">
        <v>67</v>
      </c>
      <c r="B1" s="45" t="s">
        <v>68</v>
      </c>
      <c r="C1" s="91"/>
      <c r="D1" s="45" t="s">
        <v>512</v>
      </c>
      <c r="E1" s="45" t="s">
        <v>513</v>
      </c>
      <c r="F1" s="45" t="s">
        <v>514</v>
      </c>
      <c r="G1" s="45" t="s">
        <v>515</v>
      </c>
      <c r="H1" s="45" t="s">
        <v>516</v>
      </c>
      <c r="I1" s="45" t="s">
        <v>517</v>
      </c>
      <c r="J1" s="45" t="s">
        <v>518</v>
      </c>
      <c r="K1" s="45" t="s">
        <v>519</v>
      </c>
      <c r="L1" s="45" t="s">
        <v>180</v>
      </c>
      <c r="M1" s="45" t="s">
        <v>520</v>
      </c>
      <c r="N1" s="45" t="s">
        <v>521</v>
      </c>
      <c r="O1" s="45" t="s">
        <v>522</v>
      </c>
      <c r="P1" s="45" t="s">
        <v>523</v>
      </c>
      <c r="Q1" s="45"/>
      <c r="R1" s="45"/>
      <c r="S1" s="45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1:33" s="43" customFormat="1" x14ac:dyDescent="0.2">
      <c r="A2" s="45" t="s">
        <v>67</v>
      </c>
      <c r="B2" s="45"/>
      <c r="C2" s="91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/>
      <c r="U2"/>
      <c r="V2"/>
      <c r="W2"/>
      <c r="X2"/>
      <c r="Y2"/>
      <c r="Z2"/>
      <c r="AA2"/>
      <c r="AB2"/>
      <c r="AC2"/>
      <c r="AD2"/>
      <c r="AE2"/>
      <c r="AF2"/>
      <c r="AG2"/>
    </row>
    <row r="3" spans="1:33" s="44" customFormat="1" x14ac:dyDescent="0.2">
      <c r="A3" s="46" t="s">
        <v>71</v>
      </c>
      <c r="B3" s="46" t="s">
        <v>72</v>
      </c>
      <c r="C3" s="92"/>
      <c r="D3" s="46" t="s">
        <v>524</v>
      </c>
      <c r="E3" s="46" t="s">
        <v>74</v>
      </c>
      <c r="F3" s="46" t="s">
        <v>74</v>
      </c>
      <c r="G3" s="46" t="s">
        <v>360</v>
      </c>
      <c r="H3" s="46" t="s">
        <v>74</v>
      </c>
      <c r="I3" s="46" t="s">
        <v>74</v>
      </c>
      <c r="J3" s="46" t="s">
        <v>74</v>
      </c>
      <c r="K3" s="46" t="s">
        <v>74</v>
      </c>
      <c r="L3" s="81" t="s">
        <v>525</v>
      </c>
      <c r="M3" s="46" t="s">
        <v>526</v>
      </c>
      <c r="N3" s="46" t="s">
        <v>102</v>
      </c>
      <c r="O3" s="46" t="s">
        <v>102</v>
      </c>
      <c r="P3" s="46" t="s">
        <v>527</v>
      </c>
      <c r="Q3" s="46"/>
      <c r="R3" s="46"/>
      <c r="S3" s="46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s="44" customFormat="1" x14ac:dyDescent="0.2">
      <c r="A4" s="46" t="s">
        <v>75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s="43" customFormat="1" x14ac:dyDescent="0.2">
      <c r="A5" s="45" t="s">
        <v>77</v>
      </c>
      <c r="B5" s="45" t="s">
        <v>78</v>
      </c>
      <c r="C5" s="45" t="s">
        <v>79</v>
      </c>
      <c r="D5" s="45" t="s">
        <v>454</v>
      </c>
      <c r="E5" s="45" t="s">
        <v>455</v>
      </c>
      <c r="F5" s="45" t="s">
        <v>456</v>
      </c>
      <c r="G5" s="45" t="s">
        <v>457</v>
      </c>
      <c r="H5" s="45" t="s">
        <v>458</v>
      </c>
      <c r="I5" s="45" t="s">
        <v>459</v>
      </c>
      <c r="J5" s="45" t="s">
        <v>460</v>
      </c>
      <c r="K5" s="45" t="s">
        <v>461</v>
      </c>
      <c r="L5" s="45" t="s">
        <v>462</v>
      </c>
      <c r="M5" s="45" t="s">
        <v>463</v>
      </c>
      <c r="N5" s="45" t="s">
        <v>464</v>
      </c>
      <c r="O5" s="45" t="s">
        <v>465</v>
      </c>
      <c r="P5" s="45" t="s">
        <v>466</v>
      </c>
      <c r="Q5" s="45" t="s">
        <v>453</v>
      </c>
      <c r="R5" s="45" t="s">
        <v>453</v>
      </c>
      <c r="S5" s="45" t="s">
        <v>453</v>
      </c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">
      <c r="B6" t="s">
        <v>1380</v>
      </c>
      <c r="C6" t="s">
        <v>1389</v>
      </c>
      <c r="D6" s="55" t="str">
        <f>VLOOKUP(VLOOKUP(Q6,'⚪设计'!$A$124:$G$126,3+UnitCfg!R6,FALSE),'⚪设计'!$B$85:$C$113,2,FALSE)</f>
        <v>ResUnit_MiFeng1</v>
      </c>
      <c r="E6" s="55">
        <f>VLOOKUP(D6,'⚪设计'!$C$85:$G$101,5,FALSE)*VLOOKUP(UnitCfg!Q6,新手关卡!$A$3:$C$22,3,FALSE)</f>
        <v>3</v>
      </c>
      <c r="F6">
        <v>400</v>
      </c>
      <c r="G6" t="b">
        <v>1</v>
      </c>
      <c r="H6">
        <v>1</v>
      </c>
      <c r="I6">
        <v>1</v>
      </c>
      <c r="J6">
        <v>0.25</v>
      </c>
      <c r="K6" s="55">
        <f>VLOOKUP(D6,'⚪设计'!$C$85:$H$104,6,FALSE)</f>
        <v>0.5</v>
      </c>
      <c r="L6" t="s">
        <v>1385</v>
      </c>
      <c r="M6" t="s">
        <v>468</v>
      </c>
      <c r="N6" t="s">
        <v>469</v>
      </c>
      <c r="O6" t="s">
        <v>470</v>
      </c>
      <c r="Q6" s="110">
        <v>1</v>
      </c>
      <c r="R6" s="110">
        <v>1</v>
      </c>
      <c r="S6" s="110"/>
    </row>
    <row r="7" spans="1:33" x14ac:dyDescent="0.2">
      <c r="B7" t="s">
        <v>1381</v>
      </c>
      <c r="C7" t="s">
        <v>1390</v>
      </c>
      <c r="D7" s="55" t="str">
        <f>VLOOKUP(VLOOKUP(Q7,'⚪设计'!$A$124:$G$126,3+UnitCfg!R7,FALSE),'⚪设计'!$B$85:$C$113,2,FALSE)</f>
        <v>ResUnit_MiFeng1</v>
      </c>
      <c r="E7" s="55">
        <f>VLOOKUP(D7,'⚪设计'!$C$85:$G$101,5,FALSE)*VLOOKUP(UnitCfg!Q7,新手关卡!$A$3:$C$22,3,FALSE)</f>
        <v>3.1500000000000004</v>
      </c>
      <c r="F7">
        <v>400</v>
      </c>
      <c r="G7" t="b">
        <v>1</v>
      </c>
      <c r="H7">
        <v>1</v>
      </c>
      <c r="I7">
        <v>1</v>
      </c>
      <c r="J7">
        <v>0.25</v>
      </c>
      <c r="K7" s="55">
        <f>VLOOKUP(D7,'⚪设计'!$C$85:$H$104,6,FALSE)</f>
        <v>0.5</v>
      </c>
      <c r="L7" t="s">
        <v>1386</v>
      </c>
      <c r="M7" t="s">
        <v>468</v>
      </c>
      <c r="N7" t="s">
        <v>469</v>
      </c>
      <c r="O7" t="s">
        <v>470</v>
      </c>
      <c r="Q7" s="110">
        <v>2</v>
      </c>
      <c r="R7" s="110">
        <v>1</v>
      </c>
      <c r="S7" s="110"/>
    </row>
    <row r="8" spans="1:33" x14ac:dyDescent="0.2">
      <c r="B8" t="s">
        <v>1382</v>
      </c>
      <c r="C8" t="s">
        <v>1391</v>
      </c>
      <c r="D8" s="55" t="str">
        <f>VLOOKUP(VLOOKUP(Q8,'⚪设计'!$A$124:$G$126,3+UnitCfg!R8,FALSE),'⚪设计'!$B$85:$C$113,2,FALSE)</f>
        <v>ResUnit_MiFeng1</v>
      </c>
      <c r="E8" s="55">
        <f>VLOOKUP(D8,'⚪设计'!$C$85:$G$101,5,FALSE)*VLOOKUP(UnitCfg!Q8,新手关卡!$A$3:$C$22,3,FALSE)</f>
        <v>3.3000000000000003</v>
      </c>
      <c r="F8">
        <v>400</v>
      </c>
      <c r="G8" t="b">
        <v>1</v>
      </c>
      <c r="H8">
        <v>1</v>
      </c>
      <c r="I8">
        <v>1</v>
      </c>
      <c r="J8">
        <v>0.25</v>
      </c>
      <c r="K8" s="55">
        <f>VLOOKUP(D8,'⚪设计'!$C$85:$H$104,6,FALSE)</f>
        <v>0.5</v>
      </c>
      <c r="L8" t="s">
        <v>1387</v>
      </c>
      <c r="M8" t="s">
        <v>468</v>
      </c>
      <c r="N8" t="s">
        <v>469</v>
      </c>
      <c r="O8" t="s">
        <v>470</v>
      </c>
      <c r="Q8" s="110">
        <v>3</v>
      </c>
      <c r="R8" s="110">
        <v>1</v>
      </c>
      <c r="S8" s="110"/>
    </row>
    <row r="9" spans="1:33" x14ac:dyDescent="0.2">
      <c r="B9" t="s">
        <v>1383</v>
      </c>
      <c r="C9" t="s">
        <v>1392</v>
      </c>
      <c r="D9" s="55" t="str">
        <f>VLOOKUP(VLOOKUP(Q9,'⚪设计'!$A$124:$G$126,3+UnitCfg!R9,FALSE),'⚪设计'!$B$85:$C$113,2,FALSE)</f>
        <v>ResUnit_Dan1</v>
      </c>
      <c r="E9" s="55">
        <f>VLOOKUP(D9,'⚪设计'!$C$85:$G$101,5,FALSE)*VLOOKUP(UnitCfg!Q9,新手关卡!$A$3:$C$22,3,FALSE)</f>
        <v>3.3000000000000003</v>
      </c>
      <c r="F9">
        <v>400</v>
      </c>
      <c r="G9" t="b">
        <v>1</v>
      </c>
      <c r="H9">
        <v>1</v>
      </c>
      <c r="I9">
        <v>1</v>
      </c>
      <c r="J9">
        <v>0.25</v>
      </c>
      <c r="K9" s="55">
        <f>VLOOKUP(D9,'⚪设计'!$C$85:$H$104,6,FALSE)</f>
        <v>1.25</v>
      </c>
      <c r="L9" t="s">
        <v>1388</v>
      </c>
      <c r="M9" t="s">
        <v>468</v>
      </c>
      <c r="N9" t="s">
        <v>469</v>
      </c>
      <c r="O9" t="s">
        <v>470</v>
      </c>
      <c r="Q9" s="110">
        <v>3</v>
      </c>
      <c r="R9" s="110">
        <v>2</v>
      </c>
      <c r="S9" s="110"/>
    </row>
    <row r="10" spans="1:33" x14ac:dyDescent="0.2">
      <c r="B10" t="s">
        <v>1384</v>
      </c>
      <c r="C10" t="s">
        <v>1393</v>
      </c>
      <c r="D10" s="55" t="str">
        <f>VLOOKUP(VLOOKUP(Q10,'⚪设计'!$A$124:$G$126,3+UnitCfg!R10,FALSE),'⚪设计'!$B$85:$C$113,2,FALSE)</f>
        <v>ResUnit_ZhiZhu1</v>
      </c>
      <c r="E10" s="55">
        <f>VLOOKUP(D10,'⚪设计'!$C$85:$G$101,5,FALSE)*VLOOKUP(UnitCfg!Q10,新手关卡!$A$3:$C$22,3,FALSE)</f>
        <v>4.95</v>
      </c>
      <c r="F10">
        <v>400</v>
      </c>
      <c r="G10" t="b">
        <v>1</v>
      </c>
      <c r="H10">
        <v>1</v>
      </c>
      <c r="I10">
        <v>1</v>
      </c>
      <c r="J10">
        <v>0.25</v>
      </c>
      <c r="K10" s="55">
        <f>VLOOKUP(D10,'⚪设计'!$C$85:$H$104,6,FALSE)</f>
        <v>1</v>
      </c>
      <c r="L10" t="s">
        <v>1395</v>
      </c>
      <c r="M10" t="s">
        <v>468</v>
      </c>
      <c r="N10" t="s">
        <v>469</v>
      </c>
      <c r="O10" t="s">
        <v>470</v>
      </c>
      <c r="Q10" s="110">
        <v>3</v>
      </c>
      <c r="R10" s="110">
        <v>3</v>
      </c>
      <c r="S10" s="110"/>
    </row>
    <row r="11" spans="1:33" s="57" customFormat="1" x14ac:dyDescent="0.2"/>
    <row r="12" spans="1:33" s="57" customFormat="1" x14ac:dyDescent="0.2">
      <c r="B12" s="57" t="s">
        <v>781</v>
      </c>
      <c r="C12" s="68" t="s">
        <v>731</v>
      </c>
      <c r="D12" s="55" t="str">
        <f>VLOOKUP(VLOOKUP(Q12&amp;"_"&amp;R12,挑战模式!$A$3:$Z$52,2+5*S12,FALSE),'⚪设计'!$B$85:$H$114,2,FALSE)</f>
        <v>ResUnit_MiFeng1</v>
      </c>
      <c r="E12" s="55">
        <f>VLOOKUP(VLOOKUP(Q12&amp;"_"&amp;R12,挑战模式!$A$3:$Z$52,2+5*S12,FALSE),'⚪设计'!$B$85:$H$114,6,FALSE)*VLOOKUP(Q12&amp;"_"&amp;R12,挑战模式!$A$3:$Z$52,5,FALSE)</f>
        <v>3</v>
      </c>
      <c r="F12">
        <v>400</v>
      </c>
      <c r="G12" t="b">
        <v>1</v>
      </c>
      <c r="H12">
        <v>1</v>
      </c>
      <c r="I12">
        <v>1</v>
      </c>
      <c r="J12">
        <v>0.25</v>
      </c>
      <c r="K12" s="55">
        <f>VLOOKUP(VLOOKUP(Q12&amp;"_"&amp;R12,挑战模式!$A$3:$Z$52,2+5*S12,FALSE),'⚪设计'!$B$85:$H$114,7,FALSE)</f>
        <v>0.5</v>
      </c>
      <c r="L12" s="57" t="s">
        <v>832</v>
      </c>
      <c r="M12" t="s">
        <v>468</v>
      </c>
      <c r="N12" t="s">
        <v>469</v>
      </c>
      <c r="O12" t="s">
        <v>470</v>
      </c>
      <c r="Q12" s="110">
        <v>1</v>
      </c>
      <c r="R12" s="110">
        <v>1</v>
      </c>
      <c r="S12" s="110">
        <v>1</v>
      </c>
    </row>
    <row r="13" spans="1:33" s="57" customFormat="1" x14ac:dyDescent="0.2">
      <c r="B13" s="57" t="s">
        <v>782</v>
      </c>
      <c r="C13" s="68" t="s">
        <v>732</v>
      </c>
      <c r="D13" s="55" t="str">
        <f>VLOOKUP(VLOOKUP(Q13&amp;"_"&amp;R13,挑战模式!$A$3:$Z$52,2+5*S13,FALSE),'⚪设计'!$B$85:$H$114,2,FALSE)</f>
        <v>ResUnit_MiFeng1</v>
      </c>
      <c r="E13" s="55">
        <f>VLOOKUP(VLOOKUP(Q13&amp;"_"&amp;R13,挑战模式!$A$3:$Z$52,2+5*S13,FALSE),'⚪设计'!$B$85:$H$114,6,FALSE)*VLOOKUP(Q13&amp;"_"&amp;R13,挑战模式!$A$3:$Z$52,5,FALSE)</f>
        <v>3</v>
      </c>
      <c r="F13">
        <v>400</v>
      </c>
      <c r="G13" t="b">
        <v>1</v>
      </c>
      <c r="H13">
        <v>1</v>
      </c>
      <c r="I13">
        <v>1</v>
      </c>
      <c r="J13">
        <v>0.25</v>
      </c>
      <c r="K13" s="55">
        <f>VLOOKUP(VLOOKUP(Q13&amp;"_"&amp;R13,挑战模式!$A$3:$Z$52,2+5*S13,FALSE),'⚪设计'!$B$85:$H$114,7,FALSE)</f>
        <v>0.5</v>
      </c>
      <c r="L13" s="57" t="s">
        <v>833</v>
      </c>
      <c r="M13" t="s">
        <v>468</v>
      </c>
      <c r="N13" t="s">
        <v>469</v>
      </c>
      <c r="O13" t="s">
        <v>470</v>
      </c>
      <c r="Q13" s="110">
        <v>1</v>
      </c>
      <c r="R13" s="110">
        <v>2</v>
      </c>
      <c r="S13" s="110">
        <v>1</v>
      </c>
    </row>
    <row r="14" spans="1:33" s="57" customFormat="1" x14ac:dyDescent="0.2">
      <c r="B14" s="57" t="s">
        <v>783</v>
      </c>
      <c r="C14" s="68" t="s">
        <v>733</v>
      </c>
      <c r="D14" s="55" t="str">
        <f>VLOOKUP(VLOOKUP(Q14&amp;"_"&amp;R14,挑战模式!$A$3:$Z$52,2+5*S14,FALSE),'⚪设计'!$B$85:$H$114,2,FALSE)</f>
        <v>ResUnit_MiFeng1</v>
      </c>
      <c r="E14" s="55">
        <f>VLOOKUP(VLOOKUP(Q14&amp;"_"&amp;R14,挑战模式!$A$3:$Z$52,2+5*S14,FALSE),'⚪设计'!$B$85:$H$114,6,FALSE)*VLOOKUP(Q14&amp;"_"&amp;R14,挑战模式!$A$3:$Z$52,5,FALSE)</f>
        <v>3</v>
      </c>
      <c r="F14">
        <v>400</v>
      </c>
      <c r="G14" t="b">
        <v>1</v>
      </c>
      <c r="H14">
        <v>1</v>
      </c>
      <c r="I14">
        <v>1</v>
      </c>
      <c r="J14">
        <v>0.25</v>
      </c>
      <c r="K14" s="55">
        <f>VLOOKUP(VLOOKUP(Q14&amp;"_"&amp;R14,挑战模式!$A$3:$Z$52,2+5*S14,FALSE),'⚪设计'!$B$85:$H$114,7,FALSE)</f>
        <v>0.5</v>
      </c>
      <c r="L14" s="57" t="s">
        <v>834</v>
      </c>
      <c r="M14" t="s">
        <v>468</v>
      </c>
      <c r="N14" t="s">
        <v>469</v>
      </c>
      <c r="O14" t="s">
        <v>470</v>
      </c>
      <c r="Q14" s="110">
        <v>1</v>
      </c>
      <c r="R14" s="110">
        <v>3</v>
      </c>
      <c r="S14" s="110">
        <v>1</v>
      </c>
    </row>
    <row r="15" spans="1:33" s="57" customFormat="1" x14ac:dyDescent="0.2">
      <c r="B15" s="57" t="s">
        <v>784</v>
      </c>
      <c r="C15" s="68" t="s">
        <v>734</v>
      </c>
      <c r="D15" s="55" t="str">
        <f>VLOOKUP(VLOOKUP(Q15&amp;"_"&amp;R15,挑战模式!$A$3:$Z$52,2+5*S15,FALSE),'⚪设计'!$B$85:$H$114,2,FALSE)</f>
        <v>ResUnit_MiFeng2</v>
      </c>
      <c r="E15" s="55">
        <f>VLOOKUP(VLOOKUP(Q15&amp;"_"&amp;R15,挑战模式!$A$3:$Z$52,2+5*S15,FALSE),'⚪设计'!$B$85:$H$114,6,FALSE)*VLOOKUP(Q15&amp;"_"&amp;R15,挑战模式!$A$3:$Z$52,5,FALSE)</f>
        <v>3</v>
      </c>
      <c r="F15">
        <v>400</v>
      </c>
      <c r="G15" t="b">
        <v>1</v>
      </c>
      <c r="H15">
        <v>1</v>
      </c>
      <c r="I15">
        <v>1</v>
      </c>
      <c r="J15">
        <v>0.25</v>
      </c>
      <c r="K15" s="55">
        <f>VLOOKUP(VLOOKUP(Q15&amp;"_"&amp;R15,挑战模式!$A$3:$Z$52,2+5*S15,FALSE),'⚪设计'!$B$85:$H$114,7,FALSE)</f>
        <v>0.8</v>
      </c>
      <c r="L15" s="57" t="s">
        <v>835</v>
      </c>
      <c r="M15" t="s">
        <v>468</v>
      </c>
      <c r="N15" t="s">
        <v>469</v>
      </c>
      <c r="O15" t="s">
        <v>470</v>
      </c>
      <c r="Q15" s="110">
        <v>1</v>
      </c>
      <c r="R15" s="110">
        <v>3</v>
      </c>
      <c r="S15" s="110">
        <v>2</v>
      </c>
    </row>
    <row r="16" spans="1:33" s="57" customFormat="1" x14ac:dyDescent="0.2">
      <c r="B16" s="57" t="s">
        <v>785</v>
      </c>
      <c r="C16" s="68" t="s">
        <v>735</v>
      </c>
      <c r="D16" s="55" t="str">
        <f>VLOOKUP(VLOOKUP(Q16&amp;"_"&amp;R16,挑战模式!$A$3:$Z$52,2+5*S16,FALSE),'⚪设计'!$B$85:$H$114,2,FALSE)</f>
        <v>ResUnit_MiFeng1</v>
      </c>
      <c r="E16" s="55">
        <f>VLOOKUP(VLOOKUP(Q16&amp;"_"&amp;R16,挑战模式!$A$3:$Z$52,2+5*S16,FALSE),'⚪设计'!$B$85:$H$114,6,FALSE)*VLOOKUP(Q16&amp;"_"&amp;R16,挑战模式!$A$3:$Z$52,5,FALSE)</f>
        <v>3</v>
      </c>
      <c r="F16">
        <v>400</v>
      </c>
      <c r="G16" t="b">
        <v>1</v>
      </c>
      <c r="H16">
        <v>1</v>
      </c>
      <c r="I16">
        <v>1</v>
      </c>
      <c r="J16">
        <v>0.25</v>
      </c>
      <c r="K16" s="55">
        <f>VLOOKUP(VLOOKUP(Q16&amp;"_"&amp;R16,挑战模式!$A$3:$Z$52,2+5*S16,FALSE),'⚪设计'!$B$85:$H$114,7,FALSE)</f>
        <v>0.5</v>
      </c>
      <c r="L16" s="57" t="s">
        <v>836</v>
      </c>
      <c r="M16" t="s">
        <v>468</v>
      </c>
      <c r="N16" t="s">
        <v>469</v>
      </c>
      <c r="O16" t="s">
        <v>470</v>
      </c>
      <c r="Q16" s="110">
        <v>1</v>
      </c>
      <c r="R16" s="110">
        <v>4</v>
      </c>
      <c r="S16" s="110">
        <v>1</v>
      </c>
    </row>
    <row r="17" spans="2:19" s="57" customFormat="1" x14ac:dyDescent="0.2">
      <c r="B17" s="57" t="s">
        <v>786</v>
      </c>
      <c r="C17" s="68" t="s">
        <v>736</v>
      </c>
      <c r="D17" s="55" t="str">
        <f>VLOOKUP(VLOOKUP(Q17&amp;"_"&amp;R17,挑战模式!$A$3:$Z$52,2+5*S17,FALSE),'⚪设计'!$B$85:$H$114,2,FALSE)</f>
        <v>ResUnit_MiFeng2</v>
      </c>
      <c r="E17" s="55">
        <f>VLOOKUP(VLOOKUP(Q17&amp;"_"&amp;R17,挑战模式!$A$3:$Z$52,2+5*S17,FALSE),'⚪设计'!$B$85:$H$114,6,FALSE)*VLOOKUP(Q17&amp;"_"&amp;R17,挑战模式!$A$3:$Z$52,5,FALSE)</f>
        <v>3</v>
      </c>
      <c r="F17">
        <v>400</v>
      </c>
      <c r="G17" t="b">
        <v>1</v>
      </c>
      <c r="H17">
        <v>1</v>
      </c>
      <c r="I17">
        <v>1</v>
      </c>
      <c r="J17">
        <v>0.25</v>
      </c>
      <c r="K17" s="55">
        <f>VLOOKUP(VLOOKUP(Q17&amp;"_"&amp;R17,挑战模式!$A$3:$Z$52,2+5*S17,FALSE),'⚪设计'!$B$85:$H$114,7,FALSE)</f>
        <v>0.8</v>
      </c>
      <c r="L17" s="57" t="s">
        <v>837</v>
      </c>
      <c r="M17" t="s">
        <v>468</v>
      </c>
      <c r="N17" t="s">
        <v>469</v>
      </c>
      <c r="O17" t="s">
        <v>470</v>
      </c>
      <c r="Q17" s="110">
        <v>1</v>
      </c>
      <c r="R17" s="110">
        <v>4</v>
      </c>
      <c r="S17" s="110">
        <v>2</v>
      </c>
    </row>
    <row r="18" spans="2:19" s="57" customFormat="1" x14ac:dyDescent="0.2">
      <c r="B18" s="57" t="s">
        <v>787</v>
      </c>
      <c r="C18" s="68" t="s">
        <v>737</v>
      </c>
      <c r="D18" s="55" t="str">
        <f>VLOOKUP(VLOOKUP(Q18&amp;"_"&amp;R18,挑战模式!$A$3:$Z$52,2+5*S18,FALSE),'⚪设计'!$B$85:$H$114,2,FALSE)</f>
        <v>ResUnit_MiFeng1</v>
      </c>
      <c r="E18" s="55">
        <f>VLOOKUP(VLOOKUP(Q18&amp;"_"&amp;R18,挑战模式!$A$3:$Z$52,2+5*S18,FALSE),'⚪设计'!$B$85:$H$114,6,FALSE)*VLOOKUP(Q18&amp;"_"&amp;R18,挑战模式!$A$3:$Z$52,5,FALSE)</f>
        <v>3</v>
      </c>
      <c r="F18">
        <v>400</v>
      </c>
      <c r="G18" t="b">
        <v>1</v>
      </c>
      <c r="H18">
        <v>1</v>
      </c>
      <c r="I18">
        <v>1</v>
      </c>
      <c r="J18">
        <v>0.25</v>
      </c>
      <c r="K18" s="55">
        <f>VLOOKUP(VLOOKUP(Q18&amp;"_"&amp;R18,挑战模式!$A$3:$Z$52,2+5*S18,FALSE),'⚪设计'!$B$85:$H$114,7,FALSE)</f>
        <v>0.5</v>
      </c>
      <c r="L18" s="57" t="s">
        <v>838</v>
      </c>
      <c r="M18" t="s">
        <v>468</v>
      </c>
      <c r="N18" t="s">
        <v>469</v>
      </c>
      <c r="O18" t="s">
        <v>470</v>
      </c>
      <c r="Q18" s="110">
        <v>1</v>
      </c>
      <c r="R18" s="110">
        <v>5</v>
      </c>
      <c r="S18" s="110">
        <v>1</v>
      </c>
    </row>
    <row r="19" spans="2:19" s="57" customFormat="1" x14ac:dyDescent="0.2">
      <c r="B19" s="57" t="s">
        <v>788</v>
      </c>
      <c r="C19" s="68" t="s">
        <v>738</v>
      </c>
      <c r="D19" s="55" t="str">
        <f>VLOOKUP(VLOOKUP(Q19&amp;"_"&amp;R19,挑战模式!$A$3:$Z$52,2+5*S19,FALSE),'⚪设计'!$B$85:$H$114,2,FALSE)</f>
        <v>ResUnit_MiFeng2</v>
      </c>
      <c r="E19" s="55">
        <f>VLOOKUP(VLOOKUP(Q19&amp;"_"&amp;R19,挑战模式!$A$3:$Z$52,2+5*S19,FALSE),'⚪设计'!$B$85:$H$114,6,FALSE)*VLOOKUP(Q19&amp;"_"&amp;R19,挑战模式!$A$3:$Z$52,5,FALSE)</f>
        <v>3</v>
      </c>
      <c r="F19">
        <v>400</v>
      </c>
      <c r="G19" t="b">
        <v>1</v>
      </c>
      <c r="H19">
        <v>1</v>
      </c>
      <c r="I19">
        <v>1</v>
      </c>
      <c r="J19">
        <v>0.25</v>
      </c>
      <c r="K19" s="55">
        <f>VLOOKUP(VLOOKUP(Q19&amp;"_"&amp;R19,挑战模式!$A$3:$Z$52,2+5*S19,FALSE),'⚪设计'!$B$85:$H$114,7,FALSE)</f>
        <v>0.8</v>
      </c>
      <c r="L19" s="57" t="s">
        <v>839</v>
      </c>
      <c r="M19" t="s">
        <v>468</v>
      </c>
      <c r="N19" t="s">
        <v>469</v>
      </c>
      <c r="O19" t="s">
        <v>470</v>
      </c>
      <c r="Q19" s="110">
        <v>1</v>
      </c>
      <c r="R19" s="110">
        <v>5</v>
      </c>
      <c r="S19" s="110">
        <v>2</v>
      </c>
    </row>
    <row r="20" spans="2:19" s="57" customFormat="1" x14ac:dyDescent="0.2">
      <c r="B20" s="57" t="s">
        <v>789</v>
      </c>
      <c r="C20" s="68" t="s">
        <v>739</v>
      </c>
      <c r="D20" s="55" t="str">
        <f>VLOOKUP(VLOOKUP(Q20&amp;"_"&amp;R20,挑战模式!$A$3:$Z$52,2+5*S20,FALSE),'⚪设计'!$B$85:$H$114,2,FALSE)</f>
        <v>ResUnit_ZhiZhu1</v>
      </c>
      <c r="E20" s="55">
        <f>VLOOKUP(VLOOKUP(Q20&amp;"_"&amp;R20,挑战模式!$A$3:$Z$52,2+5*S20,FALSE),'⚪设计'!$B$85:$H$114,6,FALSE)*VLOOKUP(Q20&amp;"_"&amp;R20,挑战模式!$A$3:$Z$52,5,FALSE)</f>
        <v>4.5</v>
      </c>
      <c r="F20">
        <v>400</v>
      </c>
      <c r="G20" t="b">
        <v>1</v>
      </c>
      <c r="H20">
        <v>1</v>
      </c>
      <c r="I20">
        <v>1</v>
      </c>
      <c r="J20">
        <v>0.25</v>
      </c>
      <c r="K20" s="55">
        <f>VLOOKUP(VLOOKUP(Q20&amp;"_"&amp;R20,挑战模式!$A$3:$Z$52,2+5*S20,FALSE),'⚪设计'!$B$85:$H$114,7,FALSE)</f>
        <v>1</v>
      </c>
      <c r="L20" s="57" t="s">
        <v>840</v>
      </c>
      <c r="M20" t="s">
        <v>468</v>
      </c>
      <c r="N20" t="s">
        <v>469</v>
      </c>
      <c r="O20" t="s">
        <v>470</v>
      </c>
      <c r="Q20" s="110">
        <v>2</v>
      </c>
      <c r="R20" s="110">
        <v>1</v>
      </c>
      <c r="S20" s="110">
        <v>1</v>
      </c>
    </row>
    <row r="21" spans="2:19" s="57" customFormat="1" x14ac:dyDescent="0.2">
      <c r="B21" s="57" t="s">
        <v>790</v>
      </c>
      <c r="C21" s="68" t="s">
        <v>740</v>
      </c>
      <c r="D21" s="55" t="str">
        <f>VLOOKUP(VLOOKUP(Q21&amp;"_"&amp;R21,挑战模式!$A$3:$Z$52,2+5*S21,FALSE),'⚪设计'!$B$85:$H$114,2,FALSE)</f>
        <v>ResUnit_ZhiZhu1</v>
      </c>
      <c r="E21" s="55">
        <f>VLOOKUP(VLOOKUP(Q21&amp;"_"&amp;R21,挑战模式!$A$3:$Z$52,2+5*S21,FALSE),'⚪设计'!$B$85:$H$114,6,FALSE)*VLOOKUP(Q21&amp;"_"&amp;R21,挑战模式!$A$3:$Z$52,5,FALSE)</f>
        <v>4.5</v>
      </c>
      <c r="F21">
        <v>400</v>
      </c>
      <c r="G21" t="b">
        <v>1</v>
      </c>
      <c r="H21">
        <v>1</v>
      </c>
      <c r="I21">
        <v>1</v>
      </c>
      <c r="J21">
        <v>0.25</v>
      </c>
      <c r="K21" s="55">
        <f>VLOOKUP(VLOOKUP(Q21&amp;"_"&amp;R21,挑战模式!$A$3:$Z$52,2+5*S21,FALSE),'⚪设计'!$B$85:$H$114,7,FALSE)</f>
        <v>1</v>
      </c>
      <c r="L21" s="57" t="s">
        <v>841</v>
      </c>
      <c r="M21" t="s">
        <v>468</v>
      </c>
      <c r="N21" t="s">
        <v>469</v>
      </c>
      <c r="O21" t="s">
        <v>470</v>
      </c>
      <c r="Q21" s="110">
        <v>2</v>
      </c>
      <c r="R21" s="110">
        <v>2</v>
      </c>
      <c r="S21" s="110">
        <v>1</v>
      </c>
    </row>
    <row r="22" spans="2:19" s="57" customFormat="1" x14ac:dyDescent="0.2">
      <c r="B22" s="57" t="s">
        <v>791</v>
      </c>
      <c r="C22" s="68" t="s">
        <v>741</v>
      </c>
      <c r="D22" s="55" t="str">
        <f>VLOOKUP(VLOOKUP(Q22&amp;"_"&amp;R22,挑战模式!$A$3:$Z$52,2+5*S22,FALSE),'⚪设计'!$B$85:$H$114,2,FALSE)</f>
        <v>ResUnit_MiFeng2</v>
      </c>
      <c r="E22" s="55">
        <f>VLOOKUP(VLOOKUP(Q22&amp;"_"&amp;R22,挑战模式!$A$3:$Z$52,2+5*S22,FALSE),'⚪设计'!$B$85:$H$114,6,FALSE)*VLOOKUP(Q22&amp;"_"&amp;R22,挑战模式!$A$3:$Z$52,5,FALSE)</f>
        <v>3</v>
      </c>
      <c r="F22">
        <v>400</v>
      </c>
      <c r="G22" t="b">
        <v>1</v>
      </c>
      <c r="H22">
        <v>1</v>
      </c>
      <c r="I22">
        <v>1</v>
      </c>
      <c r="J22">
        <v>0.25</v>
      </c>
      <c r="K22" s="55">
        <f>VLOOKUP(VLOOKUP(Q22&amp;"_"&amp;R22,挑战模式!$A$3:$Z$52,2+5*S22,FALSE),'⚪设计'!$B$85:$H$114,7,FALSE)</f>
        <v>0.8</v>
      </c>
      <c r="L22" s="57" t="s">
        <v>842</v>
      </c>
      <c r="M22" t="s">
        <v>468</v>
      </c>
      <c r="N22" t="s">
        <v>469</v>
      </c>
      <c r="O22" t="s">
        <v>470</v>
      </c>
      <c r="Q22" s="110">
        <v>2</v>
      </c>
      <c r="R22" s="110">
        <v>2</v>
      </c>
      <c r="S22" s="110">
        <v>2</v>
      </c>
    </row>
    <row r="23" spans="2:19" s="57" customFormat="1" x14ac:dyDescent="0.2">
      <c r="B23" s="57" t="s">
        <v>792</v>
      </c>
      <c r="C23" s="68" t="s">
        <v>742</v>
      </c>
      <c r="D23" s="55" t="str">
        <f>VLOOKUP(VLOOKUP(Q23&amp;"_"&amp;R23,挑战模式!$A$3:$Z$52,2+5*S23,FALSE),'⚪设计'!$B$85:$H$114,2,FALSE)</f>
        <v>ResUnit_ZhiZhu1</v>
      </c>
      <c r="E23" s="55">
        <f>VLOOKUP(VLOOKUP(Q23&amp;"_"&amp;R23,挑战模式!$A$3:$Z$52,2+5*S23,FALSE),'⚪设计'!$B$85:$H$114,6,FALSE)*VLOOKUP(Q23&amp;"_"&amp;R23,挑战模式!$A$3:$Z$52,5,FALSE)</f>
        <v>4.5</v>
      </c>
      <c r="F23">
        <v>400</v>
      </c>
      <c r="G23" t="b">
        <v>1</v>
      </c>
      <c r="H23">
        <v>1</v>
      </c>
      <c r="I23">
        <v>1</v>
      </c>
      <c r="J23">
        <v>0.25</v>
      </c>
      <c r="K23" s="55">
        <f>VLOOKUP(VLOOKUP(Q23&amp;"_"&amp;R23,挑战模式!$A$3:$Z$52,2+5*S23,FALSE),'⚪设计'!$B$85:$H$114,7,FALSE)</f>
        <v>1</v>
      </c>
      <c r="L23" s="57" t="s">
        <v>843</v>
      </c>
      <c r="M23" t="s">
        <v>468</v>
      </c>
      <c r="N23" t="s">
        <v>469</v>
      </c>
      <c r="O23" t="s">
        <v>470</v>
      </c>
      <c r="Q23" s="110">
        <v>2</v>
      </c>
      <c r="R23" s="110">
        <v>3</v>
      </c>
      <c r="S23" s="110">
        <v>1</v>
      </c>
    </row>
    <row r="24" spans="2:19" s="57" customFormat="1" x14ac:dyDescent="0.2">
      <c r="B24" s="57" t="s">
        <v>793</v>
      </c>
      <c r="C24" s="68" t="s">
        <v>743</v>
      </c>
      <c r="D24" s="55" t="str">
        <f>VLOOKUP(VLOOKUP(Q24&amp;"_"&amp;R24,挑战模式!$A$3:$Z$52,2+5*S24,FALSE),'⚪设计'!$B$85:$H$114,2,FALSE)</f>
        <v>ResUnit_BianFu1</v>
      </c>
      <c r="E24" s="55">
        <f>VLOOKUP(VLOOKUP(Q24&amp;"_"&amp;R24,挑战模式!$A$3:$Z$52,2+5*S24,FALSE),'⚪设计'!$B$85:$H$114,6,FALSE)*VLOOKUP(Q24&amp;"_"&amp;R24,挑战模式!$A$3:$Z$52,5,FALSE)</f>
        <v>3</v>
      </c>
      <c r="F24">
        <v>400</v>
      </c>
      <c r="G24" t="b">
        <v>1</v>
      </c>
      <c r="H24">
        <v>1</v>
      </c>
      <c r="I24">
        <v>1</v>
      </c>
      <c r="J24">
        <v>0.25</v>
      </c>
      <c r="K24" s="55">
        <f>VLOOKUP(VLOOKUP(Q24&amp;"_"&amp;R24,挑战模式!$A$3:$Z$52,2+5*S24,FALSE),'⚪设计'!$B$85:$H$114,7,FALSE)</f>
        <v>0.5</v>
      </c>
      <c r="L24" s="57" t="s">
        <v>844</v>
      </c>
      <c r="M24" t="s">
        <v>468</v>
      </c>
      <c r="N24" t="s">
        <v>469</v>
      </c>
      <c r="O24" t="s">
        <v>470</v>
      </c>
      <c r="Q24" s="110">
        <v>2</v>
      </c>
      <c r="R24" s="110">
        <v>3</v>
      </c>
      <c r="S24" s="110">
        <v>2</v>
      </c>
    </row>
    <row r="25" spans="2:19" s="57" customFormat="1" x14ac:dyDescent="0.2">
      <c r="B25" s="57" t="s">
        <v>794</v>
      </c>
      <c r="C25" s="68" t="s">
        <v>744</v>
      </c>
      <c r="D25" s="55" t="str">
        <f>VLOOKUP(VLOOKUP(Q25&amp;"_"&amp;R25,挑战模式!$A$3:$Z$52,2+5*S25,FALSE),'⚪设计'!$B$85:$H$114,2,FALSE)</f>
        <v>ResUnit_ZhiZhu1</v>
      </c>
      <c r="E25" s="55">
        <f>VLOOKUP(VLOOKUP(Q25&amp;"_"&amp;R25,挑战模式!$A$3:$Z$52,2+5*S25,FALSE),'⚪设计'!$B$85:$H$114,6,FALSE)*VLOOKUP(Q25&amp;"_"&amp;R25,挑战模式!$A$3:$Z$52,5,FALSE)</f>
        <v>4.5</v>
      </c>
      <c r="F25">
        <v>400</v>
      </c>
      <c r="G25" t="b">
        <v>1</v>
      </c>
      <c r="H25">
        <v>1</v>
      </c>
      <c r="I25">
        <v>1</v>
      </c>
      <c r="J25">
        <v>0.25</v>
      </c>
      <c r="K25" s="55">
        <f>VLOOKUP(VLOOKUP(Q25&amp;"_"&amp;R25,挑战模式!$A$3:$Z$52,2+5*S25,FALSE),'⚪设计'!$B$85:$H$114,7,FALSE)</f>
        <v>1</v>
      </c>
      <c r="L25" s="57" t="s">
        <v>845</v>
      </c>
      <c r="M25" t="s">
        <v>468</v>
      </c>
      <c r="N25" t="s">
        <v>469</v>
      </c>
      <c r="O25" t="s">
        <v>470</v>
      </c>
      <c r="Q25" s="110">
        <v>2</v>
      </c>
      <c r="R25" s="110">
        <v>4</v>
      </c>
      <c r="S25" s="110">
        <v>1</v>
      </c>
    </row>
    <row r="26" spans="2:19" s="57" customFormat="1" x14ac:dyDescent="0.2">
      <c r="B26" s="57" t="s">
        <v>795</v>
      </c>
      <c r="C26" s="68" t="s">
        <v>745</v>
      </c>
      <c r="D26" s="55" t="str">
        <f>VLOOKUP(VLOOKUP(Q26&amp;"_"&amp;R26,挑战模式!$A$3:$Z$52,2+5*S26,FALSE),'⚪设计'!$B$85:$H$114,2,FALSE)</f>
        <v>ResUnit_BianFu1</v>
      </c>
      <c r="E26" s="55">
        <f>VLOOKUP(VLOOKUP(Q26&amp;"_"&amp;R26,挑战模式!$A$3:$Z$52,2+5*S26,FALSE),'⚪设计'!$B$85:$H$114,6,FALSE)*VLOOKUP(Q26&amp;"_"&amp;R26,挑战模式!$A$3:$Z$52,5,FALSE)</f>
        <v>3</v>
      </c>
      <c r="F26">
        <v>400</v>
      </c>
      <c r="G26" t="b">
        <v>1</v>
      </c>
      <c r="H26">
        <v>1</v>
      </c>
      <c r="I26">
        <v>1</v>
      </c>
      <c r="J26">
        <v>0.25</v>
      </c>
      <c r="K26" s="55">
        <f>VLOOKUP(VLOOKUP(Q26&amp;"_"&amp;R26,挑战模式!$A$3:$Z$52,2+5*S26,FALSE),'⚪设计'!$B$85:$H$114,7,FALSE)</f>
        <v>0.5</v>
      </c>
      <c r="L26" s="57" t="s">
        <v>846</v>
      </c>
      <c r="M26" t="s">
        <v>468</v>
      </c>
      <c r="N26" t="s">
        <v>469</v>
      </c>
      <c r="O26" t="s">
        <v>470</v>
      </c>
      <c r="Q26" s="110">
        <v>2</v>
      </c>
      <c r="R26" s="110">
        <v>4</v>
      </c>
      <c r="S26" s="110">
        <v>2</v>
      </c>
    </row>
    <row r="27" spans="2:19" s="57" customFormat="1" x14ac:dyDescent="0.2">
      <c r="B27" s="57" t="s">
        <v>796</v>
      </c>
      <c r="C27" s="68" t="s">
        <v>746</v>
      </c>
      <c r="D27" s="55" t="str">
        <f>VLOOKUP(VLOOKUP(Q27&amp;"_"&amp;R27,挑战模式!$A$3:$Z$52,2+5*S27,FALSE),'⚪设计'!$B$85:$H$114,2,FALSE)</f>
        <v>ResUnit_MiFeng2</v>
      </c>
      <c r="E27" s="55">
        <f>VLOOKUP(VLOOKUP(Q27&amp;"_"&amp;R27,挑战模式!$A$3:$Z$52,2+5*S27,FALSE),'⚪设计'!$B$85:$H$114,6,FALSE)*VLOOKUP(Q27&amp;"_"&amp;R27,挑战模式!$A$3:$Z$52,5,FALSE)</f>
        <v>3</v>
      </c>
      <c r="F27">
        <v>400</v>
      </c>
      <c r="G27" t="b">
        <v>1</v>
      </c>
      <c r="H27">
        <v>1</v>
      </c>
      <c r="I27">
        <v>1</v>
      </c>
      <c r="J27">
        <v>0.25</v>
      </c>
      <c r="K27" s="55">
        <f>VLOOKUP(VLOOKUP(Q27&amp;"_"&amp;R27,挑战模式!$A$3:$Z$52,2+5*S27,FALSE),'⚪设计'!$B$85:$H$114,7,FALSE)</f>
        <v>0.8</v>
      </c>
      <c r="L27" s="57" t="s">
        <v>847</v>
      </c>
      <c r="M27" t="s">
        <v>468</v>
      </c>
      <c r="N27" t="s">
        <v>469</v>
      </c>
      <c r="O27" t="s">
        <v>470</v>
      </c>
      <c r="Q27" s="110">
        <v>2</v>
      </c>
      <c r="R27" s="110">
        <v>4</v>
      </c>
      <c r="S27" s="110">
        <v>3</v>
      </c>
    </row>
    <row r="28" spans="2:19" s="57" customFormat="1" x14ac:dyDescent="0.2">
      <c r="B28" s="57" t="s">
        <v>797</v>
      </c>
      <c r="C28" s="68" t="s">
        <v>747</v>
      </c>
      <c r="D28" s="55" t="str">
        <f>VLOOKUP(VLOOKUP(Q28&amp;"_"&amp;R28,挑战模式!$A$3:$Z$52,2+5*S28,FALSE),'⚪设计'!$B$85:$H$114,2,FALSE)</f>
        <v>ResUnit_ZhiZhu1</v>
      </c>
      <c r="E28" s="55">
        <f>VLOOKUP(VLOOKUP(Q28&amp;"_"&amp;R28,挑战模式!$A$3:$Z$52,2+5*S28,FALSE),'⚪设计'!$B$85:$H$114,6,FALSE)*VLOOKUP(Q28&amp;"_"&amp;R28,挑战模式!$A$3:$Z$52,5,FALSE)</f>
        <v>4.5</v>
      </c>
      <c r="F28">
        <v>400</v>
      </c>
      <c r="G28" t="b">
        <v>1</v>
      </c>
      <c r="H28">
        <v>1</v>
      </c>
      <c r="I28">
        <v>1</v>
      </c>
      <c r="J28">
        <v>0.25</v>
      </c>
      <c r="K28" s="55">
        <f>VLOOKUP(VLOOKUP(Q28&amp;"_"&amp;R28,挑战模式!$A$3:$Z$52,2+5*S28,FALSE),'⚪设计'!$B$85:$H$114,7,FALSE)</f>
        <v>1</v>
      </c>
      <c r="L28" s="57" t="s">
        <v>848</v>
      </c>
      <c r="M28" t="s">
        <v>468</v>
      </c>
      <c r="N28" t="s">
        <v>469</v>
      </c>
      <c r="O28" t="s">
        <v>470</v>
      </c>
      <c r="Q28" s="110">
        <v>2</v>
      </c>
      <c r="R28" s="110">
        <v>5</v>
      </c>
      <c r="S28" s="110">
        <v>1</v>
      </c>
    </row>
    <row r="29" spans="2:19" s="57" customFormat="1" x14ac:dyDescent="0.2">
      <c r="B29" s="57" t="s">
        <v>798</v>
      </c>
      <c r="C29" s="68" t="s">
        <v>748</v>
      </c>
      <c r="D29" s="55" t="str">
        <f>VLOOKUP(VLOOKUP(Q29&amp;"_"&amp;R29,挑战模式!$A$3:$Z$52,2+5*S29,FALSE),'⚪设计'!$B$85:$H$114,2,FALSE)</f>
        <v>ResUnit_BianFu1</v>
      </c>
      <c r="E29" s="55">
        <f>VLOOKUP(VLOOKUP(Q29&amp;"_"&amp;R29,挑战模式!$A$3:$Z$52,2+5*S29,FALSE),'⚪设计'!$B$85:$H$114,6,FALSE)*VLOOKUP(Q29&amp;"_"&amp;R29,挑战模式!$A$3:$Z$52,5,FALSE)</f>
        <v>3</v>
      </c>
      <c r="F29">
        <v>400</v>
      </c>
      <c r="G29" t="b">
        <v>1</v>
      </c>
      <c r="H29">
        <v>1</v>
      </c>
      <c r="I29">
        <v>1</v>
      </c>
      <c r="J29">
        <v>0.25</v>
      </c>
      <c r="K29" s="55">
        <f>VLOOKUP(VLOOKUP(Q29&amp;"_"&amp;R29,挑战模式!$A$3:$Z$52,2+5*S29,FALSE),'⚪设计'!$B$85:$H$114,7,FALSE)</f>
        <v>0.5</v>
      </c>
      <c r="L29" s="57" t="s">
        <v>849</v>
      </c>
      <c r="M29" t="s">
        <v>468</v>
      </c>
      <c r="N29" t="s">
        <v>469</v>
      </c>
      <c r="O29" t="s">
        <v>470</v>
      </c>
      <c r="Q29" s="110">
        <v>2</v>
      </c>
      <c r="R29" s="110">
        <v>5</v>
      </c>
      <c r="S29" s="110">
        <v>2</v>
      </c>
    </row>
    <row r="30" spans="2:19" s="57" customFormat="1" x14ac:dyDescent="0.2">
      <c r="B30" s="57" t="s">
        <v>799</v>
      </c>
      <c r="C30" s="68" t="s">
        <v>749</v>
      </c>
      <c r="D30" s="55" t="str">
        <f>VLOOKUP(VLOOKUP(Q30&amp;"_"&amp;R30,挑战模式!$A$3:$Z$52,2+5*S30,FALSE),'⚪设计'!$B$85:$H$114,2,FALSE)</f>
        <v>ResUnit_MiFeng2</v>
      </c>
      <c r="E30" s="55">
        <f>VLOOKUP(VLOOKUP(Q30&amp;"_"&amp;R30,挑战模式!$A$3:$Z$52,2+5*S30,FALSE),'⚪设计'!$B$85:$H$114,6,FALSE)*VLOOKUP(Q30&amp;"_"&amp;R30,挑战模式!$A$3:$Z$52,5,FALSE)</f>
        <v>3</v>
      </c>
      <c r="F30">
        <v>400</v>
      </c>
      <c r="G30" t="b">
        <v>1</v>
      </c>
      <c r="H30">
        <v>1</v>
      </c>
      <c r="I30">
        <v>1</v>
      </c>
      <c r="J30">
        <v>0.25</v>
      </c>
      <c r="K30" s="55">
        <f>VLOOKUP(VLOOKUP(Q30&amp;"_"&amp;R30,挑战模式!$A$3:$Z$52,2+5*S30,FALSE),'⚪设计'!$B$85:$H$114,7,FALSE)</f>
        <v>0.8</v>
      </c>
      <c r="L30" s="57" t="s">
        <v>850</v>
      </c>
      <c r="M30" t="s">
        <v>468</v>
      </c>
      <c r="N30" t="s">
        <v>469</v>
      </c>
      <c r="O30" t="s">
        <v>470</v>
      </c>
      <c r="Q30" s="110">
        <v>2</v>
      </c>
      <c r="R30" s="110">
        <v>5</v>
      </c>
      <c r="S30" s="110">
        <v>3</v>
      </c>
    </row>
    <row r="31" spans="2:19" s="57" customFormat="1" x14ac:dyDescent="0.2">
      <c r="B31" s="57" t="s">
        <v>882</v>
      </c>
      <c r="C31" s="68" t="s">
        <v>884</v>
      </c>
      <c r="D31" s="55" t="str">
        <f>VLOOKUP(VLOOKUP(Q31&amp;"_"&amp;R31,挑战模式!$A$3:$Z$52,2+5*S31,FALSE),'⚪设计'!$B$85:$H$114,2,FALSE)</f>
        <v>ResUnit_ZhongZi1</v>
      </c>
      <c r="E31" s="55">
        <f>VLOOKUP(VLOOKUP(Q31&amp;"_"&amp;R31,挑战模式!$A$3:$Z$52,2+5*S31,FALSE),'⚪设计'!$B$85:$H$114,6,FALSE)*VLOOKUP(Q31&amp;"_"&amp;R31,挑战模式!$A$3:$Z$52,5,FALSE)</f>
        <v>3</v>
      </c>
      <c r="F31">
        <v>400</v>
      </c>
      <c r="G31" t="b">
        <v>1</v>
      </c>
      <c r="H31">
        <v>1</v>
      </c>
      <c r="I31">
        <v>1</v>
      </c>
      <c r="J31">
        <v>0.25</v>
      </c>
      <c r="K31" s="55">
        <f>VLOOKUP(VLOOKUP(Q31&amp;"_"&amp;R31,挑战模式!$A$3:$Z$52,2+5*S31,FALSE),'⚪设计'!$B$85:$H$114,7,FALSE)</f>
        <v>1</v>
      </c>
      <c r="L31" s="57" t="s">
        <v>883</v>
      </c>
      <c r="M31" t="s">
        <v>468</v>
      </c>
      <c r="N31" t="s">
        <v>469</v>
      </c>
      <c r="O31" t="s">
        <v>470</v>
      </c>
      <c r="P31" s="57" t="s">
        <v>885</v>
      </c>
      <c r="Q31" s="110">
        <v>3</v>
      </c>
      <c r="R31" s="110">
        <v>1</v>
      </c>
      <c r="S31" s="110">
        <v>1</v>
      </c>
    </row>
    <row r="32" spans="2:19" s="57" customFormat="1" x14ac:dyDescent="0.2">
      <c r="B32" s="57" t="s">
        <v>800</v>
      </c>
      <c r="C32" s="68" t="s">
        <v>750</v>
      </c>
      <c r="D32" s="55" t="str">
        <f>VLOOKUP(VLOOKUP(Q32&amp;"_"&amp;R32,挑战模式!$A$3:$Z$52,2+5*S32,FALSE),'⚪设计'!$B$85:$H$114,2,FALSE)</f>
        <v>ResUnit_ZhongZi1</v>
      </c>
      <c r="E32" s="55">
        <f>VLOOKUP(VLOOKUP(Q32&amp;"_"&amp;R32,挑战模式!$A$3:$Z$52,2+5*S32,FALSE),'⚪设计'!$B$85:$H$114,6,FALSE)*VLOOKUP(Q32&amp;"_"&amp;R32,挑战模式!$A$3:$Z$52,5,FALSE)</f>
        <v>3</v>
      </c>
      <c r="F32">
        <v>400</v>
      </c>
      <c r="G32" t="b">
        <v>1</v>
      </c>
      <c r="H32">
        <v>1</v>
      </c>
      <c r="I32">
        <v>1</v>
      </c>
      <c r="J32">
        <v>0.25</v>
      </c>
      <c r="K32" s="55">
        <f>VLOOKUP(VLOOKUP(Q32&amp;"_"&amp;R32,挑战模式!$A$3:$Z$52,2+5*S32,FALSE),'⚪设计'!$B$85:$H$114,7,FALSE)</f>
        <v>1</v>
      </c>
      <c r="L32" s="57" t="s">
        <v>851</v>
      </c>
      <c r="M32" t="s">
        <v>468</v>
      </c>
      <c r="N32" t="s">
        <v>469</v>
      </c>
      <c r="O32" t="s">
        <v>470</v>
      </c>
      <c r="P32" s="57" t="s">
        <v>886</v>
      </c>
      <c r="Q32" s="110">
        <v>3</v>
      </c>
      <c r="R32" s="110">
        <v>2</v>
      </c>
      <c r="S32" s="110">
        <v>1</v>
      </c>
    </row>
    <row r="33" spans="2:19" s="57" customFormat="1" x14ac:dyDescent="0.2">
      <c r="B33" s="57" t="s">
        <v>801</v>
      </c>
      <c r="C33" s="68" t="s">
        <v>751</v>
      </c>
      <c r="D33" s="55" t="str">
        <f>VLOOKUP(VLOOKUP(Q33&amp;"_"&amp;R33,挑战模式!$A$3:$Z$52,2+5*S33,FALSE),'⚪设计'!$B$85:$H$114,2,FALSE)</f>
        <v>ResUnit_MiFeng2</v>
      </c>
      <c r="E33" s="55">
        <f>VLOOKUP(VLOOKUP(Q33&amp;"_"&amp;R33,挑战模式!$A$3:$Z$52,2+5*S33,FALSE),'⚪设计'!$B$85:$H$114,6,FALSE)*VLOOKUP(Q33&amp;"_"&amp;R33,挑战模式!$A$3:$Z$52,5,FALSE)</f>
        <v>3</v>
      </c>
      <c r="F33">
        <v>400</v>
      </c>
      <c r="G33" t="b">
        <v>1</v>
      </c>
      <c r="H33">
        <v>1</v>
      </c>
      <c r="I33">
        <v>1</v>
      </c>
      <c r="J33">
        <v>0.25</v>
      </c>
      <c r="K33" s="55">
        <f>VLOOKUP(VLOOKUP(Q33&amp;"_"&amp;R33,挑战模式!$A$3:$Z$52,2+5*S33,FALSE),'⚪设计'!$B$85:$H$114,7,FALSE)</f>
        <v>0.8</v>
      </c>
      <c r="L33" s="57" t="s">
        <v>852</v>
      </c>
      <c r="M33" t="s">
        <v>468</v>
      </c>
      <c r="N33" t="s">
        <v>469</v>
      </c>
      <c r="O33" t="s">
        <v>470</v>
      </c>
      <c r="Q33" s="110">
        <v>3</v>
      </c>
      <c r="R33" s="110">
        <v>2</v>
      </c>
      <c r="S33" s="110">
        <v>2</v>
      </c>
    </row>
    <row r="34" spans="2:19" s="57" customFormat="1" x14ac:dyDescent="0.2">
      <c r="B34" s="57" t="s">
        <v>802</v>
      </c>
      <c r="C34" s="68" t="s">
        <v>752</v>
      </c>
      <c r="D34" s="55" t="str">
        <f>VLOOKUP(VLOOKUP(Q34&amp;"_"&amp;R34,挑战模式!$A$3:$Z$52,2+5*S34,FALSE),'⚪设计'!$B$85:$H$114,2,FALSE)</f>
        <v>ResUnit_ZhongZi1</v>
      </c>
      <c r="E34" s="55">
        <f>VLOOKUP(VLOOKUP(Q34&amp;"_"&amp;R34,挑战模式!$A$3:$Z$52,2+5*S34,FALSE),'⚪设计'!$B$85:$H$114,6,FALSE)*VLOOKUP(Q34&amp;"_"&amp;R34,挑战模式!$A$3:$Z$52,5,FALSE)</f>
        <v>3</v>
      </c>
      <c r="F34">
        <v>400</v>
      </c>
      <c r="G34" t="b">
        <v>1</v>
      </c>
      <c r="H34">
        <v>1</v>
      </c>
      <c r="I34">
        <v>1</v>
      </c>
      <c r="J34">
        <v>0.25</v>
      </c>
      <c r="K34" s="55">
        <f>VLOOKUP(VLOOKUP(Q34&amp;"_"&amp;R34,挑战模式!$A$3:$Z$52,2+5*S34,FALSE),'⚪设计'!$B$85:$H$114,7,FALSE)</f>
        <v>1</v>
      </c>
      <c r="L34" s="57" t="s">
        <v>853</v>
      </c>
      <c r="M34" t="s">
        <v>468</v>
      </c>
      <c r="N34" t="s">
        <v>469</v>
      </c>
      <c r="O34" t="s">
        <v>470</v>
      </c>
      <c r="P34" s="57" t="s">
        <v>887</v>
      </c>
      <c r="Q34" s="110">
        <v>3</v>
      </c>
      <c r="R34" s="110">
        <v>3</v>
      </c>
      <c r="S34" s="110">
        <v>1</v>
      </c>
    </row>
    <row r="35" spans="2:19" s="57" customFormat="1" x14ac:dyDescent="0.2">
      <c r="B35" s="57" t="s">
        <v>803</v>
      </c>
      <c r="C35" s="68" t="s">
        <v>753</v>
      </c>
      <c r="D35" s="55" t="str">
        <f>VLOOKUP(VLOOKUP(Q35&amp;"_"&amp;R35,挑战模式!$A$3:$Z$52,2+5*S35,FALSE),'⚪设计'!$B$85:$H$114,2,FALSE)</f>
        <v>ResUnit_BianFu1</v>
      </c>
      <c r="E35" s="55">
        <f>VLOOKUP(VLOOKUP(Q35&amp;"_"&amp;R35,挑战模式!$A$3:$Z$52,2+5*S35,FALSE),'⚪设计'!$B$85:$H$114,6,FALSE)*VLOOKUP(Q35&amp;"_"&amp;R35,挑战模式!$A$3:$Z$52,5,FALSE)</f>
        <v>3</v>
      </c>
      <c r="F35">
        <v>400</v>
      </c>
      <c r="G35" t="b">
        <v>1</v>
      </c>
      <c r="H35">
        <v>1</v>
      </c>
      <c r="I35">
        <v>1</v>
      </c>
      <c r="J35">
        <v>0.25</v>
      </c>
      <c r="K35" s="55">
        <f>VLOOKUP(VLOOKUP(Q35&amp;"_"&amp;R35,挑战模式!$A$3:$Z$52,2+5*S35,FALSE),'⚪设计'!$B$85:$H$114,7,FALSE)</f>
        <v>0.5</v>
      </c>
      <c r="L35" s="57" t="s">
        <v>854</v>
      </c>
      <c r="M35" t="s">
        <v>468</v>
      </c>
      <c r="N35" t="s">
        <v>469</v>
      </c>
      <c r="O35" t="s">
        <v>470</v>
      </c>
      <c r="Q35" s="110">
        <v>3</v>
      </c>
      <c r="R35" s="110">
        <v>3</v>
      </c>
      <c r="S35" s="110">
        <v>2</v>
      </c>
    </row>
    <row r="36" spans="2:19" s="57" customFormat="1" x14ac:dyDescent="0.2">
      <c r="B36" s="57" t="s">
        <v>804</v>
      </c>
      <c r="C36" s="68" t="s">
        <v>754</v>
      </c>
      <c r="D36" s="55" t="str">
        <f>VLOOKUP(VLOOKUP(Q36&amp;"_"&amp;R36,挑战模式!$A$3:$Z$52,2+5*S36,FALSE),'⚪设计'!$B$85:$H$114,2,FALSE)</f>
        <v>ResUnit_ZhongZi1</v>
      </c>
      <c r="E36" s="55">
        <f>VLOOKUP(VLOOKUP(Q36&amp;"_"&amp;R36,挑战模式!$A$3:$Z$52,2+5*S36,FALSE),'⚪设计'!$B$85:$H$114,6,FALSE)*VLOOKUP(Q36&amp;"_"&amp;R36,挑战模式!$A$3:$Z$52,5,FALSE)</f>
        <v>3</v>
      </c>
      <c r="F36">
        <v>400</v>
      </c>
      <c r="G36" t="b">
        <v>1</v>
      </c>
      <c r="H36">
        <v>1</v>
      </c>
      <c r="I36">
        <v>1</v>
      </c>
      <c r="J36">
        <v>0.25</v>
      </c>
      <c r="K36" s="55">
        <f>VLOOKUP(VLOOKUP(Q36&amp;"_"&amp;R36,挑战模式!$A$3:$Z$52,2+5*S36,FALSE),'⚪设计'!$B$85:$H$114,7,FALSE)</f>
        <v>1</v>
      </c>
      <c r="L36" s="57" t="s">
        <v>855</v>
      </c>
      <c r="M36" t="s">
        <v>468</v>
      </c>
      <c r="N36" t="s">
        <v>469</v>
      </c>
      <c r="O36" t="s">
        <v>470</v>
      </c>
      <c r="P36" s="57" t="s">
        <v>888</v>
      </c>
      <c r="Q36" s="110">
        <v>3</v>
      </c>
      <c r="R36" s="110">
        <v>4</v>
      </c>
      <c r="S36" s="110">
        <v>1</v>
      </c>
    </row>
    <row r="37" spans="2:19" s="57" customFormat="1" x14ac:dyDescent="0.2">
      <c r="B37" s="57" t="s">
        <v>805</v>
      </c>
      <c r="C37" s="68" t="s">
        <v>755</v>
      </c>
      <c r="D37" s="55" t="str">
        <f>VLOOKUP(VLOOKUP(Q37&amp;"_"&amp;R37,挑战模式!$A$3:$Z$52,2+5*S37,FALSE),'⚪设计'!$B$85:$H$114,2,FALSE)</f>
        <v>ResUnit_BianFu1</v>
      </c>
      <c r="E37" s="55">
        <f>VLOOKUP(VLOOKUP(Q37&amp;"_"&amp;R37,挑战模式!$A$3:$Z$52,2+5*S37,FALSE),'⚪设计'!$B$85:$H$114,6,FALSE)*VLOOKUP(Q37&amp;"_"&amp;R37,挑战模式!$A$3:$Z$52,5,FALSE)</f>
        <v>3</v>
      </c>
      <c r="F37">
        <v>400</v>
      </c>
      <c r="G37" t="b">
        <v>1</v>
      </c>
      <c r="H37">
        <v>1</v>
      </c>
      <c r="I37">
        <v>1</v>
      </c>
      <c r="J37">
        <v>0.25</v>
      </c>
      <c r="K37" s="55">
        <f>VLOOKUP(VLOOKUP(Q37&amp;"_"&amp;R37,挑战模式!$A$3:$Z$52,2+5*S37,FALSE),'⚪设计'!$B$85:$H$114,7,FALSE)</f>
        <v>0.5</v>
      </c>
      <c r="L37" s="57" t="s">
        <v>856</v>
      </c>
      <c r="M37" t="s">
        <v>468</v>
      </c>
      <c r="N37" t="s">
        <v>469</v>
      </c>
      <c r="O37" t="s">
        <v>470</v>
      </c>
      <c r="Q37" s="110">
        <v>3</v>
      </c>
      <c r="R37" s="110">
        <v>4</v>
      </c>
      <c r="S37" s="110">
        <v>2</v>
      </c>
    </row>
    <row r="38" spans="2:19" s="57" customFormat="1" x14ac:dyDescent="0.2">
      <c r="B38" s="57" t="s">
        <v>806</v>
      </c>
      <c r="C38" s="68" t="s">
        <v>756</v>
      </c>
      <c r="D38" s="55" t="str">
        <f>VLOOKUP(VLOOKUP(Q38&amp;"_"&amp;R38,挑战模式!$A$3:$Z$52,2+5*S38,FALSE),'⚪设计'!$B$85:$H$114,2,FALSE)</f>
        <v>ResUnit_ZhiZhu1</v>
      </c>
      <c r="E38" s="55">
        <f>VLOOKUP(VLOOKUP(Q38&amp;"_"&amp;R38,挑战模式!$A$3:$Z$52,2+5*S38,FALSE),'⚪设计'!$B$85:$H$114,6,FALSE)*VLOOKUP(Q38&amp;"_"&amp;R38,挑战模式!$A$3:$Z$52,5,FALSE)</f>
        <v>4.5</v>
      </c>
      <c r="F38">
        <v>400</v>
      </c>
      <c r="G38" t="b">
        <v>1</v>
      </c>
      <c r="H38">
        <v>1</v>
      </c>
      <c r="I38">
        <v>1</v>
      </c>
      <c r="J38">
        <v>0.25</v>
      </c>
      <c r="K38" s="55">
        <f>VLOOKUP(VLOOKUP(Q38&amp;"_"&amp;R38,挑战模式!$A$3:$Z$52,2+5*S38,FALSE),'⚪设计'!$B$85:$H$114,7,FALSE)</f>
        <v>1</v>
      </c>
      <c r="L38" s="57" t="s">
        <v>857</v>
      </c>
      <c r="M38" t="s">
        <v>468</v>
      </c>
      <c r="N38" t="s">
        <v>469</v>
      </c>
      <c r="O38" t="s">
        <v>470</v>
      </c>
      <c r="Q38" s="110">
        <v>3</v>
      </c>
      <c r="R38" s="110">
        <v>4</v>
      </c>
      <c r="S38" s="110">
        <v>3</v>
      </c>
    </row>
    <row r="39" spans="2:19" s="57" customFormat="1" x14ac:dyDescent="0.2">
      <c r="B39" s="57" t="s">
        <v>807</v>
      </c>
      <c r="C39" s="68" t="s">
        <v>757</v>
      </c>
      <c r="D39" s="55" t="str">
        <f>VLOOKUP(VLOOKUP(Q39&amp;"_"&amp;R39,挑战模式!$A$3:$Z$52,2+5*S39,FALSE),'⚪设计'!$B$85:$H$114,2,FALSE)</f>
        <v>ResUnit_ZhongZi1</v>
      </c>
      <c r="E39" s="55">
        <f>VLOOKUP(VLOOKUP(Q39&amp;"_"&amp;R39,挑战模式!$A$3:$Z$52,2+5*S39,FALSE),'⚪设计'!$B$85:$H$114,6,FALSE)*VLOOKUP(Q39&amp;"_"&amp;R39,挑战模式!$A$3:$Z$52,5,FALSE)</f>
        <v>3</v>
      </c>
      <c r="F39">
        <v>400</v>
      </c>
      <c r="G39" t="b">
        <v>1</v>
      </c>
      <c r="H39">
        <v>1</v>
      </c>
      <c r="I39">
        <v>1</v>
      </c>
      <c r="J39">
        <v>0.25</v>
      </c>
      <c r="K39" s="55">
        <f>VLOOKUP(VLOOKUP(Q39&amp;"_"&amp;R39,挑战模式!$A$3:$Z$52,2+5*S39,FALSE),'⚪设计'!$B$85:$H$114,7,FALSE)</f>
        <v>1</v>
      </c>
      <c r="L39" s="57" t="s">
        <v>858</v>
      </c>
      <c r="M39" t="s">
        <v>468</v>
      </c>
      <c r="N39" t="s">
        <v>469</v>
      </c>
      <c r="O39" t="s">
        <v>470</v>
      </c>
      <c r="P39" s="57" t="s">
        <v>889</v>
      </c>
      <c r="Q39" s="110">
        <v>3</v>
      </c>
      <c r="R39" s="110">
        <v>5</v>
      </c>
      <c r="S39" s="110">
        <v>1</v>
      </c>
    </row>
    <row r="40" spans="2:19" s="57" customFormat="1" x14ac:dyDescent="0.2">
      <c r="B40" s="57" t="s">
        <v>808</v>
      </c>
      <c r="C40" s="68" t="s">
        <v>758</v>
      </c>
      <c r="D40" s="55" t="str">
        <f>VLOOKUP(VLOOKUP(Q40&amp;"_"&amp;R40,挑战模式!$A$3:$Z$52,2+5*S40,FALSE),'⚪设计'!$B$85:$H$114,2,FALSE)</f>
        <v>ResUnit_MiFeng2</v>
      </c>
      <c r="E40" s="55">
        <f>VLOOKUP(VLOOKUP(Q40&amp;"_"&amp;R40,挑战模式!$A$3:$Z$52,2+5*S40,FALSE),'⚪设计'!$B$85:$H$114,6,FALSE)*VLOOKUP(Q40&amp;"_"&amp;R40,挑战模式!$A$3:$Z$52,5,FALSE)</f>
        <v>3</v>
      </c>
      <c r="F40">
        <v>400</v>
      </c>
      <c r="G40" t="b">
        <v>1</v>
      </c>
      <c r="H40">
        <v>1</v>
      </c>
      <c r="I40">
        <v>1</v>
      </c>
      <c r="J40">
        <v>0.25</v>
      </c>
      <c r="K40" s="55">
        <f>VLOOKUP(VLOOKUP(Q40&amp;"_"&amp;R40,挑战模式!$A$3:$Z$52,2+5*S40,FALSE),'⚪设计'!$B$85:$H$114,7,FALSE)</f>
        <v>0.8</v>
      </c>
      <c r="L40" s="57" t="s">
        <v>859</v>
      </c>
      <c r="M40" t="s">
        <v>468</v>
      </c>
      <c r="N40" t="s">
        <v>469</v>
      </c>
      <c r="O40" t="s">
        <v>470</v>
      </c>
      <c r="Q40" s="110">
        <v>3</v>
      </c>
      <c r="R40" s="110">
        <v>5</v>
      </c>
      <c r="S40" s="110">
        <v>2</v>
      </c>
    </row>
    <row r="41" spans="2:19" s="57" customFormat="1" x14ac:dyDescent="0.2">
      <c r="B41" s="57" t="s">
        <v>809</v>
      </c>
      <c r="C41" s="68" t="s">
        <v>759</v>
      </c>
      <c r="D41" s="55" t="str">
        <f>VLOOKUP(VLOOKUP(Q41&amp;"_"&amp;R41,挑战模式!$A$3:$Z$52,2+5*S41,FALSE),'⚪设计'!$B$85:$H$114,2,FALSE)</f>
        <v>ResUnit_ZhiZhu1</v>
      </c>
      <c r="E41" s="55">
        <f>VLOOKUP(VLOOKUP(Q41&amp;"_"&amp;R41,挑战模式!$A$3:$Z$52,2+5*S41,FALSE),'⚪设计'!$B$85:$H$114,6,FALSE)*VLOOKUP(Q41&amp;"_"&amp;R41,挑战模式!$A$3:$Z$52,5,FALSE)</f>
        <v>4.5</v>
      </c>
      <c r="F41">
        <v>400</v>
      </c>
      <c r="G41" t="b">
        <v>1</v>
      </c>
      <c r="H41">
        <v>1</v>
      </c>
      <c r="I41">
        <v>1</v>
      </c>
      <c r="J41">
        <v>0.25</v>
      </c>
      <c r="K41" s="55">
        <f>VLOOKUP(VLOOKUP(Q41&amp;"_"&amp;R41,挑战模式!$A$3:$Z$52,2+5*S41,FALSE),'⚪设计'!$B$85:$H$114,7,FALSE)</f>
        <v>1</v>
      </c>
      <c r="L41" s="57" t="s">
        <v>860</v>
      </c>
      <c r="M41" t="s">
        <v>468</v>
      </c>
      <c r="N41" t="s">
        <v>469</v>
      </c>
      <c r="O41" t="s">
        <v>470</v>
      </c>
      <c r="Q41" s="110">
        <v>3</v>
      </c>
      <c r="R41" s="110">
        <v>5</v>
      </c>
      <c r="S41" s="110">
        <v>3</v>
      </c>
    </row>
    <row r="42" spans="2:19" s="57" customFormat="1" x14ac:dyDescent="0.2">
      <c r="B42" s="57" t="s">
        <v>810</v>
      </c>
      <c r="C42" s="68" t="s">
        <v>760</v>
      </c>
      <c r="D42" s="55" t="str">
        <f>VLOOKUP(VLOOKUP(Q42&amp;"_"&amp;R42,挑战模式!$A$3:$Z$52,2+5*S42,FALSE),'⚪设计'!$B$85:$H$114,2,FALSE)</f>
        <v>ResUnit_Gui1</v>
      </c>
      <c r="E42" s="55">
        <f>VLOOKUP(VLOOKUP(Q42&amp;"_"&amp;R42,挑战模式!$A$3:$Z$52,2+5*S42,FALSE),'⚪设计'!$B$85:$H$114,6,FALSE)*VLOOKUP(Q42&amp;"_"&amp;R42,挑战模式!$A$3:$Z$52,5,FALSE)</f>
        <v>3</v>
      </c>
      <c r="F42">
        <v>400</v>
      </c>
      <c r="G42" t="b">
        <v>1</v>
      </c>
      <c r="H42">
        <v>1</v>
      </c>
      <c r="I42">
        <v>1</v>
      </c>
      <c r="J42">
        <v>0.25</v>
      </c>
      <c r="K42" s="55">
        <f>VLOOKUP(VLOOKUP(Q42&amp;"_"&amp;R42,挑战模式!$A$3:$Z$52,2+5*S42,FALSE),'⚪设计'!$B$85:$H$114,7,FALSE)</f>
        <v>1</v>
      </c>
      <c r="L42" s="57" t="s">
        <v>861</v>
      </c>
      <c r="M42" t="s">
        <v>468</v>
      </c>
      <c r="N42" t="s">
        <v>469</v>
      </c>
      <c r="O42" t="s">
        <v>470</v>
      </c>
      <c r="P42" s="57" t="s">
        <v>912</v>
      </c>
      <c r="Q42" s="110">
        <v>4</v>
      </c>
      <c r="R42" s="110">
        <v>1</v>
      </c>
      <c r="S42" s="110">
        <v>1</v>
      </c>
    </row>
    <row r="43" spans="2:19" s="57" customFormat="1" x14ac:dyDescent="0.2">
      <c r="B43" s="57" t="s">
        <v>811</v>
      </c>
      <c r="C43" s="68" t="s">
        <v>761</v>
      </c>
      <c r="D43" s="55" t="str">
        <f>VLOOKUP(VLOOKUP(Q43&amp;"_"&amp;R43,挑战模式!$A$3:$Z$52,2+5*S43,FALSE),'⚪设计'!$B$85:$H$114,2,FALSE)</f>
        <v>ResUnit_Gui1</v>
      </c>
      <c r="E43" s="55">
        <f>VLOOKUP(VLOOKUP(Q43&amp;"_"&amp;R43,挑战模式!$A$3:$Z$52,2+5*S43,FALSE),'⚪设计'!$B$85:$H$114,6,FALSE)*VLOOKUP(Q43&amp;"_"&amp;R43,挑战模式!$A$3:$Z$52,5,FALSE)</f>
        <v>3</v>
      </c>
      <c r="F43">
        <v>400</v>
      </c>
      <c r="G43" t="b">
        <v>1</v>
      </c>
      <c r="H43">
        <v>1</v>
      </c>
      <c r="I43">
        <v>1</v>
      </c>
      <c r="J43">
        <v>0.25</v>
      </c>
      <c r="K43" s="55">
        <f>VLOOKUP(VLOOKUP(Q43&amp;"_"&amp;R43,挑战模式!$A$3:$Z$52,2+5*S43,FALSE),'⚪设计'!$B$85:$H$114,7,FALSE)</f>
        <v>1</v>
      </c>
      <c r="L43" s="57" t="s">
        <v>862</v>
      </c>
      <c r="M43" t="s">
        <v>468</v>
      </c>
      <c r="N43" t="s">
        <v>469</v>
      </c>
      <c r="O43" t="s">
        <v>470</v>
      </c>
      <c r="P43" s="57" t="s">
        <v>913</v>
      </c>
      <c r="Q43" s="110">
        <v>4</v>
      </c>
      <c r="R43" s="110">
        <v>2</v>
      </c>
      <c r="S43" s="110">
        <v>1</v>
      </c>
    </row>
    <row r="44" spans="2:19" s="57" customFormat="1" x14ac:dyDescent="0.2">
      <c r="B44" s="57" t="s">
        <v>812</v>
      </c>
      <c r="C44" s="68" t="s">
        <v>762</v>
      </c>
      <c r="D44" s="55" t="str">
        <f>VLOOKUP(VLOOKUP(Q44&amp;"_"&amp;R44,挑战模式!$A$3:$Z$52,2+5*S44,FALSE),'⚪设计'!$B$85:$H$114,2,FALSE)</f>
        <v>ResUnit_MiFeng2</v>
      </c>
      <c r="E44" s="55">
        <f>VLOOKUP(VLOOKUP(Q44&amp;"_"&amp;R44,挑战模式!$A$3:$Z$52,2+5*S44,FALSE),'⚪设计'!$B$85:$H$114,6,FALSE)*VLOOKUP(Q44&amp;"_"&amp;R44,挑战模式!$A$3:$Z$52,5,FALSE)</f>
        <v>3</v>
      </c>
      <c r="F44">
        <v>400</v>
      </c>
      <c r="G44" t="b">
        <v>1</v>
      </c>
      <c r="H44">
        <v>1</v>
      </c>
      <c r="I44">
        <v>1</v>
      </c>
      <c r="J44">
        <v>0.25</v>
      </c>
      <c r="K44" s="55">
        <f>VLOOKUP(VLOOKUP(Q44&amp;"_"&amp;R44,挑战模式!$A$3:$Z$52,2+5*S44,FALSE),'⚪设计'!$B$85:$H$114,7,FALSE)</f>
        <v>0.8</v>
      </c>
      <c r="L44" s="57" t="s">
        <v>863</v>
      </c>
      <c r="M44" t="s">
        <v>468</v>
      </c>
      <c r="N44" t="s">
        <v>469</v>
      </c>
      <c r="O44" t="s">
        <v>470</v>
      </c>
      <c r="Q44" s="110">
        <v>4</v>
      </c>
      <c r="R44" s="110">
        <v>2</v>
      </c>
      <c r="S44" s="110">
        <v>2</v>
      </c>
    </row>
    <row r="45" spans="2:19" s="57" customFormat="1" x14ac:dyDescent="0.2">
      <c r="B45" s="57" t="s">
        <v>813</v>
      </c>
      <c r="C45" s="68" t="s">
        <v>763</v>
      </c>
      <c r="D45" s="55" t="str">
        <f>VLOOKUP(VLOOKUP(Q45&amp;"_"&amp;R45,挑战模式!$A$3:$Z$52,2+5*S45,FALSE),'⚪设计'!$B$85:$H$114,2,FALSE)</f>
        <v>ResUnit_Gui1</v>
      </c>
      <c r="E45" s="55">
        <f>VLOOKUP(VLOOKUP(Q45&amp;"_"&amp;R45,挑战模式!$A$3:$Z$52,2+5*S45,FALSE),'⚪设计'!$B$85:$H$114,6,FALSE)*VLOOKUP(Q45&amp;"_"&amp;R45,挑战模式!$A$3:$Z$52,5,FALSE)</f>
        <v>3</v>
      </c>
      <c r="F45">
        <v>400</v>
      </c>
      <c r="G45" t="b">
        <v>1</v>
      </c>
      <c r="H45">
        <v>1</v>
      </c>
      <c r="I45">
        <v>1</v>
      </c>
      <c r="J45">
        <v>0.25</v>
      </c>
      <c r="K45" s="55">
        <f>VLOOKUP(VLOOKUP(Q45&amp;"_"&amp;R45,挑战模式!$A$3:$Z$52,2+5*S45,FALSE),'⚪设计'!$B$85:$H$114,7,FALSE)</f>
        <v>1</v>
      </c>
      <c r="L45" s="57" t="s">
        <v>864</v>
      </c>
      <c r="M45" t="s">
        <v>468</v>
      </c>
      <c r="N45" t="s">
        <v>469</v>
      </c>
      <c r="O45" t="s">
        <v>470</v>
      </c>
      <c r="P45" s="57" t="s">
        <v>914</v>
      </c>
      <c r="Q45" s="110">
        <v>4</v>
      </c>
      <c r="R45" s="110">
        <v>3</v>
      </c>
      <c r="S45" s="110">
        <v>1</v>
      </c>
    </row>
    <row r="46" spans="2:19" s="57" customFormat="1" x14ac:dyDescent="0.2">
      <c r="B46" s="57" t="s">
        <v>814</v>
      </c>
      <c r="C46" s="68" t="s">
        <v>764</v>
      </c>
      <c r="D46" s="55" t="str">
        <f>VLOOKUP(VLOOKUP(Q46&amp;"_"&amp;R46,挑战模式!$A$3:$Z$52,2+5*S46,FALSE),'⚪设计'!$B$85:$H$114,2,FALSE)</f>
        <v>ResUnit_BianFu1</v>
      </c>
      <c r="E46" s="55">
        <f>VLOOKUP(VLOOKUP(Q46&amp;"_"&amp;R46,挑战模式!$A$3:$Z$52,2+5*S46,FALSE),'⚪设计'!$B$85:$H$114,6,FALSE)*VLOOKUP(Q46&amp;"_"&amp;R46,挑战模式!$A$3:$Z$52,5,FALSE)</f>
        <v>3</v>
      </c>
      <c r="F46">
        <v>400</v>
      </c>
      <c r="G46" t="b">
        <v>1</v>
      </c>
      <c r="H46">
        <v>1</v>
      </c>
      <c r="I46">
        <v>1</v>
      </c>
      <c r="J46">
        <v>0.25</v>
      </c>
      <c r="K46" s="55">
        <f>VLOOKUP(VLOOKUP(Q46&amp;"_"&amp;R46,挑战模式!$A$3:$Z$52,2+5*S46,FALSE),'⚪设计'!$B$85:$H$114,7,FALSE)</f>
        <v>0.5</v>
      </c>
      <c r="L46" s="57" t="s">
        <v>865</v>
      </c>
      <c r="M46" t="s">
        <v>468</v>
      </c>
      <c r="N46" t="s">
        <v>469</v>
      </c>
      <c r="O46" t="s">
        <v>470</v>
      </c>
      <c r="Q46" s="110">
        <v>4</v>
      </c>
      <c r="R46" s="110">
        <v>3</v>
      </c>
      <c r="S46" s="110">
        <v>2</v>
      </c>
    </row>
    <row r="47" spans="2:19" s="57" customFormat="1" x14ac:dyDescent="0.2">
      <c r="B47" s="57" t="s">
        <v>815</v>
      </c>
      <c r="C47" s="68" t="s">
        <v>765</v>
      </c>
      <c r="D47" s="55" t="str">
        <f>VLOOKUP(VLOOKUP(Q47&amp;"_"&amp;R47,挑战模式!$A$3:$Z$52,2+5*S47,FALSE),'⚪设计'!$B$85:$H$114,2,FALSE)</f>
        <v>ResUnit_Gui1</v>
      </c>
      <c r="E47" s="55">
        <f>VLOOKUP(VLOOKUP(Q47&amp;"_"&amp;R47,挑战模式!$A$3:$Z$52,2+5*S47,FALSE),'⚪设计'!$B$85:$H$114,6,FALSE)*VLOOKUP(Q47&amp;"_"&amp;R47,挑战模式!$A$3:$Z$52,5,FALSE)</f>
        <v>3</v>
      </c>
      <c r="F47">
        <v>400</v>
      </c>
      <c r="G47" t="b">
        <v>1</v>
      </c>
      <c r="H47">
        <v>1</v>
      </c>
      <c r="I47">
        <v>1</v>
      </c>
      <c r="J47">
        <v>0.25</v>
      </c>
      <c r="K47" s="55">
        <f>VLOOKUP(VLOOKUP(Q47&amp;"_"&amp;R47,挑战模式!$A$3:$Z$52,2+5*S47,FALSE),'⚪设计'!$B$85:$H$114,7,FALSE)</f>
        <v>1</v>
      </c>
      <c r="L47" s="57" t="s">
        <v>866</v>
      </c>
      <c r="M47" t="s">
        <v>468</v>
      </c>
      <c r="N47" t="s">
        <v>469</v>
      </c>
      <c r="O47" t="s">
        <v>470</v>
      </c>
      <c r="P47" s="57" t="s">
        <v>915</v>
      </c>
      <c r="Q47" s="110">
        <v>4</v>
      </c>
      <c r="R47" s="110">
        <v>4</v>
      </c>
      <c r="S47" s="110">
        <v>1</v>
      </c>
    </row>
    <row r="48" spans="2:19" s="57" customFormat="1" x14ac:dyDescent="0.2">
      <c r="B48" s="57" t="s">
        <v>816</v>
      </c>
      <c r="C48" s="68" t="s">
        <v>766</v>
      </c>
      <c r="D48" s="55" t="str">
        <f>VLOOKUP(VLOOKUP(Q48&amp;"_"&amp;R48,挑战模式!$A$3:$Z$52,2+5*S48,FALSE),'⚪设计'!$B$85:$H$114,2,FALSE)</f>
        <v>ResUnit_ZhiZhu1</v>
      </c>
      <c r="E48" s="55">
        <f>VLOOKUP(VLOOKUP(Q48&amp;"_"&amp;R48,挑战模式!$A$3:$Z$52,2+5*S48,FALSE),'⚪设计'!$B$85:$H$114,6,FALSE)*VLOOKUP(Q48&amp;"_"&amp;R48,挑战模式!$A$3:$Z$52,5,FALSE)</f>
        <v>4.5</v>
      </c>
      <c r="F48">
        <v>400</v>
      </c>
      <c r="G48" t="b">
        <v>1</v>
      </c>
      <c r="H48">
        <v>1</v>
      </c>
      <c r="I48">
        <v>1</v>
      </c>
      <c r="J48">
        <v>0.25</v>
      </c>
      <c r="K48" s="55">
        <f>VLOOKUP(VLOOKUP(Q48&amp;"_"&amp;R48,挑战模式!$A$3:$Z$52,2+5*S48,FALSE),'⚪设计'!$B$85:$H$114,7,FALSE)</f>
        <v>1</v>
      </c>
      <c r="L48" s="57" t="s">
        <v>867</v>
      </c>
      <c r="M48" t="s">
        <v>468</v>
      </c>
      <c r="N48" t="s">
        <v>469</v>
      </c>
      <c r="O48" t="s">
        <v>470</v>
      </c>
      <c r="Q48" s="110">
        <v>4</v>
      </c>
      <c r="R48" s="110">
        <v>4</v>
      </c>
      <c r="S48" s="110">
        <v>2</v>
      </c>
    </row>
    <row r="49" spans="2:19" s="57" customFormat="1" x14ac:dyDescent="0.2">
      <c r="B49" s="57" t="s">
        <v>817</v>
      </c>
      <c r="C49" s="68" t="s">
        <v>767</v>
      </c>
      <c r="D49" s="55" t="str">
        <f>VLOOKUP(VLOOKUP(Q49&amp;"_"&amp;R49,挑战模式!$A$3:$Z$52,2+5*S49,FALSE),'⚪设计'!$B$85:$H$114,2,FALSE)</f>
        <v>ResUnit_Gui1</v>
      </c>
      <c r="E49" s="55">
        <f>VLOOKUP(VLOOKUP(Q49&amp;"_"&amp;R49,挑战模式!$A$3:$Z$52,2+5*S49,FALSE),'⚪设计'!$B$85:$H$114,6,FALSE)*VLOOKUP(Q49&amp;"_"&amp;R49,挑战模式!$A$3:$Z$52,5,FALSE)</f>
        <v>3</v>
      </c>
      <c r="F49">
        <v>400</v>
      </c>
      <c r="G49" t="b">
        <v>1</v>
      </c>
      <c r="H49">
        <v>1</v>
      </c>
      <c r="I49">
        <v>1</v>
      </c>
      <c r="J49">
        <v>0.25</v>
      </c>
      <c r="K49" s="55">
        <f>VLOOKUP(VLOOKUP(Q49&amp;"_"&amp;R49,挑战模式!$A$3:$Z$52,2+5*S49,FALSE),'⚪设计'!$B$85:$H$114,7,FALSE)</f>
        <v>1</v>
      </c>
      <c r="L49" s="57" t="s">
        <v>868</v>
      </c>
      <c r="M49" t="s">
        <v>468</v>
      </c>
      <c r="N49" t="s">
        <v>469</v>
      </c>
      <c r="O49" t="s">
        <v>470</v>
      </c>
      <c r="P49" s="57" t="s">
        <v>916</v>
      </c>
      <c r="Q49" s="110">
        <v>4</v>
      </c>
      <c r="R49" s="110">
        <v>5</v>
      </c>
      <c r="S49" s="110">
        <v>1</v>
      </c>
    </row>
    <row r="50" spans="2:19" s="57" customFormat="1" x14ac:dyDescent="0.2">
      <c r="B50" s="57" t="s">
        <v>818</v>
      </c>
      <c r="C50" s="68" t="s">
        <v>768</v>
      </c>
      <c r="D50" s="55" t="str">
        <f>VLOOKUP(VLOOKUP(Q50&amp;"_"&amp;R50,挑战模式!$A$3:$Z$52,2+5*S50,FALSE),'⚪设计'!$B$85:$H$114,2,FALSE)</f>
        <v>ResUnit_ZhongZi1</v>
      </c>
      <c r="E50" s="55">
        <f>VLOOKUP(VLOOKUP(Q50&amp;"_"&amp;R50,挑战模式!$A$3:$Z$52,2+5*S50,FALSE),'⚪设计'!$B$85:$H$114,6,FALSE)*VLOOKUP(Q50&amp;"_"&amp;R50,挑战模式!$A$3:$Z$52,5,FALSE)</f>
        <v>3</v>
      </c>
      <c r="F50">
        <v>400</v>
      </c>
      <c r="G50" t="b">
        <v>1</v>
      </c>
      <c r="H50">
        <v>1</v>
      </c>
      <c r="I50">
        <v>1</v>
      </c>
      <c r="J50">
        <v>0.25</v>
      </c>
      <c r="K50" s="55">
        <f>VLOOKUP(VLOOKUP(Q50&amp;"_"&amp;R50,挑战模式!$A$3:$Z$52,2+5*S50,FALSE),'⚪设计'!$B$85:$H$114,7,FALSE)</f>
        <v>1</v>
      </c>
      <c r="L50" s="57" t="s">
        <v>869</v>
      </c>
      <c r="M50" t="s">
        <v>468</v>
      </c>
      <c r="N50" t="s">
        <v>469</v>
      </c>
      <c r="O50" t="s">
        <v>470</v>
      </c>
      <c r="P50" s="57" t="s">
        <v>890</v>
      </c>
      <c r="Q50" s="110">
        <v>4</v>
      </c>
      <c r="R50" s="110">
        <v>5</v>
      </c>
      <c r="S50" s="110">
        <v>2</v>
      </c>
    </row>
    <row r="51" spans="2:19" s="57" customFormat="1" x14ac:dyDescent="0.2">
      <c r="B51" s="57" t="s">
        <v>831</v>
      </c>
      <c r="C51" s="68" t="s">
        <v>769</v>
      </c>
      <c r="D51" s="55" t="str">
        <f>VLOOKUP(VLOOKUP(Q51&amp;"_"&amp;R51,挑战模式!$A$3:$Z$52,2+5*S51,FALSE),'⚪设计'!$B$85:$H$114,2,FALSE)</f>
        <v>ResUnit_Dan2</v>
      </c>
      <c r="E51" s="55">
        <f>VLOOKUP(VLOOKUP(Q51&amp;"_"&amp;R51,挑战模式!$A$3:$Z$52,2+5*S51,FALSE),'⚪设计'!$B$85:$H$114,6,FALSE)*VLOOKUP(Q51&amp;"_"&amp;R51,挑战模式!$A$3:$Z$52,5,FALSE)</f>
        <v>3</v>
      </c>
      <c r="F51">
        <v>400</v>
      </c>
      <c r="G51" t="b">
        <v>1</v>
      </c>
      <c r="H51">
        <v>1</v>
      </c>
      <c r="I51">
        <v>1</v>
      </c>
      <c r="J51">
        <v>0.25</v>
      </c>
      <c r="K51" s="55">
        <f>VLOOKUP(VLOOKUP(Q51&amp;"_"&amp;R51,挑战模式!$A$3:$Z$52,2+5*S51,FALSE),'⚪设计'!$B$85:$H$114,7,FALSE)</f>
        <v>1.3</v>
      </c>
      <c r="L51" s="57" t="s">
        <v>870</v>
      </c>
      <c r="M51" t="s">
        <v>468</v>
      </c>
      <c r="N51" t="s">
        <v>469</v>
      </c>
      <c r="O51" t="s">
        <v>470</v>
      </c>
      <c r="P51" s="57" t="s">
        <v>930</v>
      </c>
      <c r="Q51" s="110">
        <v>5</v>
      </c>
      <c r="R51" s="110">
        <v>1</v>
      </c>
      <c r="S51" s="110">
        <v>1</v>
      </c>
    </row>
    <row r="52" spans="2:19" s="57" customFormat="1" x14ac:dyDescent="0.2">
      <c r="B52" s="57" t="s">
        <v>819</v>
      </c>
      <c r="C52" s="68" t="s">
        <v>770</v>
      </c>
      <c r="D52" s="55" t="str">
        <f>VLOOKUP(VLOOKUP(Q52&amp;"_"&amp;R52,挑战模式!$A$3:$Z$52,2+5*S52,FALSE),'⚪设计'!$B$85:$H$114,2,FALSE)</f>
        <v>ResUnit_Dan2</v>
      </c>
      <c r="E52" s="55">
        <f>VLOOKUP(VLOOKUP(Q52&amp;"_"&amp;R52,挑战模式!$A$3:$Z$52,2+5*S52,FALSE),'⚪设计'!$B$85:$H$114,6,FALSE)*VLOOKUP(Q52&amp;"_"&amp;R52,挑战模式!$A$3:$Z$52,5,FALSE)</f>
        <v>3</v>
      </c>
      <c r="F52">
        <v>400</v>
      </c>
      <c r="G52" t="b">
        <v>1</v>
      </c>
      <c r="H52">
        <v>1</v>
      </c>
      <c r="I52">
        <v>1</v>
      </c>
      <c r="J52">
        <v>0.25</v>
      </c>
      <c r="K52" s="55">
        <f>VLOOKUP(VLOOKUP(Q52&amp;"_"&amp;R52,挑战模式!$A$3:$Z$52,2+5*S52,FALSE),'⚪设计'!$B$85:$H$114,7,FALSE)</f>
        <v>1.3</v>
      </c>
      <c r="L52" s="57" t="s">
        <v>871</v>
      </c>
      <c r="M52" t="s">
        <v>468</v>
      </c>
      <c r="N52" t="s">
        <v>469</v>
      </c>
      <c r="O52" t="s">
        <v>470</v>
      </c>
      <c r="P52" s="57" t="s">
        <v>931</v>
      </c>
      <c r="Q52" s="110">
        <v>5</v>
      </c>
      <c r="R52" s="110">
        <v>2</v>
      </c>
      <c r="S52" s="110">
        <v>1</v>
      </c>
    </row>
    <row r="53" spans="2:19" s="57" customFormat="1" x14ac:dyDescent="0.2">
      <c r="B53" s="57" t="s">
        <v>820</v>
      </c>
      <c r="C53" s="68" t="s">
        <v>771</v>
      </c>
      <c r="D53" s="55" t="str">
        <f>VLOOKUP(VLOOKUP(Q53&amp;"_"&amp;R53,挑战模式!$A$3:$Z$52,2+5*S53,FALSE),'⚪设计'!$B$85:$H$114,2,FALSE)</f>
        <v>ResUnit_BianFu1</v>
      </c>
      <c r="E53" s="55">
        <f>VLOOKUP(VLOOKUP(Q53&amp;"_"&amp;R53,挑战模式!$A$3:$Z$52,2+5*S53,FALSE),'⚪设计'!$B$85:$H$114,6,FALSE)*VLOOKUP(Q53&amp;"_"&amp;R53,挑战模式!$A$3:$Z$52,5,FALSE)</f>
        <v>3</v>
      </c>
      <c r="F53">
        <v>400</v>
      </c>
      <c r="G53" t="b">
        <v>1</v>
      </c>
      <c r="H53">
        <v>1</v>
      </c>
      <c r="I53">
        <v>1</v>
      </c>
      <c r="J53">
        <v>0.25</v>
      </c>
      <c r="K53" s="55">
        <f>VLOOKUP(VLOOKUP(Q53&amp;"_"&amp;R53,挑战模式!$A$3:$Z$52,2+5*S53,FALSE),'⚪设计'!$B$85:$H$114,7,FALSE)</f>
        <v>0.5</v>
      </c>
      <c r="L53" s="57" t="s">
        <v>872</v>
      </c>
      <c r="M53" t="s">
        <v>468</v>
      </c>
      <c r="N53" t="s">
        <v>469</v>
      </c>
      <c r="O53" t="s">
        <v>470</v>
      </c>
      <c r="Q53" s="110">
        <v>5</v>
      </c>
      <c r="R53" s="110">
        <v>2</v>
      </c>
      <c r="S53" s="110">
        <v>2</v>
      </c>
    </row>
    <row r="54" spans="2:19" s="57" customFormat="1" x14ac:dyDescent="0.2">
      <c r="B54" s="57" t="s">
        <v>821</v>
      </c>
      <c r="C54" s="68" t="s">
        <v>772</v>
      </c>
      <c r="D54" s="55" t="str">
        <f>VLOOKUP(VLOOKUP(Q54&amp;"_"&amp;R54,挑战模式!$A$3:$Z$52,2+5*S54,FALSE),'⚪设计'!$B$85:$H$114,2,FALSE)</f>
        <v>ResUnit_Dan2</v>
      </c>
      <c r="E54" s="55">
        <f>VLOOKUP(VLOOKUP(Q54&amp;"_"&amp;R54,挑战模式!$A$3:$Z$52,2+5*S54,FALSE),'⚪设计'!$B$85:$H$114,6,FALSE)*VLOOKUP(Q54&amp;"_"&amp;R54,挑战模式!$A$3:$Z$52,5,FALSE)</f>
        <v>3</v>
      </c>
      <c r="F54">
        <v>400</v>
      </c>
      <c r="G54" t="b">
        <v>1</v>
      </c>
      <c r="H54">
        <v>1</v>
      </c>
      <c r="I54">
        <v>1</v>
      </c>
      <c r="J54">
        <v>0.25</v>
      </c>
      <c r="K54" s="55">
        <f>VLOOKUP(VLOOKUP(Q54&amp;"_"&amp;R54,挑战模式!$A$3:$Z$52,2+5*S54,FALSE),'⚪设计'!$B$85:$H$114,7,FALSE)</f>
        <v>1.3</v>
      </c>
      <c r="L54" s="57" t="s">
        <v>873</v>
      </c>
      <c r="M54" t="s">
        <v>468</v>
      </c>
      <c r="N54" t="s">
        <v>469</v>
      </c>
      <c r="O54" t="s">
        <v>470</v>
      </c>
      <c r="P54" s="57" t="s">
        <v>932</v>
      </c>
      <c r="Q54" s="110">
        <v>5</v>
      </c>
      <c r="R54" s="110">
        <v>3</v>
      </c>
      <c r="S54" s="110">
        <v>1</v>
      </c>
    </row>
    <row r="55" spans="2:19" s="57" customFormat="1" x14ac:dyDescent="0.2">
      <c r="B55" s="57" t="s">
        <v>822</v>
      </c>
      <c r="C55" s="68" t="s">
        <v>773</v>
      </c>
      <c r="D55" s="55" t="str">
        <f>VLOOKUP(VLOOKUP(Q55&amp;"_"&amp;R55,挑战模式!$A$3:$Z$52,2+5*S55,FALSE),'⚪设计'!$B$85:$H$114,2,FALSE)</f>
        <v>ResUnit_ZhiZhu1</v>
      </c>
      <c r="E55" s="55">
        <f>VLOOKUP(VLOOKUP(Q55&amp;"_"&amp;R55,挑战模式!$A$3:$Z$52,2+5*S55,FALSE),'⚪设计'!$B$85:$H$114,6,FALSE)*VLOOKUP(Q55&amp;"_"&amp;R55,挑战模式!$A$3:$Z$52,5,FALSE)</f>
        <v>4.5</v>
      </c>
      <c r="F55">
        <v>400</v>
      </c>
      <c r="G55" t="b">
        <v>1</v>
      </c>
      <c r="H55">
        <v>1</v>
      </c>
      <c r="I55">
        <v>1</v>
      </c>
      <c r="J55">
        <v>0.25</v>
      </c>
      <c r="K55" s="55">
        <f>VLOOKUP(VLOOKUP(Q55&amp;"_"&amp;R55,挑战模式!$A$3:$Z$52,2+5*S55,FALSE),'⚪设计'!$B$85:$H$114,7,FALSE)</f>
        <v>1</v>
      </c>
      <c r="L55" s="57" t="s">
        <v>874</v>
      </c>
      <c r="M55" t="s">
        <v>468</v>
      </c>
      <c r="N55" t="s">
        <v>469</v>
      </c>
      <c r="O55" t="s">
        <v>470</v>
      </c>
      <c r="Q55" s="110">
        <v>5</v>
      </c>
      <c r="R55" s="110">
        <v>3</v>
      </c>
      <c r="S55" s="110">
        <v>2</v>
      </c>
    </row>
    <row r="56" spans="2:19" s="57" customFormat="1" x14ac:dyDescent="0.2">
      <c r="B56" s="57" t="s">
        <v>823</v>
      </c>
      <c r="C56" s="68" t="s">
        <v>774</v>
      </c>
      <c r="D56" s="55" t="str">
        <f>VLOOKUP(VLOOKUP(Q56&amp;"_"&amp;R56,挑战模式!$A$3:$Z$52,2+5*S56,FALSE),'⚪设计'!$B$85:$H$114,2,FALSE)</f>
        <v>ResUnit_Gui1</v>
      </c>
      <c r="E56" s="55">
        <f>VLOOKUP(VLOOKUP(Q56&amp;"_"&amp;R56,挑战模式!$A$3:$Z$52,2+5*S56,FALSE),'⚪设计'!$B$85:$H$114,6,FALSE)*VLOOKUP(Q56&amp;"_"&amp;R56,挑战模式!$A$3:$Z$52,5,FALSE)</f>
        <v>3</v>
      </c>
      <c r="F56">
        <v>400</v>
      </c>
      <c r="G56" t="b">
        <v>1</v>
      </c>
      <c r="H56">
        <v>1</v>
      </c>
      <c r="I56">
        <v>1</v>
      </c>
      <c r="J56">
        <v>0.25</v>
      </c>
      <c r="K56" s="55">
        <f>VLOOKUP(VLOOKUP(Q56&amp;"_"&amp;R56,挑战模式!$A$3:$Z$52,2+5*S56,FALSE),'⚪设计'!$B$85:$H$114,7,FALSE)</f>
        <v>1</v>
      </c>
      <c r="L56" s="57" t="s">
        <v>875</v>
      </c>
      <c r="M56" t="s">
        <v>468</v>
      </c>
      <c r="N56" t="s">
        <v>469</v>
      </c>
      <c r="O56" t="s">
        <v>470</v>
      </c>
      <c r="P56" s="57" t="s">
        <v>917</v>
      </c>
      <c r="Q56" s="110">
        <v>5</v>
      </c>
      <c r="R56" s="110">
        <v>3</v>
      </c>
      <c r="S56" s="110">
        <v>3</v>
      </c>
    </row>
    <row r="57" spans="2:19" s="57" customFormat="1" x14ac:dyDescent="0.2">
      <c r="B57" s="57" t="s">
        <v>824</v>
      </c>
      <c r="C57" s="68" t="s">
        <v>775</v>
      </c>
      <c r="D57" s="55" t="str">
        <f>VLOOKUP(VLOOKUP(Q57&amp;"_"&amp;R57,挑战模式!$A$3:$Z$52,2+5*S57,FALSE),'⚪设计'!$B$85:$H$114,2,FALSE)</f>
        <v>ResUnit_Dan2</v>
      </c>
      <c r="E57" s="55">
        <f>VLOOKUP(VLOOKUP(Q57&amp;"_"&amp;R57,挑战模式!$A$3:$Z$52,2+5*S57,FALSE),'⚪设计'!$B$85:$H$114,6,FALSE)*VLOOKUP(Q57&amp;"_"&amp;R57,挑战模式!$A$3:$Z$52,5,FALSE)</f>
        <v>3</v>
      </c>
      <c r="F57">
        <v>400</v>
      </c>
      <c r="G57" t="b">
        <v>1</v>
      </c>
      <c r="H57">
        <v>1</v>
      </c>
      <c r="I57">
        <v>1</v>
      </c>
      <c r="J57">
        <v>0.25</v>
      </c>
      <c r="K57" s="55">
        <f>VLOOKUP(VLOOKUP(Q57&amp;"_"&amp;R57,挑战模式!$A$3:$Z$52,2+5*S57,FALSE),'⚪设计'!$B$85:$H$114,7,FALSE)</f>
        <v>1.3</v>
      </c>
      <c r="L57" s="57" t="s">
        <v>876</v>
      </c>
      <c r="M57" t="s">
        <v>468</v>
      </c>
      <c r="N57" t="s">
        <v>469</v>
      </c>
      <c r="O57" t="s">
        <v>470</v>
      </c>
      <c r="P57" s="57" t="s">
        <v>933</v>
      </c>
      <c r="Q57" s="110">
        <v>5</v>
      </c>
      <c r="R57" s="110">
        <v>4</v>
      </c>
      <c r="S57" s="110">
        <v>1</v>
      </c>
    </row>
    <row r="58" spans="2:19" s="57" customFormat="1" x14ac:dyDescent="0.2">
      <c r="B58" s="57" t="s">
        <v>825</v>
      </c>
      <c r="C58" s="68" t="s">
        <v>776</v>
      </c>
      <c r="D58" s="55" t="str">
        <f>VLOOKUP(VLOOKUP(Q58&amp;"_"&amp;R58,挑战模式!$A$3:$Z$52,2+5*S58,FALSE),'⚪设计'!$B$85:$H$114,2,FALSE)</f>
        <v>ResUnit_Gui1</v>
      </c>
      <c r="E58" s="55">
        <f>VLOOKUP(VLOOKUP(Q58&amp;"_"&amp;R58,挑战模式!$A$3:$Z$52,2+5*S58,FALSE),'⚪设计'!$B$85:$H$114,6,FALSE)*VLOOKUP(Q58&amp;"_"&amp;R58,挑战模式!$A$3:$Z$52,5,FALSE)</f>
        <v>3</v>
      </c>
      <c r="F58">
        <v>400</v>
      </c>
      <c r="G58" t="b">
        <v>1</v>
      </c>
      <c r="H58">
        <v>1</v>
      </c>
      <c r="I58">
        <v>1</v>
      </c>
      <c r="J58">
        <v>0.25</v>
      </c>
      <c r="K58" s="55">
        <f>VLOOKUP(VLOOKUP(Q58&amp;"_"&amp;R58,挑战模式!$A$3:$Z$52,2+5*S58,FALSE),'⚪设计'!$B$85:$H$114,7,FALSE)</f>
        <v>1</v>
      </c>
      <c r="L58" s="57" t="s">
        <v>877</v>
      </c>
      <c r="M58" t="s">
        <v>468</v>
      </c>
      <c r="N58" t="s">
        <v>469</v>
      </c>
      <c r="O58" t="s">
        <v>470</v>
      </c>
      <c r="P58" s="57" t="s">
        <v>918</v>
      </c>
      <c r="Q58" s="110">
        <v>5</v>
      </c>
      <c r="R58" s="110">
        <v>4</v>
      </c>
      <c r="S58" s="110">
        <v>2</v>
      </c>
    </row>
    <row r="59" spans="2:19" s="57" customFormat="1" x14ac:dyDescent="0.2">
      <c r="B59" s="57" t="s">
        <v>826</v>
      </c>
      <c r="C59" s="68" t="s">
        <v>777</v>
      </c>
      <c r="D59" s="55" t="str">
        <f>VLOOKUP(VLOOKUP(Q59&amp;"_"&amp;R59,挑战模式!$A$3:$Z$52,2+5*S59,FALSE),'⚪设计'!$B$85:$H$114,2,FALSE)</f>
        <v>ResUnit_Dan2</v>
      </c>
      <c r="E59" s="55">
        <f>VLOOKUP(VLOOKUP(Q59&amp;"_"&amp;R59,挑战模式!$A$3:$Z$52,2+5*S59,FALSE),'⚪设计'!$B$85:$H$114,6,FALSE)*VLOOKUP(Q59&amp;"_"&amp;R59,挑战模式!$A$3:$Z$52,5,FALSE)</f>
        <v>3</v>
      </c>
      <c r="F59">
        <v>400</v>
      </c>
      <c r="G59" t="b">
        <v>1</v>
      </c>
      <c r="H59">
        <v>1</v>
      </c>
      <c r="I59">
        <v>1</v>
      </c>
      <c r="J59">
        <v>0.25</v>
      </c>
      <c r="K59" s="55">
        <f>VLOOKUP(VLOOKUP(Q59&amp;"_"&amp;R59,挑战模式!$A$3:$Z$52,2+5*S59,FALSE),'⚪设计'!$B$85:$H$114,7,FALSE)</f>
        <v>1.3</v>
      </c>
      <c r="L59" s="57" t="s">
        <v>878</v>
      </c>
      <c r="M59" t="s">
        <v>468</v>
      </c>
      <c r="N59" t="s">
        <v>469</v>
      </c>
      <c r="O59" t="s">
        <v>470</v>
      </c>
      <c r="P59" s="57" t="s">
        <v>934</v>
      </c>
      <c r="Q59" s="110">
        <v>5</v>
      </c>
      <c r="R59" s="110">
        <v>5</v>
      </c>
      <c r="S59" s="110">
        <v>1</v>
      </c>
    </row>
    <row r="60" spans="2:19" s="57" customFormat="1" x14ac:dyDescent="0.2">
      <c r="B60" s="57" t="s">
        <v>827</v>
      </c>
      <c r="C60" s="68" t="s">
        <v>778</v>
      </c>
      <c r="D60" s="55" t="str">
        <f>VLOOKUP(VLOOKUP(Q60&amp;"_"&amp;R60,挑战模式!$A$3:$Z$52,2+5*S60,FALSE),'⚪设计'!$B$85:$H$114,2,FALSE)</f>
        <v>ResUnit_Gui1</v>
      </c>
      <c r="E60" s="55">
        <f>VLOOKUP(VLOOKUP(Q60&amp;"_"&amp;R60,挑战模式!$A$3:$Z$52,2+5*S60,FALSE),'⚪设计'!$B$85:$H$114,6,FALSE)*VLOOKUP(Q60&amp;"_"&amp;R60,挑战模式!$A$3:$Z$52,5,FALSE)</f>
        <v>3</v>
      </c>
      <c r="F60">
        <v>400</v>
      </c>
      <c r="G60" t="b">
        <v>1</v>
      </c>
      <c r="H60">
        <v>1</v>
      </c>
      <c r="I60">
        <v>1</v>
      </c>
      <c r="J60">
        <v>0.25</v>
      </c>
      <c r="K60" s="55">
        <f>VLOOKUP(VLOOKUP(Q60&amp;"_"&amp;R60,挑战模式!$A$3:$Z$52,2+5*S60,FALSE),'⚪设计'!$B$85:$H$114,7,FALSE)</f>
        <v>1</v>
      </c>
      <c r="L60" s="57" t="s">
        <v>879</v>
      </c>
      <c r="M60" t="s">
        <v>468</v>
      </c>
      <c r="N60" t="s">
        <v>469</v>
      </c>
      <c r="O60" t="s">
        <v>470</v>
      </c>
      <c r="P60" s="57" t="s">
        <v>919</v>
      </c>
      <c r="Q60" s="110">
        <v>5</v>
      </c>
      <c r="R60" s="110">
        <v>5</v>
      </c>
      <c r="S60" s="110">
        <v>2</v>
      </c>
    </row>
    <row r="61" spans="2:19" s="57" customFormat="1" x14ac:dyDescent="0.2">
      <c r="B61" s="57" t="s">
        <v>828</v>
      </c>
      <c r="C61" s="68" t="s">
        <v>779</v>
      </c>
      <c r="D61" s="55" t="str">
        <f>VLOOKUP(VLOOKUP(Q61&amp;"_"&amp;R61,挑战模式!$A$3:$Z$52,2+5*S61,FALSE),'⚪设计'!$B$85:$H$114,2,FALSE)</f>
        <v>ResUnit_ZhongZi1</v>
      </c>
      <c r="E61" s="55">
        <f>VLOOKUP(VLOOKUP(Q61&amp;"_"&amp;R61,挑战模式!$A$3:$Z$52,2+5*S61,FALSE),'⚪设计'!$B$85:$H$114,6,FALSE)*VLOOKUP(Q61&amp;"_"&amp;R61,挑战模式!$A$3:$Z$52,5,FALSE)</f>
        <v>3</v>
      </c>
      <c r="F61">
        <v>400</v>
      </c>
      <c r="G61" t="b">
        <v>1</v>
      </c>
      <c r="H61">
        <v>1</v>
      </c>
      <c r="I61">
        <v>1</v>
      </c>
      <c r="J61">
        <v>0.25</v>
      </c>
      <c r="K61" s="55">
        <f>VLOOKUP(VLOOKUP(Q61&amp;"_"&amp;R61,挑战模式!$A$3:$Z$52,2+5*S61,FALSE),'⚪设计'!$B$85:$H$114,7,FALSE)</f>
        <v>1</v>
      </c>
      <c r="L61" s="57" t="s">
        <v>880</v>
      </c>
      <c r="M61" t="s">
        <v>468</v>
      </c>
      <c r="N61" t="s">
        <v>469</v>
      </c>
      <c r="O61" t="s">
        <v>470</v>
      </c>
      <c r="P61" s="57" t="s">
        <v>891</v>
      </c>
      <c r="Q61" s="110">
        <v>5</v>
      </c>
      <c r="R61" s="110">
        <v>5</v>
      </c>
      <c r="S61" s="110">
        <v>3</v>
      </c>
    </row>
    <row r="62" spans="2:19" s="57" customFormat="1" x14ac:dyDescent="0.2">
      <c r="B62" s="57" t="s">
        <v>829</v>
      </c>
      <c r="C62" s="68" t="s">
        <v>780</v>
      </c>
      <c r="D62" s="55" t="str">
        <f>VLOOKUP(VLOOKUP(Q62&amp;"_"&amp;R62,挑战模式!$A$3:$Z$52,2+5*S62,FALSE),'⚪设计'!$B$85:$H$114,2,FALSE)</f>
        <v>ResUnit_Dan3</v>
      </c>
      <c r="E62" s="55">
        <f>VLOOKUP(VLOOKUP(Q62&amp;"_"&amp;R62,挑战模式!$A$3:$Z$52,2+5*S62,FALSE),'⚪设计'!$B$85:$H$114,6,FALSE)*VLOOKUP(Q62&amp;"_"&amp;R62,挑战模式!$A$3:$Z$52,5,FALSE)</f>
        <v>1.25</v>
      </c>
      <c r="F62">
        <v>400</v>
      </c>
      <c r="G62" t="b">
        <v>1</v>
      </c>
      <c r="H62">
        <v>1</v>
      </c>
      <c r="I62">
        <v>1</v>
      </c>
      <c r="J62">
        <v>0.25</v>
      </c>
      <c r="K62" s="55">
        <f>VLOOKUP(VLOOKUP(Q62&amp;"_"&amp;R62,挑战模式!$A$3:$Z$52,2+5*S62,FALSE),'⚪设计'!$B$85:$H$114,7,FALSE)</f>
        <v>2.5</v>
      </c>
      <c r="L62" s="57" t="s">
        <v>881</v>
      </c>
      <c r="M62" t="s">
        <v>468</v>
      </c>
      <c r="N62" t="s">
        <v>469</v>
      </c>
      <c r="O62" t="s">
        <v>470</v>
      </c>
      <c r="P62" s="57" t="s">
        <v>935</v>
      </c>
      <c r="Q62" s="110">
        <v>5</v>
      </c>
      <c r="R62" s="110">
        <v>5</v>
      </c>
      <c r="S62" s="110">
        <v>4</v>
      </c>
    </row>
    <row r="63" spans="2:19" x14ac:dyDescent="0.2">
      <c r="B63" s="119" t="s">
        <v>971</v>
      </c>
      <c r="C63" s="119" t="s">
        <v>1046</v>
      </c>
      <c r="D63" s="55" t="str">
        <f>VLOOKUP(VLOOKUP(Q63&amp;"_"&amp;R63,挑战模式!$A$3:$Z$52,2+5*S63,FALSE),'⚪设计'!$B$85:$H$114,2,FALSE)</f>
        <v>ResUnit_MiFeng1</v>
      </c>
      <c r="E63" s="55">
        <f>VLOOKUP(VLOOKUP(Q63&amp;"_"&amp;R63,挑战模式!$A$3:$Z$52,2+5*S63,FALSE),'⚪设计'!$B$85:$H$114,6,FALSE)*VLOOKUP(Q63&amp;"_"&amp;R63,挑战模式!$A$3:$Z$52,5,FALSE)</f>
        <v>3</v>
      </c>
      <c r="F63">
        <v>400</v>
      </c>
      <c r="G63" t="b">
        <v>1</v>
      </c>
      <c r="H63">
        <v>1</v>
      </c>
      <c r="I63">
        <v>1</v>
      </c>
      <c r="J63">
        <v>0.25</v>
      </c>
      <c r="K63" s="55">
        <f>VLOOKUP(VLOOKUP(Q63&amp;"_"&amp;R63,挑战模式!$A$3:$Z$52,2+5*S63,FALSE),'⚪设计'!$B$85:$H$114,7,FALSE)</f>
        <v>0.5</v>
      </c>
      <c r="L63" s="119" t="s">
        <v>1121</v>
      </c>
      <c r="M63" t="s">
        <v>468</v>
      </c>
      <c r="N63" t="s">
        <v>469</v>
      </c>
      <c r="O63" t="s">
        <v>470</v>
      </c>
      <c r="P63" t="str">
        <f>IF(LEFT(D63,LEN(D63)-1)="ResUnit_Niao",RIGHT(D63,LEN(D63)-8),"")</f>
        <v/>
      </c>
      <c r="Q63" s="119">
        <v>6</v>
      </c>
      <c r="R63" s="119">
        <v>1</v>
      </c>
      <c r="S63" s="119">
        <v>1</v>
      </c>
    </row>
    <row r="64" spans="2:19" x14ac:dyDescent="0.2">
      <c r="B64" s="119" t="s">
        <v>972</v>
      </c>
      <c r="C64" s="119" t="s">
        <v>1047</v>
      </c>
      <c r="D64" s="55" t="str">
        <f>VLOOKUP(VLOOKUP(Q64&amp;"_"&amp;R64,挑战模式!$A$3:$Z$52,2+5*S64,FALSE),'⚪设计'!$B$85:$H$114,2,FALSE)</f>
        <v>ResUnit_Niao1</v>
      </c>
      <c r="E64" s="55">
        <f>VLOOKUP(VLOOKUP(Q64&amp;"_"&amp;R64,挑战模式!$A$3:$Z$52,2+5*S64,FALSE),'⚪设计'!$B$85:$H$114,6,FALSE)*VLOOKUP(Q64&amp;"_"&amp;R64,挑战模式!$A$3:$Z$52,5,FALSE)</f>
        <v>3</v>
      </c>
      <c r="F64">
        <v>400</v>
      </c>
      <c r="G64" t="b">
        <v>1</v>
      </c>
      <c r="H64">
        <v>1</v>
      </c>
      <c r="I64">
        <v>1</v>
      </c>
      <c r="J64">
        <v>0.25</v>
      </c>
      <c r="K64" s="55">
        <f>VLOOKUP(VLOOKUP(Q64&amp;"_"&amp;R64,挑战模式!$A$3:$Z$52,2+5*S64,FALSE),'⚪设计'!$B$85:$H$114,7,FALSE)</f>
        <v>1</v>
      </c>
      <c r="L64" s="119" t="s">
        <v>1122</v>
      </c>
      <c r="M64" t="s">
        <v>468</v>
      </c>
      <c r="N64" t="s">
        <v>469</v>
      </c>
      <c r="O64" t="s">
        <v>470</v>
      </c>
      <c r="P64" t="str">
        <f>IF(LEFT(D64,LEN(D64)-1)="ResUnit_Niao","Skill_Monster_Challenge_"&amp;RIGHT(D64,LEN(D64)-8),"")</f>
        <v>Skill_Monster_Challenge_Niao1</v>
      </c>
      <c r="Q64" s="119">
        <v>6</v>
      </c>
      <c r="R64" s="119">
        <v>1</v>
      </c>
      <c r="S64" s="119">
        <v>2</v>
      </c>
    </row>
    <row r="65" spans="2:19" x14ac:dyDescent="0.2">
      <c r="B65" s="119" t="s">
        <v>973</v>
      </c>
      <c r="C65" s="119" t="s">
        <v>1048</v>
      </c>
      <c r="D65" s="55" t="str">
        <f>VLOOKUP(VLOOKUP(Q65&amp;"_"&amp;R65,挑战模式!$A$3:$Z$52,2+5*S65,FALSE),'⚪设计'!$B$85:$H$114,2,FALSE)</f>
        <v>ResUnit_MiFeng1</v>
      </c>
      <c r="E65" s="55">
        <f>VLOOKUP(VLOOKUP(Q65&amp;"_"&amp;R65,挑战模式!$A$3:$Z$52,2+5*S65,FALSE),'⚪设计'!$B$85:$H$114,6,FALSE)*VLOOKUP(Q65&amp;"_"&amp;R65,挑战模式!$A$3:$Z$52,5,FALSE)</f>
        <v>3</v>
      </c>
      <c r="F65">
        <v>400</v>
      </c>
      <c r="G65" t="b">
        <v>1</v>
      </c>
      <c r="H65">
        <v>1</v>
      </c>
      <c r="I65">
        <v>1</v>
      </c>
      <c r="J65">
        <v>0.25</v>
      </c>
      <c r="K65" s="55">
        <f>VLOOKUP(VLOOKUP(Q65&amp;"_"&amp;R65,挑战模式!$A$3:$Z$52,2+5*S65,FALSE),'⚪设计'!$B$85:$H$114,7,FALSE)</f>
        <v>0.5</v>
      </c>
      <c r="L65" s="119" t="s">
        <v>1123</v>
      </c>
      <c r="M65" t="s">
        <v>468</v>
      </c>
      <c r="N65" t="s">
        <v>469</v>
      </c>
      <c r="O65" t="s">
        <v>470</v>
      </c>
      <c r="P65" t="str">
        <f t="shared" ref="P65:P128" si="0">IF(LEFT(D65,LEN(D65)-1)="ResUnit_Niao","Skill_Monster_Challenge_"&amp;RIGHT(D65,LEN(D65)-8),"")</f>
        <v/>
      </c>
      <c r="Q65" s="119">
        <v>6</v>
      </c>
      <c r="R65" s="119">
        <v>2</v>
      </c>
      <c r="S65" s="119">
        <v>1</v>
      </c>
    </row>
    <row r="66" spans="2:19" x14ac:dyDescent="0.2">
      <c r="B66" s="119" t="s">
        <v>974</v>
      </c>
      <c r="C66" s="119" t="s">
        <v>1049</v>
      </c>
      <c r="D66" s="55" t="str">
        <f>VLOOKUP(VLOOKUP(Q66&amp;"_"&amp;R66,挑战模式!$A$3:$Z$52,2+5*S66,FALSE),'⚪设计'!$B$85:$H$114,2,FALSE)</f>
        <v>ResUnit_Niao1</v>
      </c>
      <c r="E66" s="55">
        <f>VLOOKUP(VLOOKUP(Q66&amp;"_"&amp;R66,挑战模式!$A$3:$Z$52,2+5*S66,FALSE),'⚪设计'!$B$85:$H$114,6,FALSE)*VLOOKUP(Q66&amp;"_"&amp;R66,挑战模式!$A$3:$Z$52,5,FALSE)</f>
        <v>3</v>
      </c>
      <c r="F66">
        <v>400</v>
      </c>
      <c r="G66" t="b">
        <v>1</v>
      </c>
      <c r="H66">
        <v>1</v>
      </c>
      <c r="I66">
        <v>1</v>
      </c>
      <c r="J66">
        <v>0.25</v>
      </c>
      <c r="K66" s="55">
        <f>VLOOKUP(VLOOKUP(Q66&amp;"_"&amp;R66,挑战模式!$A$3:$Z$52,2+5*S66,FALSE),'⚪设计'!$B$85:$H$114,7,FALSE)</f>
        <v>1</v>
      </c>
      <c r="L66" s="119" t="s">
        <v>1124</v>
      </c>
      <c r="M66" t="s">
        <v>468</v>
      </c>
      <c r="N66" t="s">
        <v>469</v>
      </c>
      <c r="O66" t="s">
        <v>470</v>
      </c>
      <c r="P66" t="str">
        <f t="shared" si="0"/>
        <v>Skill_Monster_Challenge_Niao1</v>
      </c>
      <c r="Q66" s="119">
        <v>6</v>
      </c>
      <c r="R66" s="119">
        <v>2</v>
      </c>
      <c r="S66" s="119">
        <v>2</v>
      </c>
    </row>
    <row r="67" spans="2:19" x14ac:dyDescent="0.2">
      <c r="B67" s="119" t="s">
        <v>975</v>
      </c>
      <c r="C67" s="119" t="s">
        <v>1050</v>
      </c>
      <c r="D67" s="55" t="str">
        <f>VLOOKUP(VLOOKUP(Q67&amp;"_"&amp;R67,挑战模式!$A$3:$Z$52,2+5*S67,FALSE),'⚪设计'!$B$85:$H$114,2,FALSE)</f>
        <v>ResUnit_MiFeng1</v>
      </c>
      <c r="E67" s="55">
        <f>VLOOKUP(VLOOKUP(Q67&amp;"_"&amp;R67,挑战模式!$A$3:$Z$52,2+5*S67,FALSE),'⚪设计'!$B$85:$H$114,6,FALSE)*VLOOKUP(Q67&amp;"_"&amp;R67,挑战模式!$A$3:$Z$52,5,FALSE)</f>
        <v>3</v>
      </c>
      <c r="F67">
        <v>400</v>
      </c>
      <c r="G67" t="b">
        <v>1</v>
      </c>
      <c r="H67">
        <v>1</v>
      </c>
      <c r="I67">
        <v>1</v>
      </c>
      <c r="J67">
        <v>0.25</v>
      </c>
      <c r="K67" s="55">
        <f>VLOOKUP(VLOOKUP(Q67&amp;"_"&amp;R67,挑战模式!$A$3:$Z$52,2+5*S67,FALSE),'⚪设计'!$B$85:$H$114,7,FALSE)</f>
        <v>0.5</v>
      </c>
      <c r="L67" s="119" t="s">
        <v>1125</v>
      </c>
      <c r="M67" t="s">
        <v>468</v>
      </c>
      <c r="N67" t="s">
        <v>469</v>
      </c>
      <c r="O67" t="s">
        <v>470</v>
      </c>
      <c r="P67" t="str">
        <f t="shared" si="0"/>
        <v/>
      </c>
      <c r="Q67" s="119">
        <v>6</v>
      </c>
      <c r="R67" s="119">
        <v>3</v>
      </c>
      <c r="S67" s="119">
        <v>1</v>
      </c>
    </row>
    <row r="68" spans="2:19" x14ac:dyDescent="0.2">
      <c r="B68" s="119" t="s">
        <v>976</v>
      </c>
      <c r="C68" s="119" t="s">
        <v>1051</v>
      </c>
      <c r="D68" s="55" t="str">
        <f>VLOOKUP(VLOOKUP(Q68&amp;"_"&amp;R68,挑战模式!$A$3:$Z$52,2+5*S68,FALSE),'⚪设计'!$B$85:$H$114,2,FALSE)</f>
        <v>ResUnit_MiFeng2</v>
      </c>
      <c r="E68" s="55">
        <f>VLOOKUP(VLOOKUP(Q68&amp;"_"&amp;R68,挑战模式!$A$3:$Z$52,2+5*S68,FALSE),'⚪设计'!$B$85:$H$114,6,FALSE)*VLOOKUP(Q68&amp;"_"&amp;R68,挑战模式!$A$3:$Z$52,5,FALSE)</f>
        <v>3</v>
      </c>
      <c r="F68">
        <v>400</v>
      </c>
      <c r="G68" t="b">
        <v>1</v>
      </c>
      <c r="H68">
        <v>1</v>
      </c>
      <c r="I68">
        <v>1</v>
      </c>
      <c r="J68">
        <v>0.25</v>
      </c>
      <c r="K68" s="55">
        <f>VLOOKUP(VLOOKUP(Q68&amp;"_"&amp;R68,挑战模式!$A$3:$Z$52,2+5*S68,FALSE),'⚪设计'!$B$85:$H$114,7,FALSE)</f>
        <v>0.8</v>
      </c>
      <c r="L68" s="119" t="s">
        <v>1126</v>
      </c>
      <c r="M68" t="s">
        <v>468</v>
      </c>
      <c r="N68" t="s">
        <v>469</v>
      </c>
      <c r="O68" t="s">
        <v>470</v>
      </c>
      <c r="P68" t="str">
        <f t="shared" si="0"/>
        <v/>
      </c>
      <c r="Q68" s="119">
        <v>6</v>
      </c>
      <c r="R68" s="119">
        <v>3</v>
      </c>
      <c r="S68" s="119">
        <v>2</v>
      </c>
    </row>
    <row r="69" spans="2:19" x14ac:dyDescent="0.2">
      <c r="B69" s="119" t="s">
        <v>977</v>
      </c>
      <c r="C69" s="119" t="s">
        <v>1052</v>
      </c>
      <c r="D69" s="55" t="str">
        <f>VLOOKUP(VLOOKUP(Q69&amp;"_"&amp;R69,挑战模式!$A$3:$Z$52,2+5*S69,FALSE),'⚪设计'!$B$85:$H$114,2,FALSE)</f>
        <v>ResUnit_Niao1</v>
      </c>
      <c r="E69" s="55">
        <f>VLOOKUP(VLOOKUP(Q69&amp;"_"&amp;R69,挑战模式!$A$3:$Z$52,2+5*S69,FALSE),'⚪设计'!$B$85:$H$114,6,FALSE)*VLOOKUP(Q69&amp;"_"&amp;R69,挑战模式!$A$3:$Z$52,5,FALSE)</f>
        <v>3</v>
      </c>
      <c r="F69">
        <v>400</v>
      </c>
      <c r="G69" t="b">
        <v>1</v>
      </c>
      <c r="H69">
        <v>1</v>
      </c>
      <c r="I69">
        <v>1</v>
      </c>
      <c r="J69">
        <v>0.25</v>
      </c>
      <c r="K69" s="55">
        <f>VLOOKUP(VLOOKUP(Q69&amp;"_"&amp;R69,挑战模式!$A$3:$Z$52,2+5*S69,FALSE),'⚪设计'!$B$85:$H$114,7,FALSE)</f>
        <v>1</v>
      </c>
      <c r="L69" s="119" t="s">
        <v>1127</v>
      </c>
      <c r="M69" t="s">
        <v>468</v>
      </c>
      <c r="N69" t="s">
        <v>469</v>
      </c>
      <c r="O69" t="s">
        <v>470</v>
      </c>
      <c r="P69" t="str">
        <f t="shared" si="0"/>
        <v>Skill_Monster_Challenge_Niao1</v>
      </c>
      <c r="Q69" s="119">
        <v>6</v>
      </c>
      <c r="R69" s="119">
        <v>3</v>
      </c>
      <c r="S69" s="119">
        <v>3</v>
      </c>
    </row>
    <row r="70" spans="2:19" x14ac:dyDescent="0.2">
      <c r="B70" s="119" t="s">
        <v>978</v>
      </c>
      <c r="C70" s="119" t="s">
        <v>1053</v>
      </c>
      <c r="D70" s="55" t="str">
        <f>VLOOKUP(VLOOKUP(Q70&amp;"_"&amp;R70,挑战模式!$A$3:$Z$52,2+5*S70,FALSE),'⚪设计'!$B$85:$H$114,2,FALSE)</f>
        <v>ResUnit_MiFeng1</v>
      </c>
      <c r="E70" s="55">
        <f>VLOOKUP(VLOOKUP(Q70&amp;"_"&amp;R70,挑战模式!$A$3:$Z$52,2+5*S70,FALSE),'⚪设计'!$B$85:$H$114,6,FALSE)*VLOOKUP(Q70&amp;"_"&amp;R70,挑战模式!$A$3:$Z$52,5,FALSE)</f>
        <v>3</v>
      </c>
      <c r="F70">
        <v>400</v>
      </c>
      <c r="G70" t="b">
        <v>1</v>
      </c>
      <c r="H70">
        <v>1</v>
      </c>
      <c r="I70">
        <v>1</v>
      </c>
      <c r="J70">
        <v>0.25</v>
      </c>
      <c r="K70" s="55">
        <f>VLOOKUP(VLOOKUP(Q70&amp;"_"&amp;R70,挑战模式!$A$3:$Z$52,2+5*S70,FALSE),'⚪设计'!$B$85:$H$114,7,FALSE)</f>
        <v>0.5</v>
      </c>
      <c r="L70" s="119" t="s">
        <v>1128</v>
      </c>
      <c r="M70" t="s">
        <v>468</v>
      </c>
      <c r="N70" t="s">
        <v>469</v>
      </c>
      <c r="O70" t="s">
        <v>470</v>
      </c>
      <c r="P70" t="str">
        <f t="shared" si="0"/>
        <v/>
      </c>
      <c r="Q70" s="119">
        <v>6</v>
      </c>
      <c r="R70" s="119">
        <v>4</v>
      </c>
      <c r="S70" s="119">
        <v>1</v>
      </c>
    </row>
    <row r="71" spans="2:19" x14ac:dyDescent="0.2">
      <c r="B71" s="119" t="s">
        <v>979</v>
      </c>
      <c r="C71" s="119" t="s">
        <v>1054</v>
      </c>
      <c r="D71" s="55" t="str">
        <f>VLOOKUP(VLOOKUP(Q71&amp;"_"&amp;R71,挑战模式!$A$3:$Z$52,2+5*S71,FALSE),'⚪设计'!$B$85:$H$114,2,FALSE)</f>
        <v>ResUnit_MiFeng2</v>
      </c>
      <c r="E71" s="55">
        <f>VLOOKUP(VLOOKUP(Q71&amp;"_"&amp;R71,挑战模式!$A$3:$Z$52,2+5*S71,FALSE),'⚪设计'!$B$85:$H$114,6,FALSE)*VLOOKUP(Q71&amp;"_"&amp;R71,挑战模式!$A$3:$Z$52,5,FALSE)</f>
        <v>3</v>
      </c>
      <c r="F71">
        <v>400</v>
      </c>
      <c r="G71" t="b">
        <v>1</v>
      </c>
      <c r="H71">
        <v>1</v>
      </c>
      <c r="I71">
        <v>1</v>
      </c>
      <c r="J71">
        <v>0.25</v>
      </c>
      <c r="K71" s="55">
        <f>VLOOKUP(VLOOKUP(Q71&amp;"_"&amp;R71,挑战模式!$A$3:$Z$52,2+5*S71,FALSE),'⚪设计'!$B$85:$H$114,7,FALSE)</f>
        <v>0.8</v>
      </c>
      <c r="L71" s="119" t="s">
        <v>1129</v>
      </c>
      <c r="M71" t="s">
        <v>468</v>
      </c>
      <c r="N71" t="s">
        <v>469</v>
      </c>
      <c r="O71" t="s">
        <v>470</v>
      </c>
      <c r="P71" t="str">
        <f t="shared" si="0"/>
        <v/>
      </c>
      <c r="Q71" s="119">
        <v>6</v>
      </c>
      <c r="R71" s="119">
        <v>4</v>
      </c>
      <c r="S71" s="119">
        <v>2</v>
      </c>
    </row>
    <row r="72" spans="2:19" x14ac:dyDescent="0.2">
      <c r="B72" s="119" t="s">
        <v>980</v>
      </c>
      <c r="C72" s="119" t="s">
        <v>1055</v>
      </c>
      <c r="D72" s="55" t="str">
        <f>VLOOKUP(VLOOKUP(Q72&amp;"_"&amp;R72,挑战模式!$A$3:$Z$52,2+5*S72,FALSE),'⚪设计'!$B$85:$H$114,2,FALSE)</f>
        <v>ResUnit_Niao1</v>
      </c>
      <c r="E72" s="55">
        <f>VLOOKUP(VLOOKUP(Q72&amp;"_"&amp;R72,挑战模式!$A$3:$Z$52,2+5*S72,FALSE),'⚪设计'!$B$85:$H$114,6,FALSE)*VLOOKUP(Q72&amp;"_"&amp;R72,挑战模式!$A$3:$Z$52,5,FALSE)</f>
        <v>3</v>
      </c>
      <c r="F72">
        <v>400</v>
      </c>
      <c r="G72" t="b">
        <v>1</v>
      </c>
      <c r="H72">
        <v>1</v>
      </c>
      <c r="I72">
        <v>1</v>
      </c>
      <c r="J72">
        <v>0.25</v>
      </c>
      <c r="K72" s="55">
        <f>VLOOKUP(VLOOKUP(Q72&amp;"_"&amp;R72,挑战模式!$A$3:$Z$52,2+5*S72,FALSE),'⚪设计'!$B$85:$H$114,7,FALSE)</f>
        <v>1</v>
      </c>
      <c r="L72" s="119" t="s">
        <v>1130</v>
      </c>
      <c r="M72" t="s">
        <v>468</v>
      </c>
      <c r="N72" t="s">
        <v>469</v>
      </c>
      <c r="O72" t="s">
        <v>470</v>
      </c>
      <c r="P72" t="str">
        <f t="shared" si="0"/>
        <v>Skill_Monster_Challenge_Niao1</v>
      </c>
      <c r="Q72" s="119">
        <v>6</v>
      </c>
      <c r="R72" s="119">
        <v>4</v>
      </c>
      <c r="S72" s="119">
        <v>3</v>
      </c>
    </row>
    <row r="73" spans="2:19" x14ac:dyDescent="0.2">
      <c r="B73" s="119" t="s">
        <v>981</v>
      </c>
      <c r="C73" s="119" t="s">
        <v>1056</v>
      </c>
      <c r="D73" s="55" t="str">
        <f>VLOOKUP(VLOOKUP(Q73&amp;"_"&amp;R73,挑战模式!$A$3:$Z$52,2+5*S73,FALSE),'⚪设计'!$B$85:$H$114,2,FALSE)</f>
        <v>ResUnit_MiFeng1</v>
      </c>
      <c r="E73" s="55">
        <f>VLOOKUP(VLOOKUP(Q73&amp;"_"&amp;R73,挑战模式!$A$3:$Z$52,2+5*S73,FALSE),'⚪设计'!$B$85:$H$114,6,FALSE)*VLOOKUP(Q73&amp;"_"&amp;R73,挑战模式!$A$3:$Z$52,5,FALSE)</f>
        <v>3</v>
      </c>
      <c r="F73">
        <v>400</v>
      </c>
      <c r="G73" t="b">
        <v>1</v>
      </c>
      <c r="H73">
        <v>1</v>
      </c>
      <c r="I73">
        <v>1</v>
      </c>
      <c r="J73">
        <v>0.25</v>
      </c>
      <c r="K73" s="55">
        <f>VLOOKUP(VLOOKUP(Q73&amp;"_"&amp;R73,挑战模式!$A$3:$Z$52,2+5*S73,FALSE),'⚪设计'!$B$85:$H$114,7,FALSE)</f>
        <v>0.5</v>
      </c>
      <c r="L73" s="119" t="s">
        <v>1131</v>
      </c>
      <c r="M73" t="s">
        <v>468</v>
      </c>
      <c r="N73" t="s">
        <v>469</v>
      </c>
      <c r="O73" t="s">
        <v>470</v>
      </c>
      <c r="P73" t="str">
        <f t="shared" si="0"/>
        <v/>
      </c>
      <c r="Q73" s="119">
        <v>6</v>
      </c>
      <c r="R73" s="119">
        <v>5</v>
      </c>
      <c r="S73" s="119">
        <v>1</v>
      </c>
    </row>
    <row r="74" spans="2:19" x14ac:dyDescent="0.2">
      <c r="B74" s="119" t="s">
        <v>982</v>
      </c>
      <c r="C74" s="119" t="s">
        <v>1057</v>
      </c>
      <c r="D74" s="55" t="str">
        <f>VLOOKUP(VLOOKUP(Q74&amp;"_"&amp;R74,挑战模式!$A$3:$Z$52,2+5*S74,FALSE),'⚪设计'!$B$85:$H$114,2,FALSE)</f>
        <v>ResUnit_MiFeng2</v>
      </c>
      <c r="E74" s="55">
        <f>VLOOKUP(VLOOKUP(Q74&amp;"_"&amp;R74,挑战模式!$A$3:$Z$52,2+5*S74,FALSE),'⚪设计'!$B$85:$H$114,6,FALSE)*VLOOKUP(Q74&amp;"_"&amp;R74,挑战模式!$A$3:$Z$52,5,FALSE)</f>
        <v>3</v>
      </c>
      <c r="F74">
        <v>400</v>
      </c>
      <c r="G74" t="b">
        <v>1</v>
      </c>
      <c r="H74">
        <v>1</v>
      </c>
      <c r="I74">
        <v>1</v>
      </c>
      <c r="J74">
        <v>0.25</v>
      </c>
      <c r="K74" s="55">
        <f>VLOOKUP(VLOOKUP(Q74&amp;"_"&amp;R74,挑战模式!$A$3:$Z$52,2+5*S74,FALSE),'⚪设计'!$B$85:$H$114,7,FALSE)</f>
        <v>0.8</v>
      </c>
      <c r="L74" s="119" t="s">
        <v>1132</v>
      </c>
      <c r="M74" t="s">
        <v>468</v>
      </c>
      <c r="N74" t="s">
        <v>469</v>
      </c>
      <c r="O74" t="s">
        <v>470</v>
      </c>
      <c r="P74" t="str">
        <f t="shared" si="0"/>
        <v/>
      </c>
      <c r="Q74" s="119">
        <v>6</v>
      </c>
      <c r="R74" s="119">
        <v>5</v>
      </c>
      <c r="S74" s="119">
        <v>2</v>
      </c>
    </row>
    <row r="75" spans="2:19" x14ac:dyDescent="0.2">
      <c r="B75" s="119" t="s">
        <v>983</v>
      </c>
      <c r="C75" s="119" t="s">
        <v>1058</v>
      </c>
      <c r="D75" s="55" t="str">
        <f>VLOOKUP(VLOOKUP(Q75&amp;"_"&amp;R75,挑战模式!$A$3:$Z$52,2+5*S75,FALSE),'⚪设计'!$B$85:$H$114,2,FALSE)</f>
        <v>ResUnit_Niao1</v>
      </c>
      <c r="E75" s="55">
        <f>VLOOKUP(VLOOKUP(Q75&amp;"_"&amp;R75,挑战模式!$A$3:$Z$52,2+5*S75,FALSE),'⚪设计'!$B$85:$H$114,6,FALSE)*VLOOKUP(Q75&amp;"_"&amp;R75,挑战模式!$A$3:$Z$52,5,FALSE)</f>
        <v>3</v>
      </c>
      <c r="F75">
        <v>400</v>
      </c>
      <c r="G75" t="b">
        <v>1</v>
      </c>
      <c r="H75">
        <v>1</v>
      </c>
      <c r="I75">
        <v>1</v>
      </c>
      <c r="J75">
        <v>0.25</v>
      </c>
      <c r="K75" s="55">
        <f>VLOOKUP(VLOOKUP(Q75&amp;"_"&amp;R75,挑战模式!$A$3:$Z$52,2+5*S75,FALSE),'⚪设计'!$B$85:$H$114,7,FALSE)</f>
        <v>1</v>
      </c>
      <c r="L75" s="119" t="s">
        <v>1133</v>
      </c>
      <c r="M75" t="s">
        <v>468</v>
      </c>
      <c r="N75" t="s">
        <v>469</v>
      </c>
      <c r="O75" t="s">
        <v>470</v>
      </c>
      <c r="P75" t="str">
        <f t="shared" si="0"/>
        <v>Skill_Monster_Challenge_Niao1</v>
      </c>
      <c r="Q75" s="119">
        <v>6</v>
      </c>
      <c r="R75" s="119">
        <v>5</v>
      </c>
      <c r="S75" s="119">
        <v>3</v>
      </c>
    </row>
    <row r="76" spans="2:19" x14ac:dyDescent="0.2">
      <c r="B76" s="119" t="s">
        <v>984</v>
      </c>
      <c r="C76" s="119" t="s">
        <v>1059</v>
      </c>
      <c r="D76" s="55" t="str">
        <f>VLOOKUP(VLOOKUP(Q76&amp;"_"&amp;R76,挑战模式!$A$3:$Z$52,2+5*S76,FALSE),'⚪设计'!$B$85:$H$114,2,FALSE)</f>
        <v>ResUnit_ZhiZhu1</v>
      </c>
      <c r="E76" s="55">
        <f>VLOOKUP(VLOOKUP(Q76&amp;"_"&amp;R76,挑战模式!$A$3:$Z$52,2+5*S76,FALSE),'⚪设计'!$B$85:$H$114,6,FALSE)*VLOOKUP(Q76&amp;"_"&amp;R76,挑战模式!$A$3:$Z$52,5,FALSE)</f>
        <v>4.5</v>
      </c>
      <c r="F76">
        <v>400</v>
      </c>
      <c r="G76" t="b">
        <v>1</v>
      </c>
      <c r="H76">
        <v>1</v>
      </c>
      <c r="I76">
        <v>1</v>
      </c>
      <c r="J76">
        <v>0.25</v>
      </c>
      <c r="K76" s="55">
        <f>VLOOKUP(VLOOKUP(Q76&amp;"_"&amp;R76,挑战模式!$A$3:$Z$52,2+5*S76,FALSE),'⚪设计'!$B$85:$H$114,7,FALSE)</f>
        <v>1</v>
      </c>
      <c r="L76" s="119" t="s">
        <v>1134</v>
      </c>
      <c r="M76" t="s">
        <v>468</v>
      </c>
      <c r="N76" t="s">
        <v>469</v>
      </c>
      <c r="O76" t="s">
        <v>470</v>
      </c>
      <c r="P76" t="str">
        <f t="shared" si="0"/>
        <v/>
      </c>
      <c r="Q76" s="119">
        <v>7</v>
      </c>
      <c r="R76" s="119">
        <v>1</v>
      </c>
      <c r="S76" s="119">
        <v>1</v>
      </c>
    </row>
    <row r="77" spans="2:19" x14ac:dyDescent="0.2">
      <c r="B77" s="119" t="s">
        <v>985</v>
      </c>
      <c r="C77" s="119" t="s">
        <v>1060</v>
      </c>
      <c r="D77" s="55" t="str">
        <f>VLOOKUP(VLOOKUP(Q77&amp;"_"&amp;R77,挑战模式!$A$3:$Z$52,2+5*S77,FALSE),'⚪设计'!$B$85:$H$114,2,FALSE)</f>
        <v>ResUnit_Niao1</v>
      </c>
      <c r="E77" s="55">
        <f>VLOOKUP(VLOOKUP(Q77&amp;"_"&amp;R77,挑战模式!$A$3:$Z$52,2+5*S77,FALSE),'⚪设计'!$B$85:$H$114,6,FALSE)*VLOOKUP(Q77&amp;"_"&amp;R77,挑战模式!$A$3:$Z$52,5,FALSE)</f>
        <v>3</v>
      </c>
      <c r="F77">
        <v>400</v>
      </c>
      <c r="G77" t="b">
        <v>1</v>
      </c>
      <c r="H77">
        <v>1</v>
      </c>
      <c r="I77">
        <v>1</v>
      </c>
      <c r="J77">
        <v>0.25</v>
      </c>
      <c r="K77" s="55">
        <f>VLOOKUP(VLOOKUP(Q77&amp;"_"&amp;R77,挑战模式!$A$3:$Z$52,2+5*S77,FALSE),'⚪设计'!$B$85:$H$114,7,FALSE)</f>
        <v>1</v>
      </c>
      <c r="L77" s="119" t="s">
        <v>1135</v>
      </c>
      <c r="M77" t="s">
        <v>468</v>
      </c>
      <c r="N77" t="s">
        <v>469</v>
      </c>
      <c r="O77" t="s">
        <v>470</v>
      </c>
      <c r="P77" t="str">
        <f t="shared" si="0"/>
        <v>Skill_Monster_Challenge_Niao1</v>
      </c>
      <c r="Q77" s="119">
        <v>7</v>
      </c>
      <c r="R77" s="119">
        <v>1</v>
      </c>
      <c r="S77" s="119">
        <v>2</v>
      </c>
    </row>
    <row r="78" spans="2:19" x14ac:dyDescent="0.2">
      <c r="B78" s="119" t="s">
        <v>986</v>
      </c>
      <c r="C78" s="119" t="s">
        <v>1061</v>
      </c>
      <c r="D78" s="55" t="str">
        <f>VLOOKUP(VLOOKUP(Q78&amp;"_"&amp;R78,挑战模式!$A$3:$Z$52,2+5*S78,FALSE),'⚪设计'!$B$85:$H$114,2,FALSE)</f>
        <v>ResUnit_ZhiZhu1</v>
      </c>
      <c r="E78" s="55">
        <f>VLOOKUP(VLOOKUP(Q78&amp;"_"&amp;R78,挑战模式!$A$3:$Z$52,2+5*S78,FALSE),'⚪设计'!$B$85:$H$114,6,FALSE)*VLOOKUP(Q78&amp;"_"&amp;R78,挑战模式!$A$3:$Z$52,5,FALSE)</f>
        <v>4.5</v>
      </c>
      <c r="F78">
        <v>400</v>
      </c>
      <c r="G78" t="b">
        <v>1</v>
      </c>
      <c r="H78">
        <v>1</v>
      </c>
      <c r="I78">
        <v>1</v>
      </c>
      <c r="J78">
        <v>0.25</v>
      </c>
      <c r="K78" s="55">
        <f>VLOOKUP(VLOOKUP(Q78&amp;"_"&amp;R78,挑战模式!$A$3:$Z$52,2+5*S78,FALSE),'⚪设计'!$B$85:$H$114,7,FALSE)</f>
        <v>1</v>
      </c>
      <c r="L78" s="119" t="s">
        <v>1136</v>
      </c>
      <c r="M78" t="s">
        <v>468</v>
      </c>
      <c r="N78" t="s">
        <v>469</v>
      </c>
      <c r="O78" t="s">
        <v>470</v>
      </c>
      <c r="P78" t="str">
        <f t="shared" si="0"/>
        <v/>
      </c>
      <c r="Q78" s="119">
        <v>7</v>
      </c>
      <c r="R78" s="119">
        <v>2</v>
      </c>
      <c r="S78" s="119">
        <v>1</v>
      </c>
    </row>
    <row r="79" spans="2:19" x14ac:dyDescent="0.2">
      <c r="B79" s="119" t="s">
        <v>987</v>
      </c>
      <c r="C79" s="119" t="s">
        <v>1062</v>
      </c>
      <c r="D79" s="55" t="str">
        <f>VLOOKUP(VLOOKUP(Q79&amp;"_"&amp;R79,挑战模式!$A$3:$Z$52,2+5*S79,FALSE),'⚪设计'!$B$85:$H$114,2,FALSE)</f>
        <v>ResUnit_MiFeng2</v>
      </c>
      <c r="E79" s="55">
        <f>VLOOKUP(VLOOKUP(Q79&amp;"_"&amp;R79,挑战模式!$A$3:$Z$52,2+5*S79,FALSE),'⚪设计'!$B$85:$H$114,6,FALSE)*VLOOKUP(Q79&amp;"_"&amp;R79,挑战模式!$A$3:$Z$52,5,FALSE)</f>
        <v>3</v>
      </c>
      <c r="F79">
        <v>400</v>
      </c>
      <c r="G79" t="b">
        <v>1</v>
      </c>
      <c r="H79">
        <v>1</v>
      </c>
      <c r="I79">
        <v>1</v>
      </c>
      <c r="J79">
        <v>0.25</v>
      </c>
      <c r="K79" s="55">
        <f>VLOOKUP(VLOOKUP(Q79&amp;"_"&amp;R79,挑战模式!$A$3:$Z$52,2+5*S79,FALSE),'⚪设计'!$B$85:$H$114,7,FALSE)</f>
        <v>0.8</v>
      </c>
      <c r="L79" s="119" t="s">
        <v>1137</v>
      </c>
      <c r="M79" t="s">
        <v>468</v>
      </c>
      <c r="N79" t="s">
        <v>469</v>
      </c>
      <c r="O79" t="s">
        <v>470</v>
      </c>
      <c r="P79" t="str">
        <f t="shared" si="0"/>
        <v/>
      </c>
      <c r="Q79" s="119">
        <v>7</v>
      </c>
      <c r="R79" s="119">
        <v>2</v>
      </c>
      <c r="S79" s="119">
        <v>2</v>
      </c>
    </row>
    <row r="80" spans="2:19" x14ac:dyDescent="0.2">
      <c r="B80" s="119" t="s">
        <v>988</v>
      </c>
      <c r="C80" s="119" t="s">
        <v>1063</v>
      </c>
      <c r="D80" s="55" t="str">
        <f>VLOOKUP(VLOOKUP(Q80&amp;"_"&amp;R80,挑战模式!$A$3:$Z$52,2+5*S80,FALSE),'⚪设计'!$B$85:$H$114,2,FALSE)</f>
        <v>ResUnit_Niao1</v>
      </c>
      <c r="E80" s="55">
        <f>VLOOKUP(VLOOKUP(Q80&amp;"_"&amp;R80,挑战模式!$A$3:$Z$52,2+5*S80,FALSE),'⚪设计'!$B$85:$H$114,6,FALSE)*VLOOKUP(Q80&amp;"_"&amp;R80,挑战模式!$A$3:$Z$52,5,FALSE)</f>
        <v>3</v>
      </c>
      <c r="F80">
        <v>400</v>
      </c>
      <c r="G80" t="b">
        <v>1</v>
      </c>
      <c r="H80">
        <v>1</v>
      </c>
      <c r="I80">
        <v>1</v>
      </c>
      <c r="J80">
        <v>0.25</v>
      </c>
      <c r="K80" s="55">
        <f>VLOOKUP(VLOOKUP(Q80&amp;"_"&amp;R80,挑战模式!$A$3:$Z$52,2+5*S80,FALSE),'⚪设计'!$B$85:$H$114,7,FALSE)</f>
        <v>1</v>
      </c>
      <c r="L80" s="119" t="s">
        <v>1138</v>
      </c>
      <c r="M80" t="s">
        <v>468</v>
      </c>
      <c r="N80" t="s">
        <v>469</v>
      </c>
      <c r="O80" t="s">
        <v>470</v>
      </c>
      <c r="P80" t="str">
        <f t="shared" si="0"/>
        <v>Skill_Monster_Challenge_Niao1</v>
      </c>
      <c r="Q80" s="119">
        <v>7</v>
      </c>
      <c r="R80" s="119">
        <v>2</v>
      </c>
      <c r="S80" s="119">
        <v>3</v>
      </c>
    </row>
    <row r="81" spans="2:19" x14ac:dyDescent="0.2">
      <c r="B81" s="119" t="s">
        <v>989</v>
      </c>
      <c r="C81" s="119" t="s">
        <v>1064</v>
      </c>
      <c r="D81" s="55" t="str">
        <f>VLOOKUP(VLOOKUP(Q81&amp;"_"&amp;R81,挑战模式!$A$3:$Z$52,2+5*S81,FALSE),'⚪设计'!$B$85:$H$114,2,FALSE)</f>
        <v>ResUnit_ZhiZhu1</v>
      </c>
      <c r="E81" s="55">
        <f>VLOOKUP(VLOOKUP(Q81&amp;"_"&amp;R81,挑战模式!$A$3:$Z$52,2+5*S81,FALSE),'⚪设计'!$B$85:$H$114,6,FALSE)*VLOOKUP(Q81&amp;"_"&amp;R81,挑战模式!$A$3:$Z$52,5,FALSE)</f>
        <v>4.5</v>
      </c>
      <c r="F81">
        <v>400</v>
      </c>
      <c r="G81" t="b">
        <v>1</v>
      </c>
      <c r="H81">
        <v>1</v>
      </c>
      <c r="I81">
        <v>1</v>
      </c>
      <c r="J81">
        <v>0.25</v>
      </c>
      <c r="K81" s="55">
        <f>VLOOKUP(VLOOKUP(Q81&amp;"_"&amp;R81,挑战模式!$A$3:$Z$52,2+5*S81,FALSE),'⚪设计'!$B$85:$H$114,7,FALSE)</f>
        <v>1</v>
      </c>
      <c r="L81" s="119" t="s">
        <v>1139</v>
      </c>
      <c r="M81" t="s">
        <v>468</v>
      </c>
      <c r="N81" t="s">
        <v>469</v>
      </c>
      <c r="O81" t="s">
        <v>470</v>
      </c>
      <c r="P81" t="str">
        <f t="shared" si="0"/>
        <v/>
      </c>
      <c r="Q81" s="119">
        <v>7</v>
      </c>
      <c r="R81" s="119">
        <v>3</v>
      </c>
      <c r="S81" s="119">
        <v>1</v>
      </c>
    </row>
    <row r="82" spans="2:19" x14ac:dyDescent="0.2">
      <c r="B82" s="119" t="s">
        <v>990</v>
      </c>
      <c r="C82" s="119" t="s">
        <v>1065</v>
      </c>
      <c r="D82" s="55" t="str">
        <f>VLOOKUP(VLOOKUP(Q82&amp;"_"&amp;R82,挑战模式!$A$3:$Z$52,2+5*S82,FALSE),'⚪设计'!$B$85:$H$114,2,FALSE)</f>
        <v>ResUnit_BianFu1</v>
      </c>
      <c r="E82" s="55">
        <f>VLOOKUP(VLOOKUP(Q82&amp;"_"&amp;R82,挑战模式!$A$3:$Z$52,2+5*S82,FALSE),'⚪设计'!$B$85:$H$114,6,FALSE)*VLOOKUP(Q82&amp;"_"&amp;R82,挑战模式!$A$3:$Z$52,5,FALSE)</f>
        <v>3</v>
      </c>
      <c r="F82">
        <v>400</v>
      </c>
      <c r="G82" t="b">
        <v>1</v>
      </c>
      <c r="H82">
        <v>1</v>
      </c>
      <c r="I82">
        <v>1</v>
      </c>
      <c r="J82">
        <v>0.25</v>
      </c>
      <c r="K82" s="55">
        <f>VLOOKUP(VLOOKUP(Q82&amp;"_"&amp;R82,挑战模式!$A$3:$Z$52,2+5*S82,FALSE),'⚪设计'!$B$85:$H$114,7,FALSE)</f>
        <v>0.5</v>
      </c>
      <c r="L82" s="119" t="s">
        <v>1140</v>
      </c>
      <c r="M82" t="s">
        <v>468</v>
      </c>
      <c r="N82" t="s">
        <v>469</v>
      </c>
      <c r="O82" t="s">
        <v>470</v>
      </c>
      <c r="P82" t="str">
        <f t="shared" si="0"/>
        <v/>
      </c>
      <c r="Q82" s="119">
        <v>7</v>
      </c>
      <c r="R82" s="119">
        <v>3</v>
      </c>
      <c r="S82" s="119">
        <v>2</v>
      </c>
    </row>
    <row r="83" spans="2:19" x14ac:dyDescent="0.2">
      <c r="B83" s="119" t="s">
        <v>991</v>
      </c>
      <c r="C83" s="119" t="s">
        <v>1066</v>
      </c>
      <c r="D83" s="55" t="str">
        <f>VLOOKUP(VLOOKUP(Q83&amp;"_"&amp;R83,挑战模式!$A$3:$Z$52,2+5*S83,FALSE),'⚪设计'!$B$85:$H$114,2,FALSE)</f>
        <v>ResUnit_Niao1</v>
      </c>
      <c r="E83" s="55">
        <f>VLOOKUP(VLOOKUP(Q83&amp;"_"&amp;R83,挑战模式!$A$3:$Z$52,2+5*S83,FALSE),'⚪设计'!$B$85:$H$114,6,FALSE)*VLOOKUP(Q83&amp;"_"&amp;R83,挑战模式!$A$3:$Z$52,5,FALSE)</f>
        <v>3</v>
      </c>
      <c r="F83">
        <v>400</v>
      </c>
      <c r="G83" t="b">
        <v>1</v>
      </c>
      <c r="H83">
        <v>1</v>
      </c>
      <c r="I83">
        <v>1</v>
      </c>
      <c r="J83">
        <v>0.25</v>
      </c>
      <c r="K83" s="55">
        <f>VLOOKUP(VLOOKUP(Q83&amp;"_"&amp;R83,挑战模式!$A$3:$Z$52,2+5*S83,FALSE),'⚪设计'!$B$85:$H$114,7,FALSE)</f>
        <v>1</v>
      </c>
      <c r="L83" s="119" t="s">
        <v>1141</v>
      </c>
      <c r="M83" t="s">
        <v>468</v>
      </c>
      <c r="N83" t="s">
        <v>469</v>
      </c>
      <c r="O83" t="s">
        <v>470</v>
      </c>
      <c r="P83" t="str">
        <f t="shared" si="0"/>
        <v>Skill_Monster_Challenge_Niao1</v>
      </c>
      <c r="Q83" s="119">
        <v>7</v>
      </c>
      <c r="R83" s="119">
        <v>3</v>
      </c>
      <c r="S83" s="119">
        <v>3</v>
      </c>
    </row>
    <row r="84" spans="2:19" x14ac:dyDescent="0.2">
      <c r="B84" s="119" t="s">
        <v>992</v>
      </c>
      <c r="C84" s="119" t="s">
        <v>1067</v>
      </c>
      <c r="D84" s="55" t="str">
        <f>VLOOKUP(VLOOKUP(Q84&amp;"_"&amp;R84,挑战模式!$A$3:$Z$52,2+5*S84,FALSE),'⚪设计'!$B$85:$H$114,2,FALSE)</f>
        <v>ResUnit_ZhiZhu1</v>
      </c>
      <c r="E84" s="55">
        <f>VLOOKUP(VLOOKUP(Q84&amp;"_"&amp;R84,挑战模式!$A$3:$Z$52,2+5*S84,FALSE),'⚪设计'!$B$85:$H$114,6,FALSE)*VLOOKUP(Q84&amp;"_"&amp;R84,挑战模式!$A$3:$Z$52,5,FALSE)</f>
        <v>4.5</v>
      </c>
      <c r="F84">
        <v>400</v>
      </c>
      <c r="G84" t="b">
        <v>1</v>
      </c>
      <c r="H84">
        <v>1</v>
      </c>
      <c r="I84">
        <v>1</v>
      </c>
      <c r="J84">
        <v>0.25</v>
      </c>
      <c r="K84" s="55">
        <f>VLOOKUP(VLOOKUP(Q84&amp;"_"&amp;R84,挑战模式!$A$3:$Z$52,2+5*S84,FALSE),'⚪设计'!$B$85:$H$114,7,FALSE)</f>
        <v>1</v>
      </c>
      <c r="L84" s="119" t="s">
        <v>1142</v>
      </c>
      <c r="M84" t="s">
        <v>468</v>
      </c>
      <c r="N84" t="s">
        <v>469</v>
      </c>
      <c r="O84" t="s">
        <v>470</v>
      </c>
      <c r="P84" t="str">
        <f t="shared" si="0"/>
        <v/>
      </c>
      <c r="Q84" s="119">
        <v>7</v>
      </c>
      <c r="R84" s="119">
        <v>4</v>
      </c>
      <c r="S84" s="119">
        <v>1</v>
      </c>
    </row>
    <row r="85" spans="2:19" x14ac:dyDescent="0.2">
      <c r="B85" s="119" t="s">
        <v>993</v>
      </c>
      <c r="C85" s="119" t="s">
        <v>1068</v>
      </c>
      <c r="D85" s="55" t="str">
        <f>VLOOKUP(VLOOKUP(Q85&amp;"_"&amp;R85,挑战模式!$A$3:$Z$52,2+5*S85,FALSE),'⚪设计'!$B$85:$H$114,2,FALSE)</f>
        <v>ResUnit_BianFu1</v>
      </c>
      <c r="E85" s="55">
        <f>VLOOKUP(VLOOKUP(Q85&amp;"_"&amp;R85,挑战模式!$A$3:$Z$52,2+5*S85,FALSE),'⚪设计'!$B$85:$H$114,6,FALSE)*VLOOKUP(Q85&amp;"_"&amp;R85,挑战模式!$A$3:$Z$52,5,FALSE)</f>
        <v>3</v>
      </c>
      <c r="F85">
        <v>400</v>
      </c>
      <c r="G85" t="b">
        <v>1</v>
      </c>
      <c r="H85">
        <v>1</v>
      </c>
      <c r="I85">
        <v>1</v>
      </c>
      <c r="J85">
        <v>0.25</v>
      </c>
      <c r="K85" s="55">
        <f>VLOOKUP(VLOOKUP(Q85&amp;"_"&amp;R85,挑战模式!$A$3:$Z$52,2+5*S85,FALSE),'⚪设计'!$B$85:$H$114,7,FALSE)</f>
        <v>0.5</v>
      </c>
      <c r="L85" s="119" t="s">
        <v>1143</v>
      </c>
      <c r="M85" t="s">
        <v>468</v>
      </c>
      <c r="N85" t="s">
        <v>469</v>
      </c>
      <c r="O85" t="s">
        <v>470</v>
      </c>
      <c r="P85" t="str">
        <f t="shared" si="0"/>
        <v/>
      </c>
      <c r="Q85" s="119">
        <v>7</v>
      </c>
      <c r="R85" s="119">
        <v>4</v>
      </c>
      <c r="S85" s="119">
        <v>2</v>
      </c>
    </row>
    <row r="86" spans="2:19" x14ac:dyDescent="0.2">
      <c r="B86" s="119" t="s">
        <v>994</v>
      </c>
      <c r="C86" s="119" t="s">
        <v>1069</v>
      </c>
      <c r="D86" s="55" t="str">
        <f>VLOOKUP(VLOOKUP(Q86&amp;"_"&amp;R86,挑战模式!$A$3:$Z$52,2+5*S86,FALSE),'⚪设计'!$B$85:$H$114,2,FALSE)</f>
        <v>ResUnit_MiFeng2</v>
      </c>
      <c r="E86" s="55">
        <f>VLOOKUP(VLOOKUP(Q86&amp;"_"&amp;R86,挑战模式!$A$3:$Z$52,2+5*S86,FALSE),'⚪设计'!$B$85:$H$114,6,FALSE)*VLOOKUP(Q86&amp;"_"&amp;R86,挑战模式!$A$3:$Z$52,5,FALSE)</f>
        <v>3</v>
      </c>
      <c r="F86">
        <v>400</v>
      </c>
      <c r="G86" t="b">
        <v>1</v>
      </c>
      <c r="H86">
        <v>1</v>
      </c>
      <c r="I86">
        <v>1</v>
      </c>
      <c r="J86">
        <v>0.25</v>
      </c>
      <c r="K86" s="55">
        <f>VLOOKUP(VLOOKUP(Q86&amp;"_"&amp;R86,挑战模式!$A$3:$Z$52,2+5*S86,FALSE),'⚪设计'!$B$85:$H$114,7,FALSE)</f>
        <v>0.8</v>
      </c>
      <c r="L86" s="119" t="s">
        <v>1144</v>
      </c>
      <c r="M86" t="s">
        <v>468</v>
      </c>
      <c r="N86" t="s">
        <v>469</v>
      </c>
      <c r="O86" t="s">
        <v>470</v>
      </c>
      <c r="P86" t="str">
        <f t="shared" si="0"/>
        <v/>
      </c>
      <c r="Q86" s="119">
        <v>7</v>
      </c>
      <c r="R86" s="119">
        <v>4</v>
      </c>
      <c r="S86" s="119">
        <v>3</v>
      </c>
    </row>
    <row r="87" spans="2:19" x14ac:dyDescent="0.2">
      <c r="B87" s="119" t="s">
        <v>995</v>
      </c>
      <c r="C87" s="119" t="s">
        <v>1070</v>
      </c>
      <c r="D87" s="55" t="str">
        <f>VLOOKUP(VLOOKUP(Q87&amp;"_"&amp;R87,挑战模式!$A$3:$Z$52,2+5*S87,FALSE),'⚪设计'!$B$85:$H$114,2,FALSE)</f>
        <v>ResUnit_Niao1</v>
      </c>
      <c r="E87" s="55">
        <f>VLOOKUP(VLOOKUP(Q87&amp;"_"&amp;R87,挑战模式!$A$3:$Z$52,2+5*S87,FALSE),'⚪设计'!$B$85:$H$114,6,FALSE)*VLOOKUP(Q87&amp;"_"&amp;R87,挑战模式!$A$3:$Z$52,5,FALSE)</f>
        <v>3</v>
      </c>
      <c r="F87">
        <v>400</v>
      </c>
      <c r="G87" t="b">
        <v>1</v>
      </c>
      <c r="H87">
        <v>1</v>
      </c>
      <c r="I87">
        <v>1</v>
      </c>
      <c r="J87">
        <v>0.25</v>
      </c>
      <c r="K87" s="55">
        <f>VLOOKUP(VLOOKUP(Q87&amp;"_"&amp;R87,挑战模式!$A$3:$Z$52,2+5*S87,FALSE),'⚪设计'!$B$85:$H$114,7,FALSE)</f>
        <v>1</v>
      </c>
      <c r="L87" s="119" t="s">
        <v>1145</v>
      </c>
      <c r="M87" t="s">
        <v>468</v>
      </c>
      <c r="N87" t="s">
        <v>469</v>
      </c>
      <c r="O87" t="s">
        <v>470</v>
      </c>
      <c r="P87" t="str">
        <f t="shared" si="0"/>
        <v>Skill_Monster_Challenge_Niao1</v>
      </c>
      <c r="Q87" s="119">
        <v>7</v>
      </c>
      <c r="R87" s="119">
        <v>4</v>
      </c>
      <c r="S87" s="119">
        <v>4</v>
      </c>
    </row>
    <row r="88" spans="2:19" x14ac:dyDescent="0.2">
      <c r="B88" s="119" t="s">
        <v>996</v>
      </c>
      <c r="C88" s="119" t="s">
        <v>1071</v>
      </c>
      <c r="D88" s="55" t="str">
        <f>VLOOKUP(VLOOKUP(Q88&amp;"_"&amp;R88,挑战模式!$A$3:$Z$52,2+5*S88,FALSE),'⚪设计'!$B$85:$H$114,2,FALSE)</f>
        <v>ResUnit_ZhiZhu1</v>
      </c>
      <c r="E88" s="55">
        <f>VLOOKUP(VLOOKUP(Q88&amp;"_"&amp;R88,挑战模式!$A$3:$Z$52,2+5*S88,FALSE),'⚪设计'!$B$85:$H$114,6,FALSE)*VLOOKUP(Q88&amp;"_"&amp;R88,挑战模式!$A$3:$Z$52,5,FALSE)</f>
        <v>4.5</v>
      </c>
      <c r="F88">
        <v>400</v>
      </c>
      <c r="G88" t="b">
        <v>1</v>
      </c>
      <c r="H88">
        <v>1</v>
      </c>
      <c r="I88">
        <v>1</v>
      </c>
      <c r="J88">
        <v>0.25</v>
      </c>
      <c r="K88" s="55">
        <f>VLOOKUP(VLOOKUP(Q88&amp;"_"&amp;R88,挑战模式!$A$3:$Z$52,2+5*S88,FALSE),'⚪设计'!$B$85:$H$114,7,FALSE)</f>
        <v>1</v>
      </c>
      <c r="L88" s="119" t="s">
        <v>1146</v>
      </c>
      <c r="M88" t="s">
        <v>468</v>
      </c>
      <c r="N88" t="s">
        <v>469</v>
      </c>
      <c r="O88" t="s">
        <v>470</v>
      </c>
      <c r="P88" t="str">
        <f t="shared" si="0"/>
        <v/>
      </c>
      <c r="Q88" s="119">
        <v>7</v>
      </c>
      <c r="R88" s="119">
        <v>5</v>
      </c>
      <c r="S88" s="119">
        <v>1</v>
      </c>
    </row>
    <row r="89" spans="2:19" x14ac:dyDescent="0.2">
      <c r="B89" s="119" t="s">
        <v>997</v>
      </c>
      <c r="C89" s="119" t="s">
        <v>1072</v>
      </c>
      <c r="D89" s="55" t="str">
        <f>VLOOKUP(VLOOKUP(Q89&amp;"_"&amp;R89,挑战模式!$A$3:$Z$52,2+5*S89,FALSE),'⚪设计'!$B$85:$H$114,2,FALSE)</f>
        <v>ResUnit_BianFu1</v>
      </c>
      <c r="E89" s="55">
        <f>VLOOKUP(VLOOKUP(Q89&amp;"_"&amp;R89,挑战模式!$A$3:$Z$52,2+5*S89,FALSE),'⚪设计'!$B$85:$H$114,6,FALSE)*VLOOKUP(Q89&amp;"_"&amp;R89,挑战模式!$A$3:$Z$52,5,FALSE)</f>
        <v>3</v>
      </c>
      <c r="F89">
        <v>400</v>
      </c>
      <c r="G89" t="b">
        <v>1</v>
      </c>
      <c r="H89">
        <v>1</v>
      </c>
      <c r="I89">
        <v>1</v>
      </c>
      <c r="J89">
        <v>0.25</v>
      </c>
      <c r="K89" s="55">
        <f>VLOOKUP(VLOOKUP(Q89&amp;"_"&amp;R89,挑战模式!$A$3:$Z$52,2+5*S89,FALSE),'⚪设计'!$B$85:$H$114,7,FALSE)</f>
        <v>0.5</v>
      </c>
      <c r="L89" s="119" t="s">
        <v>1147</v>
      </c>
      <c r="M89" t="s">
        <v>468</v>
      </c>
      <c r="N89" t="s">
        <v>469</v>
      </c>
      <c r="O89" t="s">
        <v>470</v>
      </c>
      <c r="P89" t="str">
        <f t="shared" si="0"/>
        <v/>
      </c>
      <c r="Q89" s="119">
        <v>7</v>
      </c>
      <c r="R89" s="119">
        <v>5</v>
      </c>
      <c r="S89" s="119">
        <v>2</v>
      </c>
    </row>
    <row r="90" spans="2:19" x14ac:dyDescent="0.2">
      <c r="B90" s="119" t="s">
        <v>998</v>
      </c>
      <c r="C90" s="119" t="s">
        <v>1073</v>
      </c>
      <c r="D90" s="55" t="str">
        <f>VLOOKUP(VLOOKUP(Q90&amp;"_"&amp;R90,挑战模式!$A$3:$Z$52,2+5*S90,FALSE),'⚪设计'!$B$85:$H$114,2,FALSE)</f>
        <v>ResUnit_MiFeng2</v>
      </c>
      <c r="E90" s="55">
        <f>VLOOKUP(VLOOKUP(Q90&amp;"_"&amp;R90,挑战模式!$A$3:$Z$52,2+5*S90,FALSE),'⚪设计'!$B$85:$H$114,6,FALSE)*VLOOKUP(Q90&amp;"_"&amp;R90,挑战模式!$A$3:$Z$52,5,FALSE)</f>
        <v>3</v>
      </c>
      <c r="F90">
        <v>400</v>
      </c>
      <c r="G90" t="b">
        <v>1</v>
      </c>
      <c r="H90">
        <v>1</v>
      </c>
      <c r="I90">
        <v>1</v>
      </c>
      <c r="J90">
        <v>0.25</v>
      </c>
      <c r="K90" s="55">
        <f>VLOOKUP(VLOOKUP(Q90&amp;"_"&amp;R90,挑战模式!$A$3:$Z$52,2+5*S90,FALSE),'⚪设计'!$B$85:$H$114,7,FALSE)</f>
        <v>0.8</v>
      </c>
      <c r="L90" s="119" t="s">
        <v>1148</v>
      </c>
      <c r="M90" t="s">
        <v>468</v>
      </c>
      <c r="N90" t="s">
        <v>469</v>
      </c>
      <c r="O90" t="s">
        <v>470</v>
      </c>
      <c r="P90" t="str">
        <f t="shared" si="0"/>
        <v/>
      </c>
      <c r="Q90" s="119">
        <v>7</v>
      </c>
      <c r="R90" s="119">
        <v>5</v>
      </c>
      <c r="S90" s="119">
        <v>3</v>
      </c>
    </row>
    <row r="91" spans="2:19" x14ac:dyDescent="0.2">
      <c r="B91" s="119" t="s">
        <v>999</v>
      </c>
      <c r="C91" s="119" t="s">
        <v>1074</v>
      </c>
      <c r="D91" s="55" t="str">
        <f>VLOOKUP(VLOOKUP(Q91&amp;"_"&amp;R91,挑战模式!$A$3:$Z$52,2+5*S91,FALSE),'⚪设计'!$B$85:$H$114,2,FALSE)</f>
        <v>ResUnit_Niao1</v>
      </c>
      <c r="E91" s="55">
        <f>VLOOKUP(VLOOKUP(Q91&amp;"_"&amp;R91,挑战模式!$A$3:$Z$52,2+5*S91,FALSE),'⚪设计'!$B$85:$H$114,6,FALSE)*VLOOKUP(Q91&amp;"_"&amp;R91,挑战模式!$A$3:$Z$52,5,FALSE)</f>
        <v>3</v>
      </c>
      <c r="F91">
        <v>400</v>
      </c>
      <c r="G91" t="b">
        <v>1</v>
      </c>
      <c r="H91">
        <v>1</v>
      </c>
      <c r="I91">
        <v>1</v>
      </c>
      <c r="J91">
        <v>0.25</v>
      </c>
      <c r="K91" s="55">
        <f>VLOOKUP(VLOOKUP(Q91&amp;"_"&amp;R91,挑战模式!$A$3:$Z$52,2+5*S91,FALSE),'⚪设计'!$B$85:$H$114,7,FALSE)</f>
        <v>1</v>
      </c>
      <c r="L91" s="119" t="s">
        <v>1149</v>
      </c>
      <c r="M91" t="s">
        <v>468</v>
      </c>
      <c r="N91" t="s">
        <v>469</v>
      </c>
      <c r="O91" t="s">
        <v>470</v>
      </c>
      <c r="P91" t="str">
        <f t="shared" si="0"/>
        <v>Skill_Monster_Challenge_Niao1</v>
      </c>
      <c r="Q91" s="119">
        <v>7</v>
      </c>
      <c r="R91" s="119">
        <v>5</v>
      </c>
      <c r="S91" s="119">
        <v>4</v>
      </c>
    </row>
    <row r="92" spans="2:19" x14ac:dyDescent="0.2">
      <c r="B92" s="119" t="s">
        <v>1000</v>
      </c>
      <c r="C92" s="119" t="s">
        <v>1075</v>
      </c>
      <c r="D92" s="55" t="str">
        <f>VLOOKUP(VLOOKUP(Q92&amp;"_"&amp;R92,挑战模式!$A$3:$Z$52,2+5*S92,FALSE),'⚪设计'!$B$85:$H$114,2,FALSE)</f>
        <v>ResUnit_ZhongZi1</v>
      </c>
      <c r="E92" s="55">
        <f>VLOOKUP(VLOOKUP(Q92&amp;"_"&amp;R92,挑战模式!$A$3:$Z$52,2+5*S92,FALSE),'⚪设计'!$B$85:$H$114,6,FALSE)*VLOOKUP(Q92&amp;"_"&amp;R92,挑战模式!$A$3:$Z$52,5,FALSE)</f>
        <v>3</v>
      </c>
      <c r="F92">
        <v>400</v>
      </c>
      <c r="G92" t="b">
        <v>1</v>
      </c>
      <c r="H92">
        <v>1</v>
      </c>
      <c r="I92">
        <v>1</v>
      </c>
      <c r="J92">
        <v>0.25</v>
      </c>
      <c r="K92" s="55">
        <f>VLOOKUP(VLOOKUP(Q92&amp;"_"&amp;R92,挑战模式!$A$3:$Z$52,2+5*S92,FALSE),'⚪设计'!$B$85:$H$114,7,FALSE)</f>
        <v>1</v>
      </c>
      <c r="L92" s="119" t="s">
        <v>1150</v>
      </c>
      <c r="M92" t="s">
        <v>468</v>
      </c>
      <c r="N92" t="s">
        <v>469</v>
      </c>
      <c r="O92" t="s">
        <v>470</v>
      </c>
      <c r="P92" t="str">
        <f t="shared" si="0"/>
        <v/>
      </c>
      <c r="Q92" s="119">
        <v>8</v>
      </c>
      <c r="R92" s="119">
        <v>1</v>
      </c>
      <c r="S92" s="119">
        <v>1</v>
      </c>
    </row>
    <row r="93" spans="2:19" x14ac:dyDescent="0.2">
      <c r="B93" s="119" t="s">
        <v>1001</v>
      </c>
      <c r="C93" s="119" t="s">
        <v>1076</v>
      </c>
      <c r="D93" s="55" t="str">
        <f>VLOOKUP(VLOOKUP(Q93&amp;"_"&amp;R93,挑战模式!$A$3:$Z$52,2+5*S93,FALSE),'⚪设计'!$B$85:$H$114,2,FALSE)</f>
        <v>ResUnit_Niao2</v>
      </c>
      <c r="E93" s="55">
        <f>VLOOKUP(VLOOKUP(Q93&amp;"_"&amp;R93,挑战模式!$A$3:$Z$52,2+5*S93,FALSE),'⚪设计'!$B$85:$H$114,6,FALSE)*VLOOKUP(Q93&amp;"_"&amp;R93,挑战模式!$A$3:$Z$52,5,FALSE)</f>
        <v>3</v>
      </c>
      <c r="F93">
        <v>400</v>
      </c>
      <c r="G93" t="b">
        <v>1</v>
      </c>
      <c r="H93">
        <v>1</v>
      </c>
      <c r="I93">
        <v>1</v>
      </c>
      <c r="J93">
        <v>0.25</v>
      </c>
      <c r="K93" s="55">
        <f>VLOOKUP(VLOOKUP(Q93&amp;"_"&amp;R93,挑战模式!$A$3:$Z$52,2+5*S93,FALSE),'⚪设计'!$B$85:$H$114,7,FALSE)</f>
        <v>1.2</v>
      </c>
      <c r="L93" s="119" t="s">
        <v>1151</v>
      </c>
      <c r="M93" t="s">
        <v>468</v>
      </c>
      <c r="N93" t="s">
        <v>469</v>
      </c>
      <c r="O93" t="s">
        <v>470</v>
      </c>
      <c r="P93" t="str">
        <f t="shared" si="0"/>
        <v>Skill_Monster_Challenge_Niao2</v>
      </c>
      <c r="Q93" s="119">
        <v>8</v>
      </c>
      <c r="R93" s="119">
        <v>1</v>
      </c>
      <c r="S93" s="119">
        <v>2</v>
      </c>
    </row>
    <row r="94" spans="2:19" x14ac:dyDescent="0.2">
      <c r="B94" s="119" t="s">
        <v>1002</v>
      </c>
      <c r="C94" s="119" t="s">
        <v>1077</v>
      </c>
      <c r="D94" s="55" t="str">
        <f>VLOOKUP(VLOOKUP(Q94&amp;"_"&amp;R94,挑战模式!$A$3:$Z$52,2+5*S94,FALSE),'⚪设计'!$B$85:$H$114,2,FALSE)</f>
        <v>ResUnit_ZhongZi1</v>
      </c>
      <c r="E94" s="55">
        <f>VLOOKUP(VLOOKUP(Q94&amp;"_"&amp;R94,挑战模式!$A$3:$Z$52,2+5*S94,FALSE),'⚪设计'!$B$85:$H$114,6,FALSE)*VLOOKUP(Q94&amp;"_"&amp;R94,挑战模式!$A$3:$Z$52,5,FALSE)</f>
        <v>3</v>
      </c>
      <c r="F94">
        <v>400</v>
      </c>
      <c r="G94" t="b">
        <v>1</v>
      </c>
      <c r="H94">
        <v>1</v>
      </c>
      <c r="I94">
        <v>1</v>
      </c>
      <c r="J94">
        <v>0.25</v>
      </c>
      <c r="K94" s="55">
        <f>VLOOKUP(VLOOKUP(Q94&amp;"_"&amp;R94,挑战模式!$A$3:$Z$52,2+5*S94,FALSE),'⚪设计'!$B$85:$H$114,7,FALSE)</f>
        <v>1</v>
      </c>
      <c r="L94" s="119" t="s">
        <v>1152</v>
      </c>
      <c r="M94" t="s">
        <v>468</v>
      </c>
      <c r="N94" t="s">
        <v>469</v>
      </c>
      <c r="O94" t="s">
        <v>470</v>
      </c>
      <c r="P94" t="str">
        <f t="shared" si="0"/>
        <v/>
      </c>
      <c r="Q94" s="119">
        <v>8</v>
      </c>
      <c r="R94" s="119">
        <v>2</v>
      </c>
      <c r="S94" s="119">
        <v>1</v>
      </c>
    </row>
    <row r="95" spans="2:19" x14ac:dyDescent="0.2">
      <c r="B95" s="119" t="s">
        <v>1003</v>
      </c>
      <c r="C95" s="119" t="s">
        <v>1078</v>
      </c>
      <c r="D95" s="55" t="str">
        <f>VLOOKUP(VLOOKUP(Q95&amp;"_"&amp;R95,挑战模式!$A$3:$Z$52,2+5*S95,FALSE),'⚪设计'!$B$85:$H$114,2,FALSE)</f>
        <v>ResUnit_MiFeng2</v>
      </c>
      <c r="E95" s="55">
        <f>VLOOKUP(VLOOKUP(Q95&amp;"_"&amp;R95,挑战模式!$A$3:$Z$52,2+5*S95,FALSE),'⚪设计'!$B$85:$H$114,6,FALSE)*VLOOKUP(Q95&amp;"_"&amp;R95,挑战模式!$A$3:$Z$52,5,FALSE)</f>
        <v>3</v>
      </c>
      <c r="F95">
        <v>400</v>
      </c>
      <c r="G95" t="b">
        <v>1</v>
      </c>
      <c r="H95">
        <v>1</v>
      </c>
      <c r="I95">
        <v>1</v>
      </c>
      <c r="J95">
        <v>0.25</v>
      </c>
      <c r="K95" s="55">
        <f>VLOOKUP(VLOOKUP(Q95&amp;"_"&amp;R95,挑战模式!$A$3:$Z$52,2+5*S95,FALSE),'⚪设计'!$B$85:$H$114,7,FALSE)</f>
        <v>0.8</v>
      </c>
      <c r="L95" s="119" t="s">
        <v>1153</v>
      </c>
      <c r="M95" t="s">
        <v>468</v>
      </c>
      <c r="N95" t="s">
        <v>469</v>
      </c>
      <c r="O95" t="s">
        <v>470</v>
      </c>
      <c r="P95" t="str">
        <f t="shared" si="0"/>
        <v/>
      </c>
      <c r="Q95" s="119">
        <v>8</v>
      </c>
      <c r="R95" s="119">
        <v>2</v>
      </c>
      <c r="S95" s="119">
        <v>2</v>
      </c>
    </row>
    <row r="96" spans="2:19" x14ac:dyDescent="0.2">
      <c r="B96" s="119" t="s">
        <v>1004</v>
      </c>
      <c r="C96" s="119" t="s">
        <v>1079</v>
      </c>
      <c r="D96" s="55" t="str">
        <f>VLOOKUP(VLOOKUP(Q96&amp;"_"&amp;R96,挑战模式!$A$3:$Z$52,2+5*S96,FALSE),'⚪设计'!$B$85:$H$114,2,FALSE)</f>
        <v>ResUnit_Niao2</v>
      </c>
      <c r="E96" s="55">
        <f>VLOOKUP(VLOOKUP(Q96&amp;"_"&amp;R96,挑战模式!$A$3:$Z$52,2+5*S96,FALSE),'⚪设计'!$B$85:$H$114,6,FALSE)*VLOOKUP(Q96&amp;"_"&amp;R96,挑战模式!$A$3:$Z$52,5,FALSE)</f>
        <v>3</v>
      </c>
      <c r="F96">
        <v>400</v>
      </c>
      <c r="G96" t="b">
        <v>1</v>
      </c>
      <c r="H96">
        <v>1</v>
      </c>
      <c r="I96">
        <v>1</v>
      </c>
      <c r="J96">
        <v>0.25</v>
      </c>
      <c r="K96" s="55">
        <f>VLOOKUP(VLOOKUP(Q96&amp;"_"&amp;R96,挑战模式!$A$3:$Z$52,2+5*S96,FALSE),'⚪设计'!$B$85:$H$114,7,FALSE)</f>
        <v>1.2</v>
      </c>
      <c r="L96" s="119" t="s">
        <v>1154</v>
      </c>
      <c r="M96" t="s">
        <v>468</v>
      </c>
      <c r="N96" t="s">
        <v>469</v>
      </c>
      <c r="O96" t="s">
        <v>470</v>
      </c>
      <c r="P96" t="str">
        <f t="shared" si="0"/>
        <v>Skill_Monster_Challenge_Niao2</v>
      </c>
      <c r="Q96" s="119">
        <v>8</v>
      </c>
      <c r="R96" s="119">
        <v>2</v>
      </c>
      <c r="S96" s="119">
        <v>3</v>
      </c>
    </row>
    <row r="97" spans="2:19" x14ac:dyDescent="0.2">
      <c r="B97" s="119" t="s">
        <v>1005</v>
      </c>
      <c r="C97" s="119" t="s">
        <v>1080</v>
      </c>
      <c r="D97" s="55" t="str">
        <f>VLOOKUP(VLOOKUP(Q97&amp;"_"&amp;R97,挑战模式!$A$3:$Z$52,2+5*S97,FALSE),'⚪设计'!$B$85:$H$114,2,FALSE)</f>
        <v>ResUnit_ZhongZi1</v>
      </c>
      <c r="E97" s="55">
        <f>VLOOKUP(VLOOKUP(Q97&amp;"_"&amp;R97,挑战模式!$A$3:$Z$52,2+5*S97,FALSE),'⚪设计'!$B$85:$H$114,6,FALSE)*VLOOKUP(Q97&amp;"_"&amp;R97,挑战模式!$A$3:$Z$52,5,FALSE)</f>
        <v>3</v>
      </c>
      <c r="F97">
        <v>400</v>
      </c>
      <c r="G97" t="b">
        <v>1</v>
      </c>
      <c r="H97">
        <v>1</v>
      </c>
      <c r="I97">
        <v>1</v>
      </c>
      <c r="J97">
        <v>0.25</v>
      </c>
      <c r="K97" s="55">
        <f>VLOOKUP(VLOOKUP(Q97&amp;"_"&amp;R97,挑战模式!$A$3:$Z$52,2+5*S97,FALSE),'⚪设计'!$B$85:$H$114,7,FALSE)</f>
        <v>1</v>
      </c>
      <c r="L97" s="119" t="s">
        <v>1155</v>
      </c>
      <c r="M97" t="s">
        <v>468</v>
      </c>
      <c r="N97" t="s">
        <v>469</v>
      </c>
      <c r="O97" t="s">
        <v>470</v>
      </c>
      <c r="P97" t="str">
        <f t="shared" si="0"/>
        <v/>
      </c>
      <c r="Q97" s="119">
        <v>8</v>
      </c>
      <c r="R97" s="119">
        <v>3</v>
      </c>
      <c r="S97" s="119">
        <v>1</v>
      </c>
    </row>
    <row r="98" spans="2:19" x14ac:dyDescent="0.2">
      <c r="B98" s="119" t="s">
        <v>1006</v>
      </c>
      <c r="C98" s="119" t="s">
        <v>1081</v>
      </c>
      <c r="D98" s="55" t="str">
        <f>VLOOKUP(VLOOKUP(Q98&amp;"_"&amp;R98,挑战模式!$A$3:$Z$52,2+5*S98,FALSE),'⚪设计'!$B$85:$H$114,2,FALSE)</f>
        <v>ResUnit_BianFu1</v>
      </c>
      <c r="E98" s="55">
        <f>VLOOKUP(VLOOKUP(Q98&amp;"_"&amp;R98,挑战模式!$A$3:$Z$52,2+5*S98,FALSE),'⚪设计'!$B$85:$H$114,6,FALSE)*VLOOKUP(Q98&amp;"_"&amp;R98,挑战模式!$A$3:$Z$52,5,FALSE)</f>
        <v>3</v>
      </c>
      <c r="F98">
        <v>400</v>
      </c>
      <c r="G98" t="b">
        <v>1</v>
      </c>
      <c r="H98">
        <v>1</v>
      </c>
      <c r="I98">
        <v>1</v>
      </c>
      <c r="J98">
        <v>0.25</v>
      </c>
      <c r="K98" s="55">
        <f>VLOOKUP(VLOOKUP(Q98&amp;"_"&amp;R98,挑战模式!$A$3:$Z$52,2+5*S98,FALSE),'⚪设计'!$B$85:$H$114,7,FALSE)</f>
        <v>0.5</v>
      </c>
      <c r="L98" s="119" t="s">
        <v>1156</v>
      </c>
      <c r="M98" t="s">
        <v>468</v>
      </c>
      <c r="N98" t="s">
        <v>469</v>
      </c>
      <c r="O98" t="s">
        <v>470</v>
      </c>
      <c r="P98" t="str">
        <f t="shared" si="0"/>
        <v/>
      </c>
      <c r="Q98" s="119">
        <v>8</v>
      </c>
      <c r="R98" s="119">
        <v>3</v>
      </c>
      <c r="S98" s="119">
        <v>2</v>
      </c>
    </row>
    <row r="99" spans="2:19" x14ac:dyDescent="0.2">
      <c r="B99" s="119" t="s">
        <v>1007</v>
      </c>
      <c r="C99" s="119" t="s">
        <v>1082</v>
      </c>
      <c r="D99" s="55" t="str">
        <f>VLOOKUP(VLOOKUP(Q99&amp;"_"&amp;R99,挑战模式!$A$3:$Z$52,2+5*S99,FALSE),'⚪设计'!$B$85:$H$114,2,FALSE)</f>
        <v>ResUnit_Niao2</v>
      </c>
      <c r="E99" s="55">
        <f>VLOOKUP(VLOOKUP(Q99&amp;"_"&amp;R99,挑战模式!$A$3:$Z$52,2+5*S99,FALSE),'⚪设计'!$B$85:$H$114,6,FALSE)*VLOOKUP(Q99&amp;"_"&amp;R99,挑战模式!$A$3:$Z$52,5,FALSE)</f>
        <v>3</v>
      </c>
      <c r="F99">
        <v>400</v>
      </c>
      <c r="G99" t="b">
        <v>1</v>
      </c>
      <c r="H99">
        <v>1</v>
      </c>
      <c r="I99">
        <v>1</v>
      </c>
      <c r="J99">
        <v>0.25</v>
      </c>
      <c r="K99" s="55">
        <f>VLOOKUP(VLOOKUP(Q99&amp;"_"&amp;R99,挑战模式!$A$3:$Z$52,2+5*S99,FALSE),'⚪设计'!$B$85:$H$114,7,FALSE)</f>
        <v>1.2</v>
      </c>
      <c r="L99" s="119" t="s">
        <v>1157</v>
      </c>
      <c r="M99" t="s">
        <v>468</v>
      </c>
      <c r="N99" t="s">
        <v>469</v>
      </c>
      <c r="O99" t="s">
        <v>470</v>
      </c>
      <c r="P99" t="str">
        <f t="shared" si="0"/>
        <v>Skill_Monster_Challenge_Niao2</v>
      </c>
      <c r="Q99" s="119">
        <v>8</v>
      </c>
      <c r="R99" s="119">
        <v>3</v>
      </c>
      <c r="S99" s="119">
        <v>3</v>
      </c>
    </row>
    <row r="100" spans="2:19" x14ac:dyDescent="0.2">
      <c r="B100" s="119" t="s">
        <v>1008</v>
      </c>
      <c r="C100" s="119" t="s">
        <v>1083</v>
      </c>
      <c r="D100" s="55" t="str">
        <f>VLOOKUP(VLOOKUP(Q100&amp;"_"&amp;R100,挑战模式!$A$3:$Z$52,2+5*S100,FALSE),'⚪设计'!$B$85:$H$114,2,FALSE)</f>
        <v>ResUnit_ZhongZi1</v>
      </c>
      <c r="E100" s="55">
        <f>VLOOKUP(VLOOKUP(Q100&amp;"_"&amp;R100,挑战模式!$A$3:$Z$52,2+5*S100,FALSE),'⚪设计'!$B$85:$H$114,6,FALSE)*VLOOKUP(Q100&amp;"_"&amp;R100,挑战模式!$A$3:$Z$52,5,FALSE)</f>
        <v>3</v>
      </c>
      <c r="F100">
        <v>400</v>
      </c>
      <c r="G100" t="b">
        <v>1</v>
      </c>
      <c r="H100">
        <v>1</v>
      </c>
      <c r="I100">
        <v>1</v>
      </c>
      <c r="J100">
        <v>0.25</v>
      </c>
      <c r="K100" s="55">
        <f>VLOOKUP(VLOOKUP(Q100&amp;"_"&amp;R100,挑战模式!$A$3:$Z$52,2+5*S100,FALSE),'⚪设计'!$B$85:$H$114,7,FALSE)</f>
        <v>1</v>
      </c>
      <c r="L100" s="119" t="s">
        <v>1158</v>
      </c>
      <c r="M100" t="s">
        <v>468</v>
      </c>
      <c r="N100" t="s">
        <v>469</v>
      </c>
      <c r="O100" t="s">
        <v>470</v>
      </c>
      <c r="P100" t="str">
        <f t="shared" si="0"/>
        <v/>
      </c>
      <c r="Q100" s="119">
        <v>8</v>
      </c>
      <c r="R100" s="119">
        <v>4</v>
      </c>
      <c r="S100" s="119">
        <v>1</v>
      </c>
    </row>
    <row r="101" spans="2:19" x14ac:dyDescent="0.2">
      <c r="B101" s="119" t="s">
        <v>1009</v>
      </c>
      <c r="C101" s="119" t="s">
        <v>1084</v>
      </c>
      <c r="D101" s="55" t="str">
        <f>VLOOKUP(VLOOKUP(Q101&amp;"_"&amp;R101,挑战模式!$A$3:$Z$52,2+5*S101,FALSE),'⚪设计'!$B$85:$H$114,2,FALSE)</f>
        <v>ResUnit_BianFu1</v>
      </c>
      <c r="E101" s="55">
        <f>VLOOKUP(VLOOKUP(Q101&amp;"_"&amp;R101,挑战模式!$A$3:$Z$52,2+5*S101,FALSE),'⚪设计'!$B$85:$H$114,6,FALSE)*VLOOKUP(Q101&amp;"_"&amp;R101,挑战模式!$A$3:$Z$52,5,FALSE)</f>
        <v>3</v>
      </c>
      <c r="F101">
        <v>400</v>
      </c>
      <c r="G101" t="b">
        <v>1</v>
      </c>
      <c r="H101">
        <v>1</v>
      </c>
      <c r="I101">
        <v>1</v>
      </c>
      <c r="J101">
        <v>0.25</v>
      </c>
      <c r="K101" s="55">
        <f>VLOOKUP(VLOOKUP(Q101&amp;"_"&amp;R101,挑战模式!$A$3:$Z$52,2+5*S101,FALSE),'⚪设计'!$B$85:$H$114,7,FALSE)</f>
        <v>0.5</v>
      </c>
      <c r="L101" s="119" t="s">
        <v>1159</v>
      </c>
      <c r="M101" t="s">
        <v>468</v>
      </c>
      <c r="N101" t="s">
        <v>469</v>
      </c>
      <c r="O101" t="s">
        <v>470</v>
      </c>
      <c r="P101" t="str">
        <f t="shared" si="0"/>
        <v/>
      </c>
      <c r="Q101" s="119">
        <v>8</v>
      </c>
      <c r="R101" s="119">
        <v>4</v>
      </c>
      <c r="S101" s="119">
        <v>2</v>
      </c>
    </row>
    <row r="102" spans="2:19" x14ac:dyDescent="0.2">
      <c r="B102" s="119" t="s">
        <v>1010</v>
      </c>
      <c r="C102" s="119" t="s">
        <v>1085</v>
      </c>
      <c r="D102" s="55" t="str">
        <f>VLOOKUP(VLOOKUP(Q102&amp;"_"&amp;R102,挑战模式!$A$3:$Z$52,2+5*S102,FALSE),'⚪设计'!$B$85:$H$114,2,FALSE)</f>
        <v>ResUnit_ZhiZhu1</v>
      </c>
      <c r="E102" s="55">
        <f>VLOOKUP(VLOOKUP(Q102&amp;"_"&amp;R102,挑战模式!$A$3:$Z$52,2+5*S102,FALSE),'⚪设计'!$B$85:$H$114,6,FALSE)*VLOOKUP(Q102&amp;"_"&amp;R102,挑战模式!$A$3:$Z$52,5,FALSE)</f>
        <v>4.5</v>
      </c>
      <c r="F102">
        <v>400</v>
      </c>
      <c r="G102" t="b">
        <v>1</v>
      </c>
      <c r="H102">
        <v>1</v>
      </c>
      <c r="I102">
        <v>1</v>
      </c>
      <c r="J102">
        <v>0.25</v>
      </c>
      <c r="K102" s="55">
        <f>VLOOKUP(VLOOKUP(Q102&amp;"_"&amp;R102,挑战模式!$A$3:$Z$52,2+5*S102,FALSE),'⚪设计'!$B$85:$H$114,7,FALSE)</f>
        <v>1</v>
      </c>
      <c r="L102" s="119" t="s">
        <v>1160</v>
      </c>
      <c r="M102" t="s">
        <v>468</v>
      </c>
      <c r="N102" t="s">
        <v>469</v>
      </c>
      <c r="O102" t="s">
        <v>470</v>
      </c>
      <c r="P102" t="str">
        <f t="shared" si="0"/>
        <v/>
      </c>
      <c r="Q102" s="119">
        <v>8</v>
      </c>
      <c r="R102" s="119">
        <v>4</v>
      </c>
      <c r="S102" s="119">
        <v>3</v>
      </c>
    </row>
    <row r="103" spans="2:19" x14ac:dyDescent="0.2">
      <c r="B103" s="119" t="s">
        <v>1011</v>
      </c>
      <c r="C103" s="119" t="s">
        <v>1086</v>
      </c>
      <c r="D103" s="55" t="str">
        <f>VLOOKUP(VLOOKUP(Q103&amp;"_"&amp;R103,挑战模式!$A$3:$Z$52,2+5*S103,FALSE),'⚪设计'!$B$85:$H$114,2,FALSE)</f>
        <v>ResUnit_Niao2</v>
      </c>
      <c r="E103" s="55">
        <f>VLOOKUP(VLOOKUP(Q103&amp;"_"&amp;R103,挑战模式!$A$3:$Z$52,2+5*S103,FALSE),'⚪设计'!$B$85:$H$114,6,FALSE)*VLOOKUP(Q103&amp;"_"&amp;R103,挑战模式!$A$3:$Z$52,5,FALSE)</f>
        <v>3</v>
      </c>
      <c r="F103">
        <v>400</v>
      </c>
      <c r="G103" t="b">
        <v>1</v>
      </c>
      <c r="H103">
        <v>1</v>
      </c>
      <c r="I103">
        <v>1</v>
      </c>
      <c r="J103">
        <v>0.25</v>
      </c>
      <c r="K103" s="55">
        <f>VLOOKUP(VLOOKUP(Q103&amp;"_"&amp;R103,挑战模式!$A$3:$Z$52,2+5*S103,FALSE),'⚪设计'!$B$85:$H$114,7,FALSE)</f>
        <v>1.2</v>
      </c>
      <c r="L103" s="119" t="s">
        <v>1161</v>
      </c>
      <c r="M103" t="s">
        <v>468</v>
      </c>
      <c r="N103" t="s">
        <v>469</v>
      </c>
      <c r="O103" t="s">
        <v>470</v>
      </c>
      <c r="P103" t="str">
        <f t="shared" si="0"/>
        <v>Skill_Monster_Challenge_Niao2</v>
      </c>
      <c r="Q103" s="119">
        <v>8</v>
      </c>
      <c r="R103" s="119">
        <v>4</v>
      </c>
      <c r="S103" s="119">
        <v>4</v>
      </c>
    </row>
    <row r="104" spans="2:19" x14ac:dyDescent="0.2">
      <c r="B104" s="119" t="s">
        <v>1012</v>
      </c>
      <c r="C104" s="119" t="s">
        <v>1087</v>
      </c>
      <c r="D104" s="55" t="str">
        <f>VLOOKUP(VLOOKUP(Q104&amp;"_"&amp;R104,挑战模式!$A$3:$Z$52,2+5*S104,FALSE),'⚪设计'!$B$85:$H$114,2,FALSE)</f>
        <v>ResUnit_ZhongZi1</v>
      </c>
      <c r="E104" s="55">
        <f>VLOOKUP(VLOOKUP(Q104&amp;"_"&amp;R104,挑战模式!$A$3:$Z$52,2+5*S104,FALSE),'⚪设计'!$B$85:$H$114,6,FALSE)*VLOOKUP(Q104&amp;"_"&amp;R104,挑战模式!$A$3:$Z$52,5,FALSE)</f>
        <v>3</v>
      </c>
      <c r="F104">
        <v>400</v>
      </c>
      <c r="G104" t="b">
        <v>1</v>
      </c>
      <c r="H104">
        <v>1</v>
      </c>
      <c r="I104">
        <v>1</v>
      </c>
      <c r="J104">
        <v>0.25</v>
      </c>
      <c r="K104" s="55">
        <f>VLOOKUP(VLOOKUP(Q104&amp;"_"&amp;R104,挑战模式!$A$3:$Z$52,2+5*S104,FALSE),'⚪设计'!$B$85:$H$114,7,FALSE)</f>
        <v>1</v>
      </c>
      <c r="L104" s="119" t="s">
        <v>1162</v>
      </c>
      <c r="M104" t="s">
        <v>468</v>
      </c>
      <c r="N104" t="s">
        <v>469</v>
      </c>
      <c r="O104" t="s">
        <v>470</v>
      </c>
      <c r="P104" t="str">
        <f t="shared" si="0"/>
        <v/>
      </c>
      <c r="Q104" s="119">
        <v>8</v>
      </c>
      <c r="R104" s="119">
        <v>5</v>
      </c>
      <c r="S104" s="119">
        <v>1</v>
      </c>
    </row>
    <row r="105" spans="2:19" x14ac:dyDescent="0.2">
      <c r="B105" s="119" t="s">
        <v>1013</v>
      </c>
      <c r="C105" s="119" t="s">
        <v>1088</v>
      </c>
      <c r="D105" s="55" t="str">
        <f>VLOOKUP(VLOOKUP(Q105&amp;"_"&amp;R105,挑战模式!$A$3:$Z$52,2+5*S105,FALSE),'⚪设计'!$B$85:$H$114,2,FALSE)</f>
        <v>ResUnit_MiFeng2</v>
      </c>
      <c r="E105" s="55">
        <f>VLOOKUP(VLOOKUP(Q105&amp;"_"&amp;R105,挑战模式!$A$3:$Z$52,2+5*S105,FALSE),'⚪设计'!$B$85:$H$114,6,FALSE)*VLOOKUP(Q105&amp;"_"&amp;R105,挑战模式!$A$3:$Z$52,5,FALSE)</f>
        <v>3</v>
      </c>
      <c r="F105">
        <v>400</v>
      </c>
      <c r="G105" t="b">
        <v>1</v>
      </c>
      <c r="H105">
        <v>1</v>
      </c>
      <c r="I105">
        <v>1</v>
      </c>
      <c r="J105">
        <v>0.25</v>
      </c>
      <c r="K105" s="55">
        <f>VLOOKUP(VLOOKUP(Q105&amp;"_"&amp;R105,挑战模式!$A$3:$Z$52,2+5*S105,FALSE),'⚪设计'!$B$85:$H$114,7,FALSE)</f>
        <v>0.8</v>
      </c>
      <c r="L105" s="119" t="s">
        <v>1163</v>
      </c>
      <c r="M105" t="s">
        <v>468</v>
      </c>
      <c r="N105" t="s">
        <v>469</v>
      </c>
      <c r="O105" t="s">
        <v>470</v>
      </c>
      <c r="P105" t="str">
        <f t="shared" si="0"/>
        <v/>
      </c>
      <c r="Q105" s="119">
        <v>8</v>
      </c>
      <c r="R105" s="119">
        <v>5</v>
      </c>
      <c r="S105" s="119">
        <v>2</v>
      </c>
    </row>
    <row r="106" spans="2:19" x14ac:dyDescent="0.2">
      <c r="B106" s="119" t="s">
        <v>1014</v>
      </c>
      <c r="C106" s="119" t="s">
        <v>1089</v>
      </c>
      <c r="D106" s="55" t="str">
        <f>VLOOKUP(VLOOKUP(Q106&amp;"_"&amp;R106,挑战模式!$A$3:$Z$52,2+5*S106,FALSE),'⚪设计'!$B$85:$H$114,2,FALSE)</f>
        <v>ResUnit_ZhiZhu1</v>
      </c>
      <c r="E106" s="55">
        <f>VLOOKUP(VLOOKUP(Q106&amp;"_"&amp;R106,挑战模式!$A$3:$Z$52,2+5*S106,FALSE),'⚪设计'!$B$85:$H$114,6,FALSE)*VLOOKUP(Q106&amp;"_"&amp;R106,挑战模式!$A$3:$Z$52,5,FALSE)</f>
        <v>4.5</v>
      </c>
      <c r="F106">
        <v>400</v>
      </c>
      <c r="G106" t="b">
        <v>1</v>
      </c>
      <c r="H106">
        <v>1</v>
      </c>
      <c r="I106">
        <v>1</v>
      </c>
      <c r="J106">
        <v>0.25</v>
      </c>
      <c r="K106" s="55">
        <f>VLOOKUP(VLOOKUP(Q106&amp;"_"&amp;R106,挑战模式!$A$3:$Z$52,2+5*S106,FALSE),'⚪设计'!$B$85:$H$114,7,FALSE)</f>
        <v>1</v>
      </c>
      <c r="L106" s="119" t="s">
        <v>1164</v>
      </c>
      <c r="M106" t="s">
        <v>468</v>
      </c>
      <c r="N106" t="s">
        <v>469</v>
      </c>
      <c r="O106" t="s">
        <v>470</v>
      </c>
      <c r="P106" t="str">
        <f t="shared" si="0"/>
        <v/>
      </c>
      <c r="Q106" s="119">
        <v>8</v>
      </c>
      <c r="R106" s="119">
        <v>5</v>
      </c>
      <c r="S106" s="119">
        <v>3</v>
      </c>
    </row>
    <row r="107" spans="2:19" x14ac:dyDescent="0.2">
      <c r="B107" s="119" t="s">
        <v>1015</v>
      </c>
      <c r="C107" s="119" t="s">
        <v>1090</v>
      </c>
      <c r="D107" s="55" t="str">
        <f>VLOOKUP(VLOOKUP(Q107&amp;"_"&amp;R107,挑战模式!$A$3:$Z$52,2+5*S107,FALSE),'⚪设计'!$B$85:$H$114,2,FALSE)</f>
        <v>ResUnit_Niao2</v>
      </c>
      <c r="E107" s="55">
        <f>VLOOKUP(VLOOKUP(Q107&amp;"_"&amp;R107,挑战模式!$A$3:$Z$52,2+5*S107,FALSE),'⚪设计'!$B$85:$H$114,6,FALSE)*VLOOKUP(Q107&amp;"_"&amp;R107,挑战模式!$A$3:$Z$52,5,FALSE)</f>
        <v>3</v>
      </c>
      <c r="F107">
        <v>400</v>
      </c>
      <c r="G107" t="b">
        <v>1</v>
      </c>
      <c r="H107">
        <v>1</v>
      </c>
      <c r="I107">
        <v>1</v>
      </c>
      <c r="J107">
        <v>0.25</v>
      </c>
      <c r="K107" s="55">
        <f>VLOOKUP(VLOOKUP(Q107&amp;"_"&amp;R107,挑战模式!$A$3:$Z$52,2+5*S107,FALSE),'⚪设计'!$B$85:$H$114,7,FALSE)</f>
        <v>1.2</v>
      </c>
      <c r="L107" s="119" t="s">
        <v>1165</v>
      </c>
      <c r="M107" t="s">
        <v>468</v>
      </c>
      <c r="N107" t="s">
        <v>469</v>
      </c>
      <c r="O107" t="s">
        <v>470</v>
      </c>
      <c r="P107" t="str">
        <f t="shared" si="0"/>
        <v>Skill_Monster_Challenge_Niao2</v>
      </c>
      <c r="Q107" s="119">
        <v>8</v>
      </c>
      <c r="R107" s="119">
        <v>5</v>
      </c>
      <c r="S107" s="119">
        <v>4</v>
      </c>
    </row>
    <row r="108" spans="2:19" x14ac:dyDescent="0.2">
      <c r="B108" s="119" t="s">
        <v>1016</v>
      </c>
      <c r="C108" s="119" t="s">
        <v>1091</v>
      </c>
      <c r="D108" s="55" t="str">
        <f>VLOOKUP(VLOOKUP(Q108&amp;"_"&amp;R108,挑战模式!$A$3:$Z$52,2+5*S108,FALSE),'⚪设计'!$B$85:$H$114,2,FALSE)</f>
        <v>ResUnit_Gui1</v>
      </c>
      <c r="E108" s="55">
        <f>VLOOKUP(VLOOKUP(Q108&amp;"_"&amp;R108,挑战模式!$A$3:$Z$52,2+5*S108,FALSE),'⚪设计'!$B$85:$H$114,6,FALSE)*VLOOKUP(Q108&amp;"_"&amp;R108,挑战模式!$A$3:$Z$52,5,FALSE)</f>
        <v>3</v>
      </c>
      <c r="F108">
        <v>400</v>
      </c>
      <c r="G108" t="b">
        <v>1</v>
      </c>
      <c r="H108">
        <v>1</v>
      </c>
      <c r="I108">
        <v>1</v>
      </c>
      <c r="J108">
        <v>0.25</v>
      </c>
      <c r="K108" s="55">
        <f>VLOOKUP(VLOOKUP(Q108&amp;"_"&amp;R108,挑战模式!$A$3:$Z$52,2+5*S108,FALSE),'⚪设计'!$B$85:$H$114,7,FALSE)</f>
        <v>1</v>
      </c>
      <c r="L108" s="119" t="s">
        <v>1166</v>
      </c>
      <c r="M108" t="s">
        <v>468</v>
      </c>
      <c r="N108" t="s">
        <v>469</v>
      </c>
      <c r="O108" t="s">
        <v>470</v>
      </c>
      <c r="P108" t="str">
        <f t="shared" si="0"/>
        <v/>
      </c>
      <c r="Q108" s="119">
        <v>9</v>
      </c>
      <c r="R108" s="119">
        <v>1</v>
      </c>
      <c r="S108" s="119">
        <v>1</v>
      </c>
    </row>
    <row r="109" spans="2:19" x14ac:dyDescent="0.2">
      <c r="B109" s="119" t="s">
        <v>1017</v>
      </c>
      <c r="C109" s="119" t="s">
        <v>1092</v>
      </c>
      <c r="D109" s="55" t="str">
        <f>VLOOKUP(VLOOKUP(Q109&amp;"_"&amp;R109,挑战模式!$A$3:$Z$52,2+5*S109,FALSE),'⚪设计'!$B$85:$H$114,2,FALSE)</f>
        <v>ResUnit_Niao2</v>
      </c>
      <c r="E109" s="55">
        <f>VLOOKUP(VLOOKUP(Q109&amp;"_"&amp;R109,挑战模式!$A$3:$Z$52,2+5*S109,FALSE),'⚪设计'!$B$85:$H$114,6,FALSE)*VLOOKUP(Q109&amp;"_"&amp;R109,挑战模式!$A$3:$Z$52,5,FALSE)</f>
        <v>3</v>
      </c>
      <c r="F109">
        <v>400</v>
      </c>
      <c r="G109" t="b">
        <v>1</v>
      </c>
      <c r="H109">
        <v>1</v>
      </c>
      <c r="I109">
        <v>1</v>
      </c>
      <c r="J109">
        <v>0.25</v>
      </c>
      <c r="K109" s="55">
        <f>VLOOKUP(VLOOKUP(Q109&amp;"_"&amp;R109,挑战模式!$A$3:$Z$52,2+5*S109,FALSE),'⚪设计'!$B$85:$H$114,7,FALSE)</f>
        <v>1.2</v>
      </c>
      <c r="L109" s="119" t="s">
        <v>1167</v>
      </c>
      <c r="M109" t="s">
        <v>468</v>
      </c>
      <c r="N109" t="s">
        <v>469</v>
      </c>
      <c r="O109" t="s">
        <v>470</v>
      </c>
      <c r="P109" t="str">
        <f t="shared" si="0"/>
        <v>Skill_Monster_Challenge_Niao2</v>
      </c>
      <c r="Q109" s="119">
        <v>9</v>
      </c>
      <c r="R109" s="119">
        <v>1</v>
      </c>
      <c r="S109" s="119">
        <v>2</v>
      </c>
    </row>
    <row r="110" spans="2:19" x14ac:dyDescent="0.2">
      <c r="B110" s="119" t="s">
        <v>1018</v>
      </c>
      <c r="C110" s="119" t="s">
        <v>1093</v>
      </c>
      <c r="D110" s="55" t="str">
        <f>VLOOKUP(VLOOKUP(Q110&amp;"_"&amp;R110,挑战模式!$A$3:$Z$52,2+5*S110,FALSE),'⚪设计'!$B$85:$H$114,2,FALSE)</f>
        <v>ResUnit_Gui1</v>
      </c>
      <c r="E110" s="55">
        <f>VLOOKUP(VLOOKUP(Q110&amp;"_"&amp;R110,挑战模式!$A$3:$Z$52,2+5*S110,FALSE),'⚪设计'!$B$85:$H$114,6,FALSE)*VLOOKUP(Q110&amp;"_"&amp;R110,挑战模式!$A$3:$Z$52,5,FALSE)</f>
        <v>3</v>
      </c>
      <c r="F110">
        <v>400</v>
      </c>
      <c r="G110" t="b">
        <v>1</v>
      </c>
      <c r="H110">
        <v>1</v>
      </c>
      <c r="I110">
        <v>1</v>
      </c>
      <c r="J110">
        <v>0.25</v>
      </c>
      <c r="K110" s="55">
        <f>VLOOKUP(VLOOKUP(Q110&amp;"_"&amp;R110,挑战模式!$A$3:$Z$52,2+5*S110,FALSE),'⚪设计'!$B$85:$H$114,7,FALSE)</f>
        <v>1</v>
      </c>
      <c r="L110" s="119" t="s">
        <v>1168</v>
      </c>
      <c r="M110" t="s">
        <v>468</v>
      </c>
      <c r="N110" t="s">
        <v>469</v>
      </c>
      <c r="O110" t="s">
        <v>470</v>
      </c>
      <c r="P110" t="str">
        <f t="shared" si="0"/>
        <v/>
      </c>
      <c r="Q110" s="119">
        <v>9</v>
      </c>
      <c r="R110" s="119">
        <v>2</v>
      </c>
      <c r="S110" s="119">
        <v>1</v>
      </c>
    </row>
    <row r="111" spans="2:19" x14ac:dyDescent="0.2">
      <c r="B111" s="119" t="s">
        <v>1019</v>
      </c>
      <c r="C111" s="119" t="s">
        <v>1094</v>
      </c>
      <c r="D111" s="55" t="str">
        <f>VLOOKUP(VLOOKUP(Q111&amp;"_"&amp;R111,挑战模式!$A$3:$Z$52,2+5*S111,FALSE),'⚪设计'!$B$85:$H$114,2,FALSE)</f>
        <v>ResUnit_MiFeng2</v>
      </c>
      <c r="E111" s="55">
        <f>VLOOKUP(VLOOKUP(Q111&amp;"_"&amp;R111,挑战模式!$A$3:$Z$52,2+5*S111,FALSE),'⚪设计'!$B$85:$H$114,6,FALSE)*VLOOKUP(Q111&amp;"_"&amp;R111,挑战模式!$A$3:$Z$52,5,FALSE)</f>
        <v>3</v>
      </c>
      <c r="F111">
        <v>400</v>
      </c>
      <c r="G111" t="b">
        <v>1</v>
      </c>
      <c r="H111">
        <v>1</v>
      </c>
      <c r="I111">
        <v>1</v>
      </c>
      <c r="J111">
        <v>0.25</v>
      </c>
      <c r="K111" s="55">
        <f>VLOOKUP(VLOOKUP(Q111&amp;"_"&amp;R111,挑战模式!$A$3:$Z$52,2+5*S111,FALSE),'⚪设计'!$B$85:$H$114,7,FALSE)</f>
        <v>0.8</v>
      </c>
      <c r="L111" s="119" t="s">
        <v>1169</v>
      </c>
      <c r="M111" t="s">
        <v>468</v>
      </c>
      <c r="N111" t="s">
        <v>469</v>
      </c>
      <c r="O111" t="s">
        <v>470</v>
      </c>
      <c r="P111" t="str">
        <f t="shared" si="0"/>
        <v/>
      </c>
      <c r="Q111" s="119">
        <v>9</v>
      </c>
      <c r="R111" s="119">
        <v>2</v>
      </c>
      <c r="S111" s="119">
        <v>2</v>
      </c>
    </row>
    <row r="112" spans="2:19" x14ac:dyDescent="0.2">
      <c r="B112" s="119" t="s">
        <v>1020</v>
      </c>
      <c r="C112" s="119" t="s">
        <v>1095</v>
      </c>
      <c r="D112" s="55" t="str">
        <f>VLOOKUP(VLOOKUP(Q112&amp;"_"&amp;R112,挑战模式!$A$3:$Z$52,2+5*S112,FALSE),'⚪设计'!$B$85:$H$114,2,FALSE)</f>
        <v>ResUnit_Niao2</v>
      </c>
      <c r="E112" s="55">
        <f>VLOOKUP(VLOOKUP(Q112&amp;"_"&amp;R112,挑战模式!$A$3:$Z$52,2+5*S112,FALSE),'⚪设计'!$B$85:$H$114,6,FALSE)*VLOOKUP(Q112&amp;"_"&amp;R112,挑战模式!$A$3:$Z$52,5,FALSE)</f>
        <v>3</v>
      </c>
      <c r="F112">
        <v>400</v>
      </c>
      <c r="G112" t="b">
        <v>1</v>
      </c>
      <c r="H112">
        <v>1</v>
      </c>
      <c r="I112">
        <v>1</v>
      </c>
      <c r="J112">
        <v>0.25</v>
      </c>
      <c r="K112" s="55">
        <f>VLOOKUP(VLOOKUP(Q112&amp;"_"&amp;R112,挑战模式!$A$3:$Z$52,2+5*S112,FALSE),'⚪设计'!$B$85:$H$114,7,FALSE)</f>
        <v>1.2</v>
      </c>
      <c r="L112" s="119" t="s">
        <v>1170</v>
      </c>
      <c r="M112" t="s">
        <v>468</v>
      </c>
      <c r="N112" t="s">
        <v>469</v>
      </c>
      <c r="O112" t="s">
        <v>470</v>
      </c>
      <c r="P112" t="str">
        <f t="shared" si="0"/>
        <v>Skill_Monster_Challenge_Niao2</v>
      </c>
      <c r="Q112" s="119">
        <v>9</v>
      </c>
      <c r="R112" s="119">
        <v>2</v>
      </c>
      <c r="S112" s="119">
        <v>3</v>
      </c>
    </row>
    <row r="113" spans="2:19" x14ac:dyDescent="0.2">
      <c r="B113" s="119" t="s">
        <v>1021</v>
      </c>
      <c r="C113" s="119" t="s">
        <v>1096</v>
      </c>
      <c r="D113" s="55" t="str">
        <f>VLOOKUP(VLOOKUP(Q113&amp;"_"&amp;R113,挑战模式!$A$3:$Z$52,2+5*S113,FALSE),'⚪设计'!$B$85:$H$114,2,FALSE)</f>
        <v>ResUnit_Gui1</v>
      </c>
      <c r="E113" s="55">
        <f>VLOOKUP(VLOOKUP(Q113&amp;"_"&amp;R113,挑战模式!$A$3:$Z$52,2+5*S113,FALSE),'⚪设计'!$B$85:$H$114,6,FALSE)*VLOOKUP(Q113&amp;"_"&amp;R113,挑战模式!$A$3:$Z$52,5,FALSE)</f>
        <v>3</v>
      </c>
      <c r="F113">
        <v>400</v>
      </c>
      <c r="G113" t="b">
        <v>1</v>
      </c>
      <c r="H113">
        <v>1</v>
      </c>
      <c r="I113">
        <v>1</v>
      </c>
      <c r="J113">
        <v>0.25</v>
      </c>
      <c r="K113" s="55">
        <f>VLOOKUP(VLOOKUP(Q113&amp;"_"&amp;R113,挑战模式!$A$3:$Z$52,2+5*S113,FALSE),'⚪设计'!$B$85:$H$114,7,FALSE)</f>
        <v>1</v>
      </c>
      <c r="L113" s="119" t="s">
        <v>1171</v>
      </c>
      <c r="M113" t="s">
        <v>468</v>
      </c>
      <c r="N113" t="s">
        <v>469</v>
      </c>
      <c r="O113" t="s">
        <v>470</v>
      </c>
      <c r="P113" t="str">
        <f t="shared" si="0"/>
        <v/>
      </c>
      <c r="Q113" s="119">
        <v>9</v>
      </c>
      <c r="R113" s="119">
        <v>3</v>
      </c>
      <c r="S113" s="119">
        <v>1</v>
      </c>
    </row>
    <row r="114" spans="2:19" x14ac:dyDescent="0.2">
      <c r="B114" s="119" t="s">
        <v>1022</v>
      </c>
      <c r="C114" s="119" t="s">
        <v>1097</v>
      </c>
      <c r="D114" s="55" t="str">
        <f>VLOOKUP(VLOOKUP(Q114&amp;"_"&amp;R114,挑战模式!$A$3:$Z$52,2+5*S114,FALSE),'⚪设计'!$B$85:$H$114,2,FALSE)</f>
        <v>ResUnit_BianFu1</v>
      </c>
      <c r="E114" s="55">
        <f>VLOOKUP(VLOOKUP(Q114&amp;"_"&amp;R114,挑战模式!$A$3:$Z$52,2+5*S114,FALSE),'⚪设计'!$B$85:$H$114,6,FALSE)*VLOOKUP(Q114&amp;"_"&amp;R114,挑战模式!$A$3:$Z$52,5,FALSE)</f>
        <v>3</v>
      </c>
      <c r="F114">
        <v>400</v>
      </c>
      <c r="G114" t="b">
        <v>1</v>
      </c>
      <c r="H114">
        <v>1</v>
      </c>
      <c r="I114">
        <v>1</v>
      </c>
      <c r="J114">
        <v>0.25</v>
      </c>
      <c r="K114" s="55">
        <f>VLOOKUP(VLOOKUP(Q114&amp;"_"&amp;R114,挑战模式!$A$3:$Z$52,2+5*S114,FALSE),'⚪设计'!$B$85:$H$114,7,FALSE)</f>
        <v>0.5</v>
      </c>
      <c r="L114" s="119" t="s">
        <v>1172</v>
      </c>
      <c r="M114" t="s">
        <v>468</v>
      </c>
      <c r="N114" t="s">
        <v>469</v>
      </c>
      <c r="O114" t="s">
        <v>470</v>
      </c>
      <c r="P114" t="str">
        <f t="shared" si="0"/>
        <v/>
      </c>
      <c r="Q114" s="119">
        <v>9</v>
      </c>
      <c r="R114" s="119">
        <v>3</v>
      </c>
      <c r="S114" s="119">
        <v>2</v>
      </c>
    </row>
    <row r="115" spans="2:19" x14ac:dyDescent="0.2">
      <c r="B115" s="119" t="s">
        <v>1023</v>
      </c>
      <c r="C115" s="119" t="s">
        <v>1098</v>
      </c>
      <c r="D115" s="55" t="str">
        <f>VLOOKUP(VLOOKUP(Q115&amp;"_"&amp;R115,挑战模式!$A$3:$Z$52,2+5*S115,FALSE),'⚪设计'!$B$85:$H$114,2,FALSE)</f>
        <v>ResUnit_Niao2</v>
      </c>
      <c r="E115" s="55">
        <f>VLOOKUP(VLOOKUP(Q115&amp;"_"&amp;R115,挑战模式!$A$3:$Z$52,2+5*S115,FALSE),'⚪设计'!$B$85:$H$114,6,FALSE)*VLOOKUP(Q115&amp;"_"&amp;R115,挑战模式!$A$3:$Z$52,5,FALSE)</f>
        <v>3</v>
      </c>
      <c r="F115">
        <v>400</v>
      </c>
      <c r="G115" t="b">
        <v>1</v>
      </c>
      <c r="H115">
        <v>1</v>
      </c>
      <c r="I115">
        <v>1</v>
      </c>
      <c r="J115">
        <v>0.25</v>
      </c>
      <c r="K115" s="55">
        <f>VLOOKUP(VLOOKUP(Q115&amp;"_"&amp;R115,挑战模式!$A$3:$Z$52,2+5*S115,FALSE),'⚪设计'!$B$85:$H$114,7,FALSE)</f>
        <v>1.2</v>
      </c>
      <c r="L115" s="119" t="s">
        <v>1173</v>
      </c>
      <c r="M115" t="s">
        <v>468</v>
      </c>
      <c r="N115" t="s">
        <v>469</v>
      </c>
      <c r="O115" t="s">
        <v>470</v>
      </c>
      <c r="P115" t="str">
        <f t="shared" si="0"/>
        <v>Skill_Monster_Challenge_Niao2</v>
      </c>
      <c r="Q115" s="119">
        <v>9</v>
      </c>
      <c r="R115" s="119">
        <v>3</v>
      </c>
      <c r="S115" s="119">
        <v>3</v>
      </c>
    </row>
    <row r="116" spans="2:19" x14ac:dyDescent="0.2">
      <c r="B116" s="119" t="s">
        <v>1024</v>
      </c>
      <c r="C116" s="119" t="s">
        <v>1099</v>
      </c>
      <c r="D116" s="55" t="str">
        <f>VLOOKUP(VLOOKUP(Q116&amp;"_"&amp;R116,挑战模式!$A$3:$Z$52,2+5*S116,FALSE),'⚪设计'!$B$85:$H$114,2,FALSE)</f>
        <v>ResUnit_Gui1</v>
      </c>
      <c r="E116" s="55">
        <f>VLOOKUP(VLOOKUP(Q116&amp;"_"&amp;R116,挑战模式!$A$3:$Z$52,2+5*S116,FALSE),'⚪设计'!$B$85:$H$114,6,FALSE)*VLOOKUP(Q116&amp;"_"&amp;R116,挑战模式!$A$3:$Z$52,5,FALSE)</f>
        <v>3</v>
      </c>
      <c r="F116">
        <v>400</v>
      </c>
      <c r="G116" t="b">
        <v>1</v>
      </c>
      <c r="H116">
        <v>1</v>
      </c>
      <c r="I116">
        <v>1</v>
      </c>
      <c r="J116">
        <v>0.25</v>
      </c>
      <c r="K116" s="55">
        <f>VLOOKUP(VLOOKUP(Q116&amp;"_"&amp;R116,挑战模式!$A$3:$Z$52,2+5*S116,FALSE),'⚪设计'!$B$85:$H$114,7,FALSE)</f>
        <v>1</v>
      </c>
      <c r="L116" s="119" t="s">
        <v>1174</v>
      </c>
      <c r="M116" t="s">
        <v>468</v>
      </c>
      <c r="N116" t="s">
        <v>469</v>
      </c>
      <c r="O116" t="s">
        <v>470</v>
      </c>
      <c r="P116" t="str">
        <f t="shared" si="0"/>
        <v/>
      </c>
      <c r="Q116" s="119">
        <v>9</v>
      </c>
      <c r="R116" s="119">
        <v>4</v>
      </c>
      <c r="S116" s="119">
        <v>1</v>
      </c>
    </row>
    <row r="117" spans="2:19" x14ac:dyDescent="0.2">
      <c r="B117" s="119" t="s">
        <v>1025</v>
      </c>
      <c r="C117" s="119" t="s">
        <v>1100</v>
      </c>
      <c r="D117" s="55" t="str">
        <f>VLOOKUP(VLOOKUP(Q117&amp;"_"&amp;R117,挑战模式!$A$3:$Z$52,2+5*S117,FALSE),'⚪设计'!$B$85:$H$114,2,FALSE)</f>
        <v>ResUnit_ZhiZhu1</v>
      </c>
      <c r="E117" s="55">
        <f>VLOOKUP(VLOOKUP(Q117&amp;"_"&amp;R117,挑战模式!$A$3:$Z$52,2+5*S117,FALSE),'⚪设计'!$B$85:$H$114,6,FALSE)*VLOOKUP(Q117&amp;"_"&amp;R117,挑战模式!$A$3:$Z$52,5,FALSE)</f>
        <v>4.5</v>
      </c>
      <c r="F117">
        <v>400</v>
      </c>
      <c r="G117" t="b">
        <v>1</v>
      </c>
      <c r="H117">
        <v>1</v>
      </c>
      <c r="I117">
        <v>1</v>
      </c>
      <c r="J117">
        <v>0.25</v>
      </c>
      <c r="K117" s="55">
        <f>VLOOKUP(VLOOKUP(Q117&amp;"_"&amp;R117,挑战模式!$A$3:$Z$52,2+5*S117,FALSE),'⚪设计'!$B$85:$H$114,7,FALSE)</f>
        <v>1</v>
      </c>
      <c r="L117" s="119" t="s">
        <v>1175</v>
      </c>
      <c r="M117" t="s">
        <v>468</v>
      </c>
      <c r="N117" t="s">
        <v>469</v>
      </c>
      <c r="O117" t="s">
        <v>470</v>
      </c>
      <c r="P117" t="str">
        <f t="shared" si="0"/>
        <v/>
      </c>
      <c r="Q117" s="119">
        <v>9</v>
      </c>
      <c r="R117" s="119">
        <v>4</v>
      </c>
      <c r="S117" s="119">
        <v>2</v>
      </c>
    </row>
    <row r="118" spans="2:19" x14ac:dyDescent="0.2">
      <c r="B118" s="119" t="s">
        <v>1026</v>
      </c>
      <c r="C118" s="119" t="s">
        <v>1101</v>
      </c>
      <c r="D118" s="55" t="str">
        <f>VLOOKUP(VLOOKUP(Q118&amp;"_"&amp;R118,挑战模式!$A$3:$Z$52,2+5*S118,FALSE),'⚪设计'!$B$85:$H$114,2,FALSE)</f>
        <v>ResUnit_Niao2</v>
      </c>
      <c r="E118" s="55">
        <f>VLOOKUP(VLOOKUP(Q118&amp;"_"&amp;R118,挑战模式!$A$3:$Z$52,2+5*S118,FALSE),'⚪设计'!$B$85:$H$114,6,FALSE)*VLOOKUP(Q118&amp;"_"&amp;R118,挑战模式!$A$3:$Z$52,5,FALSE)</f>
        <v>3</v>
      </c>
      <c r="F118">
        <v>400</v>
      </c>
      <c r="G118" t="b">
        <v>1</v>
      </c>
      <c r="H118">
        <v>1</v>
      </c>
      <c r="I118">
        <v>1</v>
      </c>
      <c r="J118">
        <v>0.25</v>
      </c>
      <c r="K118" s="55">
        <f>VLOOKUP(VLOOKUP(Q118&amp;"_"&amp;R118,挑战模式!$A$3:$Z$52,2+5*S118,FALSE),'⚪设计'!$B$85:$H$114,7,FALSE)</f>
        <v>1.2</v>
      </c>
      <c r="L118" s="119" t="s">
        <v>1176</v>
      </c>
      <c r="M118" t="s">
        <v>468</v>
      </c>
      <c r="N118" t="s">
        <v>469</v>
      </c>
      <c r="O118" t="s">
        <v>470</v>
      </c>
      <c r="P118" t="str">
        <f t="shared" si="0"/>
        <v>Skill_Monster_Challenge_Niao2</v>
      </c>
      <c r="Q118" s="119">
        <v>9</v>
      </c>
      <c r="R118" s="119">
        <v>4</v>
      </c>
      <c r="S118" s="119">
        <v>3</v>
      </c>
    </row>
    <row r="119" spans="2:19" x14ac:dyDescent="0.2">
      <c r="B119" s="119" t="s">
        <v>1027</v>
      </c>
      <c r="C119" s="119" t="s">
        <v>1102</v>
      </c>
      <c r="D119" s="55" t="str">
        <f>VLOOKUP(VLOOKUP(Q119&amp;"_"&amp;R119,挑战模式!$A$3:$Z$52,2+5*S119,FALSE),'⚪设计'!$B$85:$H$114,2,FALSE)</f>
        <v>ResUnit_Gui1</v>
      </c>
      <c r="E119" s="55">
        <f>VLOOKUP(VLOOKUP(Q119&amp;"_"&amp;R119,挑战模式!$A$3:$Z$52,2+5*S119,FALSE),'⚪设计'!$B$85:$H$114,6,FALSE)*VLOOKUP(Q119&amp;"_"&amp;R119,挑战模式!$A$3:$Z$52,5,FALSE)</f>
        <v>3</v>
      </c>
      <c r="F119">
        <v>400</v>
      </c>
      <c r="G119" t="b">
        <v>1</v>
      </c>
      <c r="H119">
        <v>1</v>
      </c>
      <c r="I119">
        <v>1</v>
      </c>
      <c r="J119">
        <v>0.25</v>
      </c>
      <c r="K119" s="55">
        <f>VLOOKUP(VLOOKUP(Q119&amp;"_"&amp;R119,挑战模式!$A$3:$Z$52,2+5*S119,FALSE),'⚪设计'!$B$85:$H$114,7,FALSE)</f>
        <v>1</v>
      </c>
      <c r="L119" s="119" t="s">
        <v>1177</v>
      </c>
      <c r="M119" t="s">
        <v>468</v>
      </c>
      <c r="N119" t="s">
        <v>469</v>
      </c>
      <c r="O119" t="s">
        <v>470</v>
      </c>
      <c r="P119" t="str">
        <f t="shared" si="0"/>
        <v/>
      </c>
      <c r="Q119" s="119">
        <v>9</v>
      </c>
      <c r="R119" s="119">
        <v>5</v>
      </c>
      <c r="S119" s="119">
        <v>1</v>
      </c>
    </row>
    <row r="120" spans="2:19" x14ac:dyDescent="0.2">
      <c r="B120" s="119" t="s">
        <v>1028</v>
      </c>
      <c r="C120" s="119" t="s">
        <v>1103</v>
      </c>
      <c r="D120" s="55" t="str">
        <f>VLOOKUP(VLOOKUP(Q120&amp;"_"&amp;R120,挑战模式!$A$3:$Z$52,2+5*S120,FALSE),'⚪设计'!$B$85:$H$114,2,FALSE)</f>
        <v>ResUnit_ZhongZi1</v>
      </c>
      <c r="E120" s="55">
        <f>VLOOKUP(VLOOKUP(Q120&amp;"_"&amp;R120,挑战模式!$A$3:$Z$52,2+5*S120,FALSE),'⚪设计'!$B$85:$H$114,6,FALSE)*VLOOKUP(Q120&amp;"_"&amp;R120,挑战模式!$A$3:$Z$52,5,FALSE)</f>
        <v>3</v>
      </c>
      <c r="F120">
        <v>400</v>
      </c>
      <c r="G120" t="b">
        <v>1</v>
      </c>
      <c r="H120">
        <v>1</v>
      </c>
      <c r="I120">
        <v>1</v>
      </c>
      <c r="J120">
        <v>0.25</v>
      </c>
      <c r="K120" s="55">
        <f>VLOOKUP(VLOOKUP(Q120&amp;"_"&amp;R120,挑战模式!$A$3:$Z$52,2+5*S120,FALSE),'⚪设计'!$B$85:$H$114,7,FALSE)</f>
        <v>1</v>
      </c>
      <c r="L120" s="119" t="s">
        <v>1178</v>
      </c>
      <c r="M120" t="s">
        <v>468</v>
      </c>
      <c r="N120" t="s">
        <v>469</v>
      </c>
      <c r="O120" t="s">
        <v>470</v>
      </c>
      <c r="P120" t="str">
        <f t="shared" si="0"/>
        <v/>
      </c>
      <c r="Q120" s="119">
        <v>9</v>
      </c>
      <c r="R120" s="119">
        <v>5</v>
      </c>
      <c r="S120" s="119">
        <v>2</v>
      </c>
    </row>
    <row r="121" spans="2:19" x14ac:dyDescent="0.2">
      <c r="B121" s="119" t="s">
        <v>1029</v>
      </c>
      <c r="C121" s="119" t="s">
        <v>1104</v>
      </c>
      <c r="D121" s="55" t="str">
        <f>VLOOKUP(VLOOKUP(Q121&amp;"_"&amp;R121,挑战模式!$A$3:$Z$52,2+5*S121,FALSE),'⚪设计'!$B$85:$H$114,2,FALSE)</f>
        <v>ResUnit_Niao2</v>
      </c>
      <c r="E121" s="55">
        <f>VLOOKUP(VLOOKUP(Q121&amp;"_"&amp;R121,挑战模式!$A$3:$Z$52,2+5*S121,FALSE),'⚪设计'!$B$85:$H$114,6,FALSE)*VLOOKUP(Q121&amp;"_"&amp;R121,挑战模式!$A$3:$Z$52,5,FALSE)</f>
        <v>3</v>
      </c>
      <c r="F121">
        <v>400</v>
      </c>
      <c r="G121" t="b">
        <v>1</v>
      </c>
      <c r="H121">
        <v>1</v>
      </c>
      <c r="I121">
        <v>1</v>
      </c>
      <c r="J121">
        <v>0.25</v>
      </c>
      <c r="K121" s="55">
        <f>VLOOKUP(VLOOKUP(Q121&amp;"_"&amp;R121,挑战模式!$A$3:$Z$52,2+5*S121,FALSE),'⚪设计'!$B$85:$H$114,7,FALSE)</f>
        <v>1.2</v>
      </c>
      <c r="L121" s="119" t="s">
        <v>1179</v>
      </c>
      <c r="M121" t="s">
        <v>468</v>
      </c>
      <c r="N121" t="s">
        <v>469</v>
      </c>
      <c r="O121" t="s">
        <v>470</v>
      </c>
      <c r="P121" t="str">
        <f t="shared" si="0"/>
        <v>Skill_Monster_Challenge_Niao2</v>
      </c>
      <c r="Q121" s="119">
        <v>9</v>
      </c>
      <c r="R121" s="119">
        <v>5</v>
      </c>
      <c r="S121" s="119">
        <v>3</v>
      </c>
    </row>
    <row r="122" spans="2:19" x14ac:dyDescent="0.2">
      <c r="B122" s="119" t="s">
        <v>1030</v>
      </c>
      <c r="C122" s="119" t="s">
        <v>1105</v>
      </c>
      <c r="D122" s="55" t="str">
        <f>VLOOKUP(VLOOKUP(Q122&amp;"_"&amp;R122,挑战模式!$A$3:$Z$52,2+5*S122,FALSE),'⚪设计'!$B$85:$H$114,2,FALSE)</f>
        <v>ResUnit_Dan2</v>
      </c>
      <c r="E122" s="55">
        <f>VLOOKUP(VLOOKUP(Q122&amp;"_"&amp;R122,挑战模式!$A$3:$Z$52,2+5*S122,FALSE),'⚪设计'!$B$85:$H$114,6,FALSE)*VLOOKUP(Q122&amp;"_"&amp;R122,挑战模式!$A$3:$Z$52,5,FALSE)</f>
        <v>3</v>
      </c>
      <c r="F122">
        <v>400</v>
      </c>
      <c r="G122" t="b">
        <v>1</v>
      </c>
      <c r="H122">
        <v>1</v>
      </c>
      <c r="I122">
        <v>1</v>
      </c>
      <c r="J122">
        <v>0.25</v>
      </c>
      <c r="K122" s="55">
        <f>VLOOKUP(VLOOKUP(Q122&amp;"_"&amp;R122,挑战模式!$A$3:$Z$52,2+5*S122,FALSE),'⚪设计'!$B$85:$H$114,7,FALSE)</f>
        <v>1.3</v>
      </c>
      <c r="L122" s="119" t="s">
        <v>1180</v>
      </c>
      <c r="M122" t="s">
        <v>468</v>
      </c>
      <c r="N122" t="s">
        <v>469</v>
      </c>
      <c r="O122" t="s">
        <v>470</v>
      </c>
      <c r="P122" t="str">
        <f t="shared" si="0"/>
        <v/>
      </c>
      <c r="Q122" s="119">
        <v>10</v>
      </c>
      <c r="R122" s="119">
        <v>1</v>
      </c>
      <c r="S122" s="119">
        <v>1</v>
      </c>
    </row>
    <row r="123" spans="2:19" x14ac:dyDescent="0.2">
      <c r="B123" s="119" t="s">
        <v>1031</v>
      </c>
      <c r="C123" s="119" t="s">
        <v>1106</v>
      </c>
      <c r="D123" s="55" t="str">
        <f>VLOOKUP(VLOOKUP(Q123&amp;"_"&amp;R123,挑战模式!$A$3:$Z$52,2+5*S123,FALSE),'⚪设计'!$B$85:$H$114,2,FALSE)</f>
        <v>ResUnit_Niao3</v>
      </c>
      <c r="E123" s="55">
        <f>VLOOKUP(VLOOKUP(Q123&amp;"_"&amp;R123,挑战模式!$A$3:$Z$52,2+5*S123,FALSE),'⚪设计'!$B$85:$H$114,6,FALSE)*VLOOKUP(Q123&amp;"_"&amp;R123,挑战模式!$A$3:$Z$52,5,FALSE)</f>
        <v>3</v>
      </c>
      <c r="F123">
        <v>400</v>
      </c>
      <c r="G123" t="b">
        <v>1</v>
      </c>
      <c r="H123">
        <v>1</v>
      </c>
      <c r="I123">
        <v>1</v>
      </c>
      <c r="J123">
        <v>0.25</v>
      </c>
      <c r="K123" s="55">
        <f>VLOOKUP(VLOOKUP(Q123&amp;"_"&amp;R123,挑战模式!$A$3:$Z$52,2+5*S123,FALSE),'⚪设计'!$B$85:$H$114,7,FALSE)</f>
        <v>1.8</v>
      </c>
      <c r="L123" s="119" t="s">
        <v>1181</v>
      </c>
      <c r="M123" t="s">
        <v>468</v>
      </c>
      <c r="N123" t="s">
        <v>469</v>
      </c>
      <c r="O123" t="s">
        <v>470</v>
      </c>
      <c r="P123" t="str">
        <f t="shared" si="0"/>
        <v>Skill_Monster_Challenge_Niao3</v>
      </c>
      <c r="Q123" s="119">
        <v>10</v>
      </c>
      <c r="R123" s="119">
        <v>1</v>
      </c>
      <c r="S123" s="119">
        <v>2</v>
      </c>
    </row>
    <row r="124" spans="2:19" x14ac:dyDescent="0.2">
      <c r="B124" s="119" t="s">
        <v>1032</v>
      </c>
      <c r="C124" s="119" t="s">
        <v>1107</v>
      </c>
      <c r="D124" s="55" t="str">
        <f>VLOOKUP(VLOOKUP(Q124&amp;"_"&amp;R124,挑战模式!$A$3:$Z$52,2+5*S124,FALSE),'⚪设计'!$B$85:$H$114,2,FALSE)</f>
        <v>ResUnit_Dan2</v>
      </c>
      <c r="E124" s="55">
        <f>VLOOKUP(VLOOKUP(Q124&amp;"_"&amp;R124,挑战模式!$A$3:$Z$52,2+5*S124,FALSE),'⚪设计'!$B$85:$H$114,6,FALSE)*VLOOKUP(Q124&amp;"_"&amp;R124,挑战模式!$A$3:$Z$52,5,FALSE)</f>
        <v>3</v>
      </c>
      <c r="F124">
        <v>400</v>
      </c>
      <c r="G124" t="b">
        <v>1</v>
      </c>
      <c r="H124">
        <v>1</v>
      </c>
      <c r="I124">
        <v>1</v>
      </c>
      <c r="J124">
        <v>0.25</v>
      </c>
      <c r="K124" s="55">
        <f>VLOOKUP(VLOOKUP(Q124&amp;"_"&amp;R124,挑战模式!$A$3:$Z$52,2+5*S124,FALSE),'⚪设计'!$B$85:$H$114,7,FALSE)</f>
        <v>1.3</v>
      </c>
      <c r="L124" s="119" t="s">
        <v>1182</v>
      </c>
      <c r="M124" t="s">
        <v>468</v>
      </c>
      <c r="N124" t="s">
        <v>469</v>
      </c>
      <c r="O124" t="s">
        <v>470</v>
      </c>
      <c r="P124" t="str">
        <f t="shared" si="0"/>
        <v/>
      </c>
      <c r="Q124" s="119">
        <v>10</v>
      </c>
      <c r="R124" s="119">
        <v>2</v>
      </c>
      <c r="S124" s="119">
        <v>1</v>
      </c>
    </row>
    <row r="125" spans="2:19" x14ac:dyDescent="0.2">
      <c r="B125" s="119" t="s">
        <v>1033</v>
      </c>
      <c r="C125" s="119" t="s">
        <v>1108</v>
      </c>
      <c r="D125" s="55" t="str">
        <f>VLOOKUP(VLOOKUP(Q125&amp;"_"&amp;R125,挑战模式!$A$3:$Z$52,2+5*S125,FALSE),'⚪设计'!$B$85:$H$114,2,FALSE)</f>
        <v>ResUnit_BianFu1</v>
      </c>
      <c r="E125" s="55">
        <f>VLOOKUP(VLOOKUP(Q125&amp;"_"&amp;R125,挑战模式!$A$3:$Z$52,2+5*S125,FALSE),'⚪设计'!$B$85:$H$114,6,FALSE)*VLOOKUP(Q125&amp;"_"&amp;R125,挑战模式!$A$3:$Z$52,5,FALSE)</f>
        <v>3</v>
      </c>
      <c r="F125">
        <v>400</v>
      </c>
      <c r="G125" t="b">
        <v>1</v>
      </c>
      <c r="H125">
        <v>1</v>
      </c>
      <c r="I125">
        <v>1</v>
      </c>
      <c r="J125">
        <v>0.25</v>
      </c>
      <c r="K125" s="55">
        <f>VLOOKUP(VLOOKUP(Q125&amp;"_"&amp;R125,挑战模式!$A$3:$Z$52,2+5*S125,FALSE),'⚪设计'!$B$85:$H$114,7,FALSE)</f>
        <v>0.5</v>
      </c>
      <c r="L125" s="119" t="s">
        <v>1183</v>
      </c>
      <c r="M125" t="s">
        <v>468</v>
      </c>
      <c r="N125" t="s">
        <v>469</v>
      </c>
      <c r="O125" t="s">
        <v>470</v>
      </c>
      <c r="P125" t="str">
        <f t="shared" si="0"/>
        <v/>
      </c>
      <c r="Q125" s="119">
        <v>10</v>
      </c>
      <c r="R125" s="119">
        <v>2</v>
      </c>
      <c r="S125" s="119">
        <v>2</v>
      </c>
    </row>
    <row r="126" spans="2:19" x14ac:dyDescent="0.2">
      <c r="B126" s="119" t="s">
        <v>1034</v>
      </c>
      <c r="C126" s="119" t="s">
        <v>1109</v>
      </c>
      <c r="D126" s="55" t="str">
        <f>VLOOKUP(VLOOKUP(Q126&amp;"_"&amp;R126,挑战模式!$A$3:$Z$52,2+5*S126,FALSE),'⚪设计'!$B$85:$H$114,2,FALSE)</f>
        <v>ResUnit_Niao3</v>
      </c>
      <c r="E126" s="55">
        <f>VLOOKUP(VLOOKUP(Q126&amp;"_"&amp;R126,挑战模式!$A$3:$Z$52,2+5*S126,FALSE),'⚪设计'!$B$85:$H$114,6,FALSE)*VLOOKUP(Q126&amp;"_"&amp;R126,挑战模式!$A$3:$Z$52,5,FALSE)</f>
        <v>3</v>
      </c>
      <c r="F126">
        <v>400</v>
      </c>
      <c r="G126" t="b">
        <v>1</v>
      </c>
      <c r="H126">
        <v>1</v>
      </c>
      <c r="I126">
        <v>1</v>
      </c>
      <c r="J126">
        <v>0.25</v>
      </c>
      <c r="K126" s="55">
        <f>VLOOKUP(VLOOKUP(Q126&amp;"_"&amp;R126,挑战模式!$A$3:$Z$52,2+5*S126,FALSE),'⚪设计'!$B$85:$H$114,7,FALSE)</f>
        <v>1.8</v>
      </c>
      <c r="L126" s="119" t="s">
        <v>1184</v>
      </c>
      <c r="M126" t="s">
        <v>468</v>
      </c>
      <c r="N126" t="s">
        <v>469</v>
      </c>
      <c r="O126" t="s">
        <v>470</v>
      </c>
      <c r="P126" t="str">
        <f t="shared" si="0"/>
        <v>Skill_Monster_Challenge_Niao3</v>
      </c>
      <c r="Q126" s="119">
        <v>10</v>
      </c>
      <c r="R126" s="119">
        <v>2</v>
      </c>
      <c r="S126" s="119">
        <v>3</v>
      </c>
    </row>
    <row r="127" spans="2:19" x14ac:dyDescent="0.2">
      <c r="B127" s="119" t="s">
        <v>1035</v>
      </c>
      <c r="C127" s="119" t="s">
        <v>1110</v>
      </c>
      <c r="D127" s="55" t="str">
        <f>VLOOKUP(VLOOKUP(Q127&amp;"_"&amp;R127,挑战模式!$A$3:$Z$52,2+5*S127,FALSE),'⚪设计'!$B$85:$H$114,2,FALSE)</f>
        <v>ResUnit_Dan2</v>
      </c>
      <c r="E127" s="55">
        <f>VLOOKUP(VLOOKUP(Q127&amp;"_"&amp;R127,挑战模式!$A$3:$Z$52,2+5*S127,FALSE),'⚪设计'!$B$85:$H$114,6,FALSE)*VLOOKUP(Q127&amp;"_"&amp;R127,挑战模式!$A$3:$Z$52,5,FALSE)</f>
        <v>3</v>
      </c>
      <c r="F127">
        <v>400</v>
      </c>
      <c r="G127" t="b">
        <v>1</v>
      </c>
      <c r="H127">
        <v>1</v>
      </c>
      <c r="I127">
        <v>1</v>
      </c>
      <c r="J127">
        <v>0.25</v>
      </c>
      <c r="K127" s="55">
        <f>VLOOKUP(VLOOKUP(Q127&amp;"_"&amp;R127,挑战模式!$A$3:$Z$52,2+5*S127,FALSE),'⚪设计'!$B$85:$H$114,7,FALSE)</f>
        <v>1.3</v>
      </c>
      <c r="L127" s="119" t="s">
        <v>1185</v>
      </c>
      <c r="M127" t="s">
        <v>468</v>
      </c>
      <c r="N127" t="s">
        <v>469</v>
      </c>
      <c r="O127" t="s">
        <v>470</v>
      </c>
      <c r="P127" t="str">
        <f t="shared" si="0"/>
        <v/>
      </c>
      <c r="Q127" s="119">
        <v>10</v>
      </c>
      <c r="R127" s="119">
        <v>3</v>
      </c>
      <c r="S127" s="119">
        <v>1</v>
      </c>
    </row>
    <row r="128" spans="2:19" x14ac:dyDescent="0.2">
      <c r="B128" s="119" t="s">
        <v>1036</v>
      </c>
      <c r="C128" s="119" t="s">
        <v>1111</v>
      </c>
      <c r="D128" s="55" t="str">
        <f>VLOOKUP(VLOOKUP(Q128&amp;"_"&amp;R128,挑战模式!$A$3:$Z$52,2+5*S128,FALSE),'⚪设计'!$B$85:$H$114,2,FALSE)</f>
        <v>ResUnit_ZhiZhu1</v>
      </c>
      <c r="E128" s="55">
        <f>VLOOKUP(VLOOKUP(Q128&amp;"_"&amp;R128,挑战模式!$A$3:$Z$52,2+5*S128,FALSE),'⚪设计'!$B$85:$H$114,6,FALSE)*VLOOKUP(Q128&amp;"_"&amp;R128,挑战模式!$A$3:$Z$52,5,FALSE)</f>
        <v>4.5</v>
      </c>
      <c r="F128">
        <v>400</v>
      </c>
      <c r="G128" t="b">
        <v>1</v>
      </c>
      <c r="H128">
        <v>1</v>
      </c>
      <c r="I128">
        <v>1</v>
      </c>
      <c r="J128">
        <v>0.25</v>
      </c>
      <c r="K128" s="55">
        <f>VLOOKUP(VLOOKUP(Q128&amp;"_"&amp;R128,挑战模式!$A$3:$Z$52,2+5*S128,FALSE),'⚪设计'!$B$85:$H$114,7,FALSE)</f>
        <v>1</v>
      </c>
      <c r="L128" s="119" t="s">
        <v>1186</v>
      </c>
      <c r="M128" t="s">
        <v>468</v>
      </c>
      <c r="N128" t="s">
        <v>469</v>
      </c>
      <c r="O128" t="s">
        <v>470</v>
      </c>
      <c r="P128" t="str">
        <f t="shared" si="0"/>
        <v/>
      </c>
      <c r="Q128" s="119">
        <v>10</v>
      </c>
      <c r="R128" s="119">
        <v>3</v>
      </c>
      <c r="S128" s="119">
        <v>2</v>
      </c>
    </row>
    <row r="129" spans="2:19" x14ac:dyDescent="0.2">
      <c r="B129" s="119" t="s">
        <v>1037</v>
      </c>
      <c r="C129" s="119" t="s">
        <v>1112</v>
      </c>
      <c r="D129" s="55" t="str">
        <f>VLOOKUP(VLOOKUP(Q129&amp;"_"&amp;R129,挑战模式!$A$3:$Z$52,2+5*S129,FALSE),'⚪设计'!$B$85:$H$114,2,FALSE)</f>
        <v>ResUnit_Gui1</v>
      </c>
      <c r="E129" s="55">
        <f>VLOOKUP(VLOOKUP(Q129&amp;"_"&amp;R129,挑战模式!$A$3:$Z$52,2+5*S129,FALSE),'⚪设计'!$B$85:$H$114,6,FALSE)*VLOOKUP(Q129&amp;"_"&amp;R129,挑战模式!$A$3:$Z$52,5,FALSE)</f>
        <v>3</v>
      </c>
      <c r="F129">
        <v>400</v>
      </c>
      <c r="G129" t="b">
        <v>1</v>
      </c>
      <c r="H129">
        <v>1</v>
      </c>
      <c r="I129">
        <v>1</v>
      </c>
      <c r="J129">
        <v>0.25</v>
      </c>
      <c r="K129" s="55">
        <f>VLOOKUP(VLOOKUP(Q129&amp;"_"&amp;R129,挑战模式!$A$3:$Z$52,2+5*S129,FALSE),'⚪设计'!$B$85:$H$114,7,FALSE)</f>
        <v>1</v>
      </c>
      <c r="L129" s="119" t="s">
        <v>1187</v>
      </c>
      <c r="M129" t="s">
        <v>468</v>
      </c>
      <c r="N129" t="s">
        <v>469</v>
      </c>
      <c r="O129" t="s">
        <v>470</v>
      </c>
      <c r="P129" t="str">
        <f t="shared" ref="P129:P137" si="1">IF(LEFT(D129,LEN(D129)-1)="ResUnit_Niao","Skill_Monster_Challenge_"&amp;RIGHT(D129,LEN(D129)-8),"")</f>
        <v/>
      </c>
      <c r="Q129" s="119">
        <v>10</v>
      </c>
      <c r="R129" s="119">
        <v>3</v>
      </c>
      <c r="S129" s="119">
        <v>3</v>
      </c>
    </row>
    <row r="130" spans="2:19" x14ac:dyDescent="0.2">
      <c r="B130" s="119" t="s">
        <v>1038</v>
      </c>
      <c r="C130" s="119" t="s">
        <v>1113</v>
      </c>
      <c r="D130" s="55" t="str">
        <f>VLOOKUP(VLOOKUP(Q130&amp;"_"&amp;R130,挑战模式!$A$3:$Z$52,2+5*S130,FALSE),'⚪设计'!$B$85:$H$114,2,FALSE)</f>
        <v>ResUnit_Niao3</v>
      </c>
      <c r="E130" s="55">
        <f>VLOOKUP(VLOOKUP(Q130&amp;"_"&amp;R130,挑战模式!$A$3:$Z$52,2+5*S130,FALSE),'⚪设计'!$B$85:$H$114,6,FALSE)*VLOOKUP(Q130&amp;"_"&amp;R130,挑战模式!$A$3:$Z$52,5,FALSE)</f>
        <v>3</v>
      </c>
      <c r="F130">
        <v>400</v>
      </c>
      <c r="G130" t="b">
        <v>1</v>
      </c>
      <c r="H130">
        <v>1</v>
      </c>
      <c r="I130">
        <v>1</v>
      </c>
      <c r="J130">
        <v>0.25</v>
      </c>
      <c r="K130" s="55">
        <f>VLOOKUP(VLOOKUP(Q130&amp;"_"&amp;R130,挑战模式!$A$3:$Z$52,2+5*S130,FALSE),'⚪设计'!$B$85:$H$114,7,FALSE)</f>
        <v>1.8</v>
      </c>
      <c r="L130" s="119" t="s">
        <v>1188</v>
      </c>
      <c r="M130" t="s">
        <v>468</v>
      </c>
      <c r="N130" t="s">
        <v>469</v>
      </c>
      <c r="O130" t="s">
        <v>470</v>
      </c>
      <c r="P130" t="str">
        <f t="shared" si="1"/>
        <v>Skill_Monster_Challenge_Niao3</v>
      </c>
      <c r="Q130" s="119">
        <v>10</v>
      </c>
      <c r="R130" s="119">
        <v>3</v>
      </c>
      <c r="S130" s="119">
        <v>4</v>
      </c>
    </row>
    <row r="131" spans="2:19" x14ac:dyDescent="0.2">
      <c r="B131" s="119" t="s">
        <v>1039</v>
      </c>
      <c r="C131" s="119" t="s">
        <v>1114</v>
      </c>
      <c r="D131" s="55" t="str">
        <f>VLOOKUP(VLOOKUP(Q131&amp;"_"&amp;R131,挑战模式!$A$3:$Z$52,2+5*S131,FALSE),'⚪设计'!$B$85:$H$114,2,FALSE)</f>
        <v>ResUnit_Dan2</v>
      </c>
      <c r="E131" s="55">
        <f>VLOOKUP(VLOOKUP(Q131&amp;"_"&amp;R131,挑战模式!$A$3:$Z$52,2+5*S131,FALSE),'⚪设计'!$B$85:$H$114,6,FALSE)*VLOOKUP(Q131&amp;"_"&amp;R131,挑战模式!$A$3:$Z$52,5,FALSE)</f>
        <v>3</v>
      </c>
      <c r="F131">
        <v>400</v>
      </c>
      <c r="G131" t="b">
        <v>1</v>
      </c>
      <c r="H131">
        <v>1</v>
      </c>
      <c r="I131">
        <v>1</v>
      </c>
      <c r="J131">
        <v>0.25</v>
      </c>
      <c r="K131" s="55">
        <f>VLOOKUP(VLOOKUP(Q131&amp;"_"&amp;R131,挑战模式!$A$3:$Z$52,2+5*S131,FALSE),'⚪设计'!$B$85:$H$114,7,FALSE)</f>
        <v>1.3</v>
      </c>
      <c r="L131" s="119" t="s">
        <v>1189</v>
      </c>
      <c r="M131" t="s">
        <v>468</v>
      </c>
      <c r="N131" t="s">
        <v>469</v>
      </c>
      <c r="O131" t="s">
        <v>470</v>
      </c>
      <c r="P131" t="str">
        <f t="shared" si="1"/>
        <v/>
      </c>
      <c r="Q131" s="119">
        <v>10</v>
      </c>
      <c r="R131" s="119">
        <v>4</v>
      </c>
      <c r="S131" s="119">
        <v>1</v>
      </c>
    </row>
    <row r="132" spans="2:19" x14ac:dyDescent="0.2">
      <c r="B132" s="119" t="s">
        <v>1040</v>
      </c>
      <c r="C132" s="119" t="s">
        <v>1115</v>
      </c>
      <c r="D132" s="55" t="str">
        <f>VLOOKUP(VLOOKUP(Q132&amp;"_"&amp;R132,挑战模式!$A$3:$Z$52,2+5*S132,FALSE),'⚪设计'!$B$85:$H$114,2,FALSE)</f>
        <v>ResUnit_Gui1</v>
      </c>
      <c r="E132" s="55">
        <f>VLOOKUP(VLOOKUP(Q132&amp;"_"&amp;R132,挑战模式!$A$3:$Z$52,2+5*S132,FALSE),'⚪设计'!$B$85:$H$114,6,FALSE)*VLOOKUP(Q132&amp;"_"&amp;R132,挑战模式!$A$3:$Z$52,5,FALSE)</f>
        <v>3</v>
      </c>
      <c r="F132">
        <v>400</v>
      </c>
      <c r="G132" t="b">
        <v>1</v>
      </c>
      <c r="H132">
        <v>1</v>
      </c>
      <c r="I132">
        <v>1</v>
      </c>
      <c r="J132">
        <v>0.25</v>
      </c>
      <c r="K132" s="55">
        <f>VLOOKUP(VLOOKUP(Q132&amp;"_"&amp;R132,挑战模式!$A$3:$Z$52,2+5*S132,FALSE),'⚪设计'!$B$85:$H$114,7,FALSE)</f>
        <v>1</v>
      </c>
      <c r="L132" s="119" t="s">
        <v>1190</v>
      </c>
      <c r="M132" t="s">
        <v>468</v>
      </c>
      <c r="N132" t="s">
        <v>469</v>
      </c>
      <c r="O132" t="s">
        <v>470</v>
      </c>
      <c r="P132" t="str">
        <f t="shared" si="1"/>
        <v/>
      </c>
      <c r="Q132" s="119">
        <v>10</v>
      </c>
      <c r="R132" s="119">
        <v>4</v>
      </c>
      <c r="S132" s="119">
        <v>2</v>
      </c>
    </row>
    <row r="133" spans="2:19" x14ac:dyDescent="0.2">
      <c r="B133" s="119" t="s">
        <v>1041</v>
      </c>
      <c r="C133" s="119" t="s">
        <v>1116</v>
      </c>
      <c r="D133" s="55" t="str">
        <f>VLOOKUP(VLOOKUP(Q133&amp;"_"&amp;R133,挑战模式!$A$3:$Z$52,2+5*S133,FALSE),'⚪设计'!$B$85:$H$114,2,FALSE)</f>
        <v>ResUnit_Niao3</v>
      </c>
      <c r="E133" s="55">
        <f>VLOOKUP(VLOOKUP(Q133&amp;"_"&amp;R133,挑战模式!$A$3:$Z$52,2+5*S133,FALSE),'⚪设计'!$B$85:$H$114,6,FALSE)*VLOOKUP(Q133&amp;"_"&amp;R133,挑战模式!$A$3:$Z$52,5,FALSE)</f>
        <v>3</v>
      </c>
      <c r="F133">
        <v>400</v>
      </c>
      <c r="G133" t="b">
        <v>1</v>
      </c>
      <c r="H133">
        <v>1</v>
      </c>
      <c r="I133">
        <v>1</v>
      </c>
      <c r="J133">
        <v>0.25</v>
      </c>
      <c r="K133" s="55">
        <f>VLOOKUP(VLOOKUP(Q133&amp;"_"&amp;R133,挑战模式!$A$3:$Z$52,2+5*S133,FALSE),'⚪设计'!$B$85:$H$114,7,FALSE)</f>
        <v>1.8</v>
      </c>
      <c r="L133" s="119" t="s">
        <v>1191</v>
      </c>
      <c r="M133" t="s">
        <v>468</v>
      </c>
      <c r="N133" t="s">
        <v>469</v>
      </c>
      <c r="O133" t="s">
        <v>470</v>
      </c>
      <c r="P133" t="str">
        <f t="shared" si="1"/>
        <v>Skill_Monster_Challenge_Niao3</v>
      </c>
      <c r="Q133" s="119">
        <v>10</v>
      </c>
      <c r="R133" s="119">
        <v>4</v>
      </c>
      <c r="S133" s="119">
        <v>3</v>
      </c>
    </row>
    <row r="134" spans="2:19" x14ac:dyDescent="0.2">
      <c r="B134" s="119" t="s">
        <v>1042</v>
      </c>
      <c r="C134" s="119" t="s">
        <v>1117</v>
      </c>
      <c r="D134" s="55" t="str">
        <f>VLOOKUP(VLOOKUP(Q134&amp;"_"&amp;R134,挑战模式!$A$3:$Z$52,2+5*S134,FALSE),'⚪设计'!$B$85:$H$114,2,FALSE)</f>
        <v>ResUnit_Dan2</v>
      </c>
      <c r="E134" s="55">
        <f>VLOOKUP(VLOOKUP(Q134&amp;"_"&amp;R134,挑战模式!$A$3:$Z$52,2+5*S134,FALSE),'⚪设计'!$B$85:$H$114,6,FALSE)*VLOOKUP(Q134&amp;"_"&amp;R134,挑战模式!$A$3:$Z$52,5,FALSE)</f>
        <v>3</v>
      </c>
      <c r="F134">
        <v>400</v>
      </c>
      <c r="G134" t="b">
        <v>1</v>
      </c>
      <c r="H134">
        <v>1</v>
      </c>
      <c r="I134">
        <v>1</v>
      </c>
      <c r="J134">
        <v>0.25</v>
      </c>
      <c r="K134" s="55">
        <f>VLOOKUP(VLOOKUP(Q134&amp;"_"&amp;R134,挑战模式!$A$3:$Z$52,2+5*S134,FALSE),'⚪设计'!$B$85:$H$114,7,FALSE)</f>
        <v>1.3</v>
      </c>
      <c r="L134" s="119" t="s">
        <v>1192</v>
      </c>
      <c r="M134" t="s">
        <v>468</v>
      </c>
      <c r="N134" t="s">
        <v>469</v>
      </c>
      <c r="O134" t="s">
        <v>470</v>
      </c>
      <c r="P134" t="str">
        <f t="shared" si="1"/>
        <v/>
      </c>
      <c r="Q134" s="119">
        <v>10</v>
      </c>
      <c r="R134" s="119">
        <v>5</v>
      </c>
      <c r="S134" s="119">
        <v>1</v>
      </c>
    </row>
    <row r="135" spans="2:19" x14ac:dyDescent="0.2">
      <c r="B135" s="119" t="s">
        <v>1043</v>
      </c>
      <c r="C135" s="119" t="s">
        <v>1118</v>
      </c>
      <c r="D135" s="55" t="str">
        <f>VLOOKUP(VLOOKUP(Q135&amp;"_"&amp;R135,挑战模式!$A$3:$Z$52,2+5*S135,FALSE),'⚪设计'!$B$85:$H$114,2,FALSE)</f>
        <v>ResUnit_Gui1</v>
      </c>
      <c r="E135" s="55">
        <f>VLOOKUP(VLOOKUP(Q135&amp;"_"&amp;R135,挑战模式!$A$3:$Z$52,2+5*S135,FALSE),'⚪设计'!$B$85:$H$114,6,FALSE)*VLOOKUP(Q135&amp;"_"&amp;R135,挑战模式!$A$3:$Z$52,5,FALSE)</f>
        <v>3</v>
      </c>
      <c r="F135">
        <v>400</v>
      </c>
      <c r="G135" t="b">
        <v>1</v>
      </c>
      <c r="H135">
        <v>1</v>
      </c>
      <c r="I135">
        <v>1</v>
      </c>
      <c r="J135">
        <v>0.25</v>
      </c>
      <c r="K135" s="55">
        <f>VLOOKUP(VLOOKUP(Q135&amp;"_"&amp;R135,挑战模式!$A$3:$Z$52,2+5*S135,FALSE),'⚪设计'!$B$85:$H$114,7,FALSE)</f>
        <v>1</v>
      </c>
      <c r="L135" s="119" t="s">
        <v>1193</v>
      </c>
      <c r="M135" t="s">
        <v>468</v>
      </c>
      <c r="N135" t="s">
        <v>469</v>
      </c>
      <c r="O135" t="s">
        <v>470</v>
      </c>
      <c r="P135" t="str">
        <f t="shared" si="1"/>
        <v/>
      </c>
      <c r="Q135" s="119">
        <v>10</v>
      </c>
      <c r="R135" s="119">
        <v>5</v>
      </c>
      <c r="S135" s="119">
        <v>2</v>
      </c>
    </row>
    <row r="136" spans="2:19" x14ac:dyDescent="0.2">
      <c r="B136" s="119" t="s">
        <v>1044</v>
      </c>
      <c r="C136" s="119" t="s">
        <v>1119</v>
      </c>
      <c r="D136" s="55" t="str">
        <f>VLOOKUP(VLOOKUP(Q136&amp;"_"&amp;R136,挑战模式!$A$3:$Z$52,2+5*S136,FALSE),'⚪设计'!$B$85:$H$114,2,FALSE)</f>
        <v>ResUnit_ZhongZi1</v>
      </c>
      <c r="E136" s="55">
        <f>VLOOKUP(VLOOKUP(Q136&amp;"_"&amp;R136,挑战模式!$A$3:$Z$52,2+5*S136,FALSE),'⚪设计'!$B$85:$H$114,6,FALSE)*VLOOKUP(Q136&amp;"_"&amp;R136,挑战模式!$A$3:$Z$52,5,FALSE)</f>
        <v>3</v>
      </c>
      <c r="F136">
        <v>400</v>
      </c>
      <c r="G136" t="b">
        <v>1</v>
      </c>
      <c r="H136">
        <v>1</v>
      </c>
      <c r="I136">
        <v>1</v>
      </c>
      <c r="J136">
        <v>0.25</v>
      </c>
      <c r="K136" s="55">
        <f>VLOOKUP(VLOOKUP(Q136&amp;"_"&amp;R136,挑战模式!$A$3:$Z$52,2+5*S136,FALSE),'⚪设计'!$B$85:$H$114,7,FALSE)</f>
        <v>1</v>
      </c>
      <c r="L136" s="119" t="s">
        <v>1194</v>
      </c>
      <c r="M136" t="s">
        <v>468</v>
      </c>
      <c r="N136" t="s">
        <v>469</v>
      </c>
      <c r="O136" t="s">
        <v>470</v>
      </c>
      <c r="P136" t="str">
        <f t="shared" si="1"/>
        <v/>
      </c>
      <c r="Q136" s="119">
        <v>10</v>
      </c>
      <c r="R136" s="119">
        <v>5</v>
      </c>
      <c r="S136" s="119">
        <v>3</v>
      </c>
    </row>
    <row r="137" spans="2:19" x14ac:dyDescent="0.2">
      <c r="B137" s="119" t="s">
        <v>1045</v>
      </c>
      <c r="C137" s="119" t="s">
        <v>1120</v>
      </c>
      <c r="D137" s="55" t="str">
        <f>VLOOKUP(VLOOKUP(Q137&amp;"_"&amp;R137,挑战模式!$A$3:$Z$52,2+5*S137,FALSE),'⚪设计'!$B$85:$H$114,2,FALSE)</f>
        <v>ResUnit_Niao3</v>
      </c>
      <c r="E137" s="55">
        <f>VLOOKUP(VLOOKUP(Q137&amp;"_"&amp;R137,挑战模式!$A$3:$Z$52,2+5*S137,FALSE),'⚪设计'!$B$85:$H$114,6,FALSE)*VLOOKUP(Q137&amp;"_"&amp;R137,挑战模式!$A$3:$Z$52,5,FALSE)</f>
        <v>3</v>
      </c>
      <c r="F137">
        <v>400</v>
      </c>
      <c r="G137" t="b">
        <v>1</v>
      </c>
      <c r="H137">
        <v>1</v>
      </c>
      <c r="I137">
        <v>1</v>
      </c>
      <c r="J137">
        <v>0.25</v>
      </c>
      <c r="K137" s="55">
        <f>VLOOKUP(VLOOKUP(Q137&amp;"_"&amp;R137,挑战模式!$A$3:$Z$52,2+5*S137,FALSE),'⚪设计'!$B$85:$H$114,7,FALSE)</f>
        <v>1.8</v>
      </c>
      <c r="L137" s="119" t="s">
        <v>1195</v>
      </c>
      <c r="M137" t="s">
        <v>468</v>
      </c>
      <c r="N137" t="s">
        <v>469</v>
      </c>
      <c r="O137" t="s">
        <v>470</v>
      </c>
      <c r="P137" t="str">
        <f t="shared" si="1"/>
        <v>Skill_Monster_Challenge_Niao3</v>
      </c>
      <c r="Q137" s="119">
        <v>10</v>
      </c>
      <c r="R137" s="119">
        <v>5</v>
      </c>
      <c r="S137" s="119">
        <v>4</v>
      </c>
    </row>
    <row r="138" spans="2:19" s="57" customFormat="1" x14ac:dyDescent="0.2">
      <c r="C138" s="68"/>
    </row>
    <row r="139" spans="2:19" x14ac:dyDescent="0.2">
      <c r="B139" t="s">
        <v>467</v>
      </c>
      <c r="C139" t="s">
        <v>689</v>
      </c>
      <c r="D139" s="55" t="str">
        <f>VLOOKUP(VLOOKUP(Q139,'⚪设计'!$A$202:$G$221,3+UnitCfg!R139,FALSE),'⚪设计'!$B$85:$C$113,2,FALSE)</f>
        <v>ResUnit_MiFeng1</v>
      </c>
      <c r="E139" s="55">
        <f>VLOOKUP(D139,'⚪设计'!$C$85:$G$101,5,FALSE)*VLOOKUP(UnitCfg!Q139,无限模式!$A$3:$C$22,3,FALSE)</f>
        <v>3</v>
      </c>
      <c r="F139">
        <v>400</v>
      </c>
      <c r="G139" t="b">
        <v>1</v>
      </c>
      <c r="H139">
        <v>1</v>
      </c>
      <c r="I139">
        <v>1</v>
      </c>
      <c r="J139">
        <v>0.25</v>
      </c>
      <c r="K139" s="55">
        <f>VLOOKUP(D139,'⚪设计'!$C$85:$H$104,6,FALSE)</f>
        <v>0.5</v>
      </c>
      <c r="L139" t="s">
        <v>830</v>
      </c>
      <c r="M139" t="s">
        <v>468</v>
      </c>
      <c r="N139" t="s">
        <v>469</v>
      </c>
      <c r="O139" t="s">
        <v>470</v>
      </c>
      <c r="Q139" s="110">
        <v>1</v>
      </c>
      <c r="R139" s="110">
        <v>1</v>
      </c>
      <c r="S139" s="110"/>
    </row>
    <row r="140" spans="2:19" x14ac:dyDescent="0.2">
      <c r="B140" t="s">
        <v>471</v>
      </c>
      <c r="C140" t="s">
        <v>690</v>
      </c>
      <c r="D140" s="55" t="str">
        <f>VLOOKUP(VLOOKUP(Q140,'⚪设计'!$A$202:$G$221,3+UnitCfg!R140,FALSE),'⚪设计'!$B$85:$C$113,2,FALSE)</f>
        <v>ResUnit_MiFeng1</v>
      </c>
      <c r="E140" s="55">
        <f>VLOOKUP(D140,'⚪设计'!$C$85:$G$101,5,FALSE)*VLOOKUP(UnitCfg!Q140,无限模式!$A$3:$C$22,3,FALSE)</f>
        <v>3.1500000000000004</v>
      </c>
      <c r="F140">
        <v>400</v>
      </c>
      <c r="G140" t="b">
        <v>1</v>
      </c>
      <c r="H140">
        <v>1</v>
      </c>
      <c r="I140">
        <v>1</v>
      </c>
      <c r="J140">
        <v>0.25</v>
      </c>
      <c r="K140" s="55">
        <f>VLOOKUP(D140,'⚪设计'!$C$85:$H$104,6,FALSE)</f>
        <v>0.5</v>
      </c>
      <c r="L140" t="s">
        <v>529</v>
      </c>
      <c r="M140" t="s">
        <v>468</v>
      </c>
      <c r="N140" t="s">
        <v>469</v>
      </c>
      <c r="O140" t="s">
        <v>470</v>
      </c>
      <c r="Q140" s="110">
        <v>2</v>
      </c>
      <c r="R140" s="110">
        <v>1</v>
      </c>
      <c r="S140" s="110"/>
    </row>
    <row r="141" spans="2:19" x14ac:dyDescent="0.2">
      <c r="B141" t="s">
        <v>472</v>
      </c>
      <c r="C141" t="s">
        <v>691</v>
      </c>
      <c r="D141" s="55" t="str">
        <f>VLOOKUP(VLOOKUP(Q141,'⚪设计'!$A$202:$G$221,3+UnitCfg!R141,FALSE),'⚪设计'!$B$85:$C$113,2,FALSE)</f>
        <v>ResUnit_MiFeng2</v>
      </c>
      <c r="E141" s="55">
        <f>VLOOKUP(D141,'⚪设计'!$C$85:$G$101,5,FALSE)*VLOOKUP(UnitCfg!Q141,无限模式!$A$3:$C$22,3,FALSE)</f>
        <v>3.1500000000000004</v>
      </c>
      <c r="F141">
        <v>400</v>
      </c>
      <c r="G141" t="b">
        <v>1</v>
      </c>
      <c r="H141">
        <v>1</v>
      </c>
      <c r="I141">
        <v>1</v>
      </c>
      <c r="J141">
        <v>0.25</v>
      </c>
      <c r="K141" s="55">
        <f>VLOOKUP(D141,'⚪设计'!$C$85:$H$104,6,FALSE)</f>
        <v>0.8</v>
      </c>
      <c r="L141" t="s">
        <v>565</v>
      </c>
      <c r="M141" t="s">
        <v>468</v>
      </c>
      <c r="N141" t="s">
        <v>469</v>
      </c>
      <c r="O141" t="s">
        <v>470</v>
      </c>
      <c r="Q141" s="110">
        <v>2</v>
      </c>
      <c r="R141" s="110">
        <v>2</v>
      </c>
      <c r="S141" s="110"/>
    </row>
    <row r="142" spans="2:19" x14ac:dyDescent="0.2">
      <c r="B142" t="s">
        <v>473</v>
      </c>
      <c r="C142" t="s">
        <v>692</v>
      </c>
      <c r="D142" s="55" t="str">
        <f>VLOOKUP(VLOOKUP(Q142,'⚪设计'!$A$202:$G$221,3+UnitCfg!R142,FALSE),'⚪设计'!$B$85:$C$113,2,FALSE)</f>
        <v>ResUnit_MiFeng2</v>
      </c>
      <c r="E142" s="55">
        <f>VLOOKUP(D142,'⚪设计'!$C$85:$G$101,5,FALSE)*VLOOKUP(UnitCfg!Q142,无限模式!$A$3:$C$22,3,FALSE)</f>
        <v>3.3000000000000003</v>
      </c>
      <c r="F142">
        <v>400</v>
      </c>
      <c r="G142" t="b">
        <v>1</v>
      </c>
      <c r="H142">
        <v>1</v>
      </c>
      <c r="I142">
        <v>1</v>
      </c>
      <c r="J142">
        <v>0.25</v>
      </c>
      <c r="K142" s="55">
        <f>VLOOKUP(D142,'⚪设计'!$C$85:$H$104,6,FALSE)</f>
        <v>0.8</v>
      </c>
      <c r="L142" t="s">
        <v>530</v>
      </c>
      <c r="M142" t="s">
        <v>468</v>
      </c>
      <c r="N142" t="s">
        <v>469</v>
      </c>
      <c r="O142" t="s">
        <v>470</v>
      </c>
      <c r="Q142" s="110">
        <v>3</v>
      </c>
      <c r="R142" s="110">
        <v>1</v>
      </c>
      <c r="S142" s="110"/>
    </row>
    <row r="143" spans="2:19" x14ac:dyDescent="0.2">
      <c r="B143" t="s">
        <v>474</v>
      </c>
      <c r="C143" t="s">
        <v>693</v>
      </c>
      <c r="D143" s="55" t="str">
        <f>VLOOKUP(VLOOKUP(Q143,'⚪设计'!$A$202:$G$221,3+UnitCfg!R143,FALSE),'⚪设计'!$B$85:$C$113,2,FALSE)</f>
        <v>ResUnit_BianFu1</v>
      </c>
      <c r="E143" s="55">
        <f>VLOOKUP(D143,'⚪设计'!$C$85:$G$101,5,FALSE)*VLOOKUP(UnitCfg!Q143,无限模式!$A$3:$C$22,3,FALSE)</f>
        <v>3.3000000000000003</v>
      </c>
      <c r="F143">
        <v>400</v>
      </c>
      <c r="G143" t="b">
        <v>1</v>
      </c>
      <c r="H143">
        <v>1</v>
      </c>
      <c r="I143">
        <v>1</v>
      </c>
      <c r="J143">
        <v>0.25</v>
      </c>
      <c r="K143" s="55">
        <f>VLOOKUP(D143,'⚪设计'!$C$85:$H$104,6,FALSE)</f>
        <v>0.5</v>
      </c>
      <c r="L143" t="s">
        <v>566</v>
      </c>
      <c r="M143" t="s">
        <v>468</v>
      </c>
      <c r="N143" t="s">
        <v>469</v>
      </c>
      <c r="O143" t="s">
        <v>470</v>
      </c>
      <c r="Q143" s="110">
        <v>3</v>
      </c>
      <c r="R143" s="110">
        <v>2</v>
      </c>
      <c r="S143" s="110"/>
    </row>
    <row r="144" spans="2:19" x14ac:dyDescent="0.2">
      <c r="B144" t="s">
        <v>475</v>
      </c>
      <c r="C144" t="s">
        <v>694</v>
      </c>
      <c r="D144" s="55" t="str">
        <f>VLOOKUP(VLOOKUP(Q144,'⚪设计'!$A$202:$G$221,3+UnitCfg!R144,FALSE),'⚪设计'!$B$85:$C$113,2,FALSE)</f>
        <v>ResUnit_MiFeng3</v>
      </c>
      <c r="E144" s="55">
        <f>VLOOKUP(D144,'⚪设计'!$C$85:$G$101,5,FALSE)*VLOOKUP(UnitCfg!Q144,无限模式!$A$3:$C$22,3,FALSE)</f>
        <v>1.4375</v>
      </c>
      <c r="F144">
        <v>400</v>
      </c>
      <c r="G144" t="b">
        <v>1</v>
      </c>
      <c r="H144">
        <v>1</v>
      </c>
      <c r="I144">
        <v>1</v>
      </c>
      <c r="J144">
        <v>0.25</v>
      </c>
      <c r="K144" s="55">
        <f>VLOOKUP(D144,'⚪设计'!$C$85:$H$104,6,FALSE)</f>
        <v>1.8</v>
      </c>
      <c r="L144" t="s">
        <v>531</v>
      </c>
      <c r="M144" t="s">
        <v>468</v>
      </c>
      <c r="N144" t="s">
        <v>469</v>
      </c>
      <c r="O144" t="s">
        <v>470</v>
      </c>
      <c r="Q144" s="110">
        <v>4</v>
      </c>
      <c r="R144" s="110">
        <v>1</v>
      </c>
      <c r="S144" s="110"/>
    </row>
    <row r="145" spans="2:19" x14ac:dyDescent="0.2">
      <c r="B145" t="s">
        <v>476</v>
      </c>
      <c r="C145" t="s">
        <v>695</v>
      </c>
      <c r="D145" s="55" t="str">
        <f>VLOOKUP(VLOOKUP(Q145,'⚪设计'!$A$202:$G$221,3+UnitCfg!R145,FALSE),'⚪设计'!$B$85:$C$113,2,FALSE)</f>
        <v>ResUnit_BianFu1</v>
      </c>
      <c r="E145" s="55">
        <f>VLOOKUP(D145,'⚪设计'!$C$85:$G$101,5,FALSE)*VLOOKUP(UnitCfg!Q145,无限模式!$A$3:$C$22,3,FALSE)</f>
        <v>3.4499999999999997</v>
      </c>
      <c r="F145">
        <v>400</v>
      </c>
      <c r="G145" t="b">
        <v>1</v>
      </c>
      <c r="H145">
        <v>1</v>
      </c>
      <c r="I145">
        <v>1</v>
      </c>
      <c r="J145">
        <v>0.25</v>
      </c>
      <c r="K145" s="55">
        <f>VLOOKUP(D145,'⚪设计'!$C$85:$H$104,6,FALSE)</f>
        <v>0.5</v>
      </c>
      <c r="L145" t="s">
        <v>532</v>
      </c>
      <c r="M145" t="s">
        <v>468</v>
      </c>
      <c r="N145" t="s">
        <v>469</v>
      </c>
      <c r="O145" t="s">
        <v>470</v>
      </c>
      <c r="Q145" s="110">
        <v>4</v>
      </c>
      <c r="R145" s="110">
        <v>2</v>
      </c>
      <c r="S145" s="110"/>
    </row>
    <row r="146" spans="2:19" x14ac:dyDescent="0.2">
      <c r="B146" t="s">
        <v>477</v>
      </c>
      <c r="C146" t="s">
        <v>696</v>
      </c>
      <c r="D146" s="55" t="str">
        <f>VLOOKUP(VLOOKUP(Q146,'⚪设计'!$A$202:$G$221,3+UnitCfg!R146,FALSE),'⚪设计'!$B$85:$C$113,2,FALSE)</f>
        <v>ResUnit_MiFeng2</v>
      </c>
      <c r="E146" s="55">
        <f>VLOOKUP(D146,'⚪设计'!$C$85:$G$101,5,FALSE)*VLOOKUP(UnitCfg!Q146,无限模式!$A$3:$C$22,3,FALSE)</f>
        <v>3.5999999999999996</v>
      </c>
      <c r="F146">
        <v>400</v>
      </c>
      <c r="G146" t="b">
        <v>1</v>
      </c>
      <c r="H146">
        <v>1</v>
      </c>
      <c r="I146">
        <v>1</v>
      </c>
      <c r="J146">
        <v>0.25</v>
      </c>
      <c r="K146" s="55">
        <f>VLOOKUP(D146,'⚪设计'!$C$85:$H$104,6,FALSE)</f>
        <v>0.8</v>
      </c>
      <c r="L146" t="s">
        <v>533</v>
      </c>
      <c r="M146" t="s">
        <v>468</v>
      </c>
      <c r="N146" t="s">
        <v>469</v>
      </c>
      <c r="O146" t="s">
        <v>470</v>
      </c>
      <c r="Q146" s="110">
        <v>5</v>
      </c>
      <c r="R146" s="110">
        <v>1</v>
      </c>
      <c r="S146" s="110"/>
    </row>
    <row r="147" spans="2:19" x14ac:dyDescent="0.2">
      <c r="B147" t="s">
        <v>478</v>
      </c>
      <c r="C147" t="s">
        <v>697</v>
      </c>
      <c r="D147" s="55" t="str">
        <f>VLOOKUP(VLOOKUP(Q147,'⚪设计'!$A$202:$G$221,3+UnitCfg!R147,FALSE),'⚪设计'!$B$85:$C$113,2,FALSE)</f>
        <v>ResUnit_ZhiZhu1</v>
      </c>
      <c r="E147" s="55">
        <f>VLOOKUP(D147,'⚪设计'!$C$85:$G$101,5,FALSE)*VLOOKUP(UnitCfg!Q147,无限模式!$A$3:$C$22,3,FALSE)</f>
        <v>5.3999999999999995</v>
      </c>
      <c r="F147">
        <v>400</v>
      </c>
      <c r="G147" t="b">
        <v>1</v>
      </c>
      <c r="H147">
        <v>1</v>
      </c>
      <c r="I147">
        <v>1</v>
      </c>
      <c r="J147">
        <v>0.25</v>
      </c>
      <c r="K147" s="55">
        <f>VLOOKUP(D147,'⚪设计'!$C$85:$H$104,6,FALSE)</f>
        <v>1</v>
      </c>
      <c r="L147" t="s">
        <v>534</v>
      </c>
      <c r="M147" t="s">
        <v>468</v>
      </c>
      <c r="N147" t="s">
        <v>469</v>
      </c>
      <c r="O147" t="s">
        <v>470</v>
      </c>
      <c r="Q147" s="110">
        <v>5</v>
      </c>
      <c r="R147" s="110">
        <v>2</v>
      </c>
      <c r="S147" s="110"/>
    </row>
    <row r="148" spans="2:19" x14ac:dyDescent="0.2">
      <c r="B148" t="s">
        <v>479</v>
      </c>
      <c r="C148" t="s">
        <v>698</v>
      </c>
      <c r="D148" s="55" t="str">
        <f>VLOOKUP(VLOOKUP(Q148,'⚪设计'!$A$202:$G$221,3+UnitCfg!R148,FALSE),'⚪设计'!$B$85:$C$113,2,FALSE)</f>
        <v>ResUnit_MiFeng2</v>
      </c>
      <c r="E148" s="55">
        <f>VLOOKUP(D148,'⚪设计'!$C$85:$G$101,5,FALSE)*VLOOKUP(UnitCfg!Q148,无限模式!$A$3:$C$22,3,FALSE)</f>
        <v>3.75</v>
      </c>
      <c r="F148">
        <v>400</v>
      </c>
      <c r="G148" t="b">
        <v>1</v>
      </c>
      <c r="H148">
        <v>1</v>
      </c>
      <c r="I148">
        <v>1</v>
      </c>
      <c r="J148">
        <v>0.25</v>
      </c>
      <c r="K148" s="55">
        <f>VLOOKUP(D148,'⚪设计'!$C$85:$H$104,6,FALSE)</f>
        <v>0.8</v>
      </c>
      <c r="L148" t="s">
        <v>535</v>
      </c>
      <c r="M148" t="s">
        <v>468</v>
      </c>
      <c r="N148" t="s">
        <v>469</v>
      </c>
      <c r="O148" t="s">
        <v>470</v>
      </c>
      <c r="Q148" s="110">
        <v>6</v>
      </c>
      <c r="R148" s="110">
        <v>1</v>
      </c>
      <c r="S148" s="110"/>
    </row>
    <row r="149" spans="2:19" x14ac:dyDescent="0.2">
      <c r="B149" t="s">
        <v>480</v>
      </c>
      <c r="C149" t="s">
        <v>699</v>
      </c>
      <c r="D149" s="55" t="str">
        <f>VLOOKUP(VLOOKUP(Q149,'⚪设计'!$A$202:$G$221,3+UnitCfg!R149,FALSE),'⚪设计'!$B$85:$C$113,2,FALSE)</f>
        <v>ResUnit_ZhiZhu1</v>
      </c>
      <c r="E149" s="55">
        <f>VLOOKUP(D149,'⚪设计'!$C$85:$G$101,5,FALSE)*VLOOKUP(UnitCfg!Q149,无限模式!$A$3:$C$22,3,FALSE)</f>
        <v>5.625</v>
      </c>
      <c r="F149">
        <v>400</v>
      </c>
      <c r="G149" t="b">
        <v>1</v>
      </c>
      <c r="H149">
        <v>1</v>
      </c>
      <c r="I149">
        <v>1</v>
      </c>
      <c r="J149">
        <v>0.25</v>
      </c>
      <c r="K149" s="55">
        <f>VLOOKUP(D149,'⚪设计'!$C$85:$H$104,6,FALSE)</f>
        <v>1</v>
      </c>
      <c r="L149" t="s">
        <v>536</v>
      </c>
      <c r="M149" t="s">
        <v>468</v>
      </c>
      <c r="N149" t="s">
        <v>469</v>
      </c>
      <c r="O149" t="s">
        <v>470</v>
      </c>
      <c r="Q149" s="110">
        <v>6</v>
      </c>
      <c r="R149" s="110">
        <v>2</v>
      </c>
      <c r="S149" s="110"/>
    </row>
    <row r="150" spans="2:19" x14ac:dyDescent="0.2">
      <c r="B150" t="s">
        <v>481</v>
      </c>
      <c r="C150" t="s">
        <v>700</v>
      </c>
      <c r="D150" s="55" t="str">
        <f>VLOOKUP(VLOOKUP(Q150,'⚪设计'!$A$202:$G$221,3+UnitCfg!R150,FALSE),'⚪设计'!$B$85:$C$113,2,FALSE)</f>
        <v>ResUnit_MiFeng1</v>
      </c>
      <c r="E150" s="55">
        <f>VLOOKUP(D150,'⚪设计'!$C$85:$G$101,5,FALSE)*VLOOKUP(UnitCfg!Q150,无限模式!$A$3:$C$22,3,FALSE)</f>
        <v>3.9000000000000004</v>
      </c>
      <c r="F150">
        <v>400</v>
      </c>
      <c r="G150" t="b">
        <v>1</v>
      </c>
      <c r="H150">
        <v>1</v>
      </c>
      <c r="I150">
        <v>1</v>
      </c>
      <c r="J150">
        <v>0.25</v>
      </c>
      <c r="K150" s="55">
        <f>VLOOKUP(D150,'⚪设计'!$C$85:$H$104,6,FALSE)</f>
        <v>0.5</v>
      </c>
      <c r="L150" t="s">
        <v>537</v>
      </c>
      <c r="M150" t="s">
        <v>468</v>
      </c>
      <c r="N150" t="s">
        <v>469</v>
      </c>
      <c r="O150" t="s">
        <v>470</v>
      </c>
      <c r="Q150" s="110">
        <v>7</v>
      </c>
      <c r="R150" s="110">
        <v>1</v>
      </c>
      <c r="S150" s="110"/>
    </row>
    <row r="151" spans="2:19" x14ac:dyDescent="0.2">
      <c r="B151" t="s">
        <v>482</v>
      </c>
      <c r="C151" t="s">
        <v>701</v>
      </c>
      <c r="D151" s="55" t="str">
        <f>VLOOKUP(VLOOKUP(Q151,'⚪设计'!$A$202:$G$221,3+UnitCfg!R151,FALSE),'⚪设计'!$B$85:$C$113,2,FALSE)</f>
        <v>ResUnit_ZhiZhu1</v>
      </c>
      <c r="E151" s="55">
        <f>VLOOKUP(D151,'⚪设计'!$C$85:$G$101,5,FALSE)*VLOOKUP(UnitCfg!Q151,无限模式!$A$3:$C$22,3,FALSE)</f>
        <v>5.8500000000000005</v>
      </c>
      <c r="F151">
        <v>400</v>
      </c>
      <c r="G151" t="b">
        <v>1</v>
      </c>
      <c r="H151">
        <v>1</v>
      </c>
      <c r="I151">
        <v>1</v>
      </c>
      <c r="J151">
        <v>0.25</v>
      </c>
      <c r="K151" s="55">
        <f>VLOOKUP(D151,'⚪设计'!$C$85:$H$104,6,FALSE)</f>
        <v>1</v>
      </c>
      <c r="L151" t="s">
        <v>538</v>
      </c>
      <c r="M151" t="s">
        <v>468</v>
      </c>
      <c r="N151" t="s">
        <v>469</v>
      </c>
      <c r="O151" t="s">
        <v>470</v>
      </c>
      <c r="Q151" s="110">
        <v>7</v>
      </c>
      <c r="R151" s="110">
        <v>2</v>
      </c>
      <c r="S151" s="110"/>
    </row>
    <row r="152" spans="2:19" x14ac:dyDescent="0.2">
      <c r="B152" t="s">
        <v>483</v>
      </c>
      <c r="C152" t="s">
        <v>702</v>
      </c>
      <c r="D152" s="55" t="str">
        <f>VLOOKUP(VLOOKUP(Q152,'⚪设计'!$A$202:$G$221,3+UnitCfg!R152,FALSE),'⚪设计'!$B$85:$C$113,2,FALSE)</f>
        <v>ResUnit_BianFu2</v>
      </c>
      <c r="E152" s="55">
        <f>VLOOKUP(D152,'⚪设计'!$C$85:$G$101,5,FALSE)*VLOOKUP(UnitCfg!Q152,无限模式!$A$3:$C$22,3,FALSE)</f>
        <v>4.0500000000000007</v>
      </c>
      <c r="F152">
        <v>400</v>
      </c>
      <c r="G152" t="b">
        <v>1</v>
      </c>
      <c r="H152">
        <v>1</v>
      </c>
      <c r="I152">
        <v>1</v>
      </c>
      <c r="J152">
        <v>0.25</v>
      </c>
      <c r="K152" s="55">
        <f>VLOOKUP(D152,'⚪设计'!$C$85:$H$104,6,FALSE)</f>
        <v>0.5</v>
      </c>
      <c r="L152" t="s">
        <v>539</v>
      </c>
      <c r="M152" t="s">
        <v>468</v>
      </c>
      <c r="N152" t="s">
        <v>469</v>
      </c>
      <c r="O152" t="s">
        <v>470</v>
      </c>
      <c r="Q152" s="110">
        <v>8</v>
      </c>
      <c r="R152" s="110">
        <v>1</v>
      </c>
      <c r="S152" s="110"/>
    </row>
    <row r="153" spans="2:19" x14ac:dyDescent="0.2">
      <c r="B153" t="s">
        <v>484</v>
      </c>
      <c r="C153" t="s">
        <v>703</v>
      </c>
      <c r="D153" s="55" t="str">
        <f>VLOOKUP(VLOOKUP(Q153,'⚪设计'!$A$202:$G$221,3+UnitCfg!R153,FALSE),'⚪设计'!$B$85:$C$113,2,FALSE)</f>
        <v>ResUnit_ZhiZhu3</v>
      </c>
      <c r="E153" s="55">
        <f>VLOOKUP(D153,'⚪设计'!$C$85:$G$101,5,FALSE)*VLOOKUP(UnitCfg!Q153,无限模式!$A$3:$C$22,3,FALSE)</f>
        <v>1.6875</v>
      </c>
      <c r="F153">
        <v>400</v>
      </c>
      <c r="G153" t="b">
        <v>1</v>
      </c>
      <c r="H153">
        <v>1</v>
      </c>
      <c r="I153">
        <v>1</v>
      </c>
      <c r="J153">
        <v>0.25</v>
      </c>
      <c r="K153" s="55">
        <f>VLOOKUP(D153,'⚪设计'!$C$85:$H$104,6,FALSE)</f>
        <v>1.5</v>
      </c>
      <c r="L153" t="s">
        <v>540</v>
      </c>
      <c r="M153" t="s">
        <v>468</v>
      </c>
      <c r="N153" t="s">
        <v>469</v>
      </c>
      <c r="O153" t="s">
        <v>470</v>
      </c>
      <c r="Q153" s="110">
        <v>8</v>
      </c>
      <c r="R153" s="110">
        <v>2</v>
      </c>
      <c r="S153" s="110"/>
    </row>
    <row r="154" spans="2:19" x14ac:dyDescent="0.2">
      <c r="B154" t="s">
        <v>485</v>
      </c>
      <c r="C154" t="s">
        <v>704</v>
      </c>
      <c r="D154" s="55" t="str">
        <f>VLOOKUP(VLOOKUP(Q154,'⚪设计'!$A$202:$G$221,3+UnitCfg!R154,FALSE),'⚪设计'!$B$85:$C$113,2,FALSE)</f>
        <v>ResUnit_MiFeng2</v>
      </c>
      <c r="E154" s="55">
        <f>VLOOKUP(D154,'⚪设计'!$C$85:$G$101,5,FALSE)*VLOOKUP(UnitCfg!Q154,无限模式!$A$3:$C$22,3,FALSE)</f>
        <v>4.1999999999999993</v>
      </c>
      <c r="F154">
        <v>400</v>
      </c>
      <c r="G154" t="b">
        <v>1</v>
      </c>
      <c r="H154">
        <v>1</v>
      </c>
      <c r="I154">
        <v>1</v>
      </c>
      <c r="J154">
        <v>0.25</v>
      </c>
      <c r="K154" s="55">
        <f>VLOOKUP(D154,'⚪设计'!$C$85:$H$104,6,FALSE)</f>
        <v>0.8</v>
      </c>
      <c r="L154" t="s">
        <v>541</v>
      </c>
      <c r="M154" t="s">
        <v>468</v>
      </c>
      <c r="N154" t="s">
        <v>469</v>
      </c>
      <c r="O154" t="s">
        <v>470</v>
      </c>
      <c r="Q154" s="110">
        <v>9</v>
      </c>
      <c r="R154" s="110">
        <v>1</v>
      </c>
      <c r="S154" s="110"/>
    </row>
    <row r="155" spans="2:19" x14ac:dyDescent="0.2">
      <c r="B155" t="s">
        <v>486</v>
      </c>
      <c r="C155" t="s">
        <v>705</v>
      </c>
      <c r="D155" s="55" t="str">
        <f>VLOOKUP(VLOOKUP(Q155,'⚪设计'!$A$202:$G$221,3+UnitCfg!R155,FALSE),'⚪设计'!$B$85:$C$113,2,FALSE)</f>
        <v>ResUnit_ZhongZi1</v>
      </c>
      <c r="E155" s="55">
        <f>VLOOKUP(D155,'⚪设计'!$C$85:$G$101,5,FALSE)*VLOOKUP(UnitCfg!Q155,无限模式!$A$3:$C$22,3,FALSE)</f>
        <v>4.1999999999999993</v>
      </c>
      <c r="F155">
        <v>400</v>
      </c>
      <c r="G155" t="b">
        <v>1</v>
      </c>
      <c r="H155">
        <v>1</v>
      </c>
      <c r="I155">
        <v>1</v>
      </c>
      <c r="J155">
        <v>0.25</v>
      </c>
      <c r="K155" s="55">
        <f>VLOOKUP(D155,'⚪设计'!$C$85:$H$104,6,FALSE)</f>
        <v>1</v>
      </c>
      <c r="L155" t="s">
        <v>542</v>
      </c>
      <c r="M155" t="s">
        <v>468</v>
      </c>
      <c r="N155" t="s">
        <v>469</v>
      </c>
      <c r="O155" t="s">
        <v>470</v>
      </c>
      <c r="P155" t="str">
        <f>"Skill_"&amp;MID($B155,6,99)&amp;"_"&amp;MID(LEFT(D155,LEN(D155)-1),9,99)</f>
        <v>Skill_Monster_Infinite_9_2_ZhongZi</v>
      </c>
      <c r="Q155" s="110">
        <v>9</v>
      </c>
      <c r="R155" s="110">
        <v>2</v>
      </c>
      <c r="S155" s="110"/>
    </row>
    <row r="156" spans="2:19" x14ac:dyDescent="0.2">
      <c r="B156" t="s">
        <v>487</v>
      </c>
      <c r="C156" t="s">
        <v>706</v>
      </c>
      <c r="D156" s="55" t="str">
        <f>VLOOKUP(VLOOKUP(Q156,'⚪设计'!$A$202:$G$221,3+UnitCfg!R156,FALSE),'⚪设计'!$B$85:$C$113,2,FALSE)</f>
        <v>ResUnit_MiFeng2</v>
      </c>
      <c r="E156" s="55">
        <f>VLOOKUP(D156,'⚪设计'!$C$85:$G$101,5,FALSE)*VLOOKUP(UnitCfg!Q156,无限模式!$A$3:$C$22,3,FALSE)</f>
        <v>4.3499999999999996</v>
      </c>
      <c r="F156">
        <v>400</v>
      </c>
      <c r="G156" t="b">
        <v>1</v>
      </c>
      <c r="H156">
        <v>1</v>
      </c>
      <c r="I156">
        <v>1</v>
      </c>
      <c r="J156">
        <v>0.25</v>
      </c>
      <c r="K156" s="55">
        <f>VLOOKUP(D156,'⚪设计'!$C$85:$H$104,6,FALSE)</f>
        <v>0.8</v>
      </c>
      <c r="L156" t="s">
        <v>543</v>
      </c>
      <c r="M156" t="s">
        <v>468</v>
      </c>
      <c r="N156" t="s">
        <v>469</v>
      </c>
      <c r="O156" t="s">
        <v>470</v>
      </c>
      <c r="Q156" s="110">
        <v>10</v>
      </c>
      <c r="R156" s="110">
        <v>1</v>
      </c>
      <c r="S156" s="110"/>
    </row>
    <row r="157" spans="2:19" x14ac:dyDescent="0.2">
      <c r="B157" t="s">
        <v>488</v>
      </c>
      <c r="C157" t="s">
        <v>707</v>
      </c>
      <c r="D157" s="55" t="str">
        <f>VLOOKUP(VLOOKUP(Q157,'⚪设计'!$A$202:$G$221,3+UnitCfg!R157,FALSE),'⚪设计'!$B$85:$C$113,2,FALSE)</f>
        <v>ResUnit_ZhongZi1</v>
      </c>
      <c r="E157" s="55">
        <f>VLOOKUP(D157,'⚪设计'!$C$85:$G$101,5,FALSE)*VLOOKUP(UnitCfg!Q157,无限模式!$A$3:$C$22,3,FALSE)</f>
        <v>4.3499999999999996</v>
      </c>
      <c r="F157">
        <v>400</v>
      </c>
      <c r="G157" t="b">
        <v>1</v>
      </c>
      <c r="H157">
        <v>1</v>
      </c>
      <c r="I157">
        <v>1</v>
      </c>
      <c r="J157">
        <v>0.25</v>
      </c>
      <c r="K157" s="55">
        <f>VLOOKUP(D157,'⚪设计'!$C$85:$H$104,6,FALSE)</f>
        <v>1</v>
      </c>
      <c r="L157" t="s">
        <v>544</v>
      </c>
      <c r="M157" t="s">
        <v>468</v>
      </c>
      <c r="N157" t="s">
        <v>469</v>
      </c>
      <c r="O157" t="s">
        <v>470</v>
      </c>
      <c r="P157" t="str">
        <f t="shared" ref="P157:P158" si="2">"Skill_"&amp;MID($B157,6,99)&amp;"_"&amp;MID(LEFT(D157,LEN(D157)-1),9,99)</f>
        <v>Skill_Monster_Infinite_10_2_ZhongZi</v>
      </c>
      <c r="Q157" s="110">
        <v>10</v>
      </c>
      <c r="R157" s="110">
        <v>2</v>
      </c>
      <c r="S157" s="110"/>
    </row>
    <row r="158" spans="2:19" x14ac:dyDescent="0.2">
      <c r="B158" t="s">
        <v>489</v>
      </c>
      <c r="C158" t="s">
        <v>708</v>
      </c>
      <c r="D158" s="55" t="str">
        <f>VLOOKUP(VLOOKUP(Q158,'⚪设计'!$A$202:$G$221,3+UnitCfg!R158,FALSE),'⚪设计'!$B$85:$C$113,2,FALSE)</f>
        <v>ResUnit_ZhongZi1</v>
      </c>
      <c r="E158" s="55">
        <f>VLOOKUP(D158,'⚪设计'!$C$85:$G$101,5,FALSE)*VLOOKUP(UnitCfg!Q158,无限模式!$A$3:$C$22,3,FALSE)</f>
        <v>4.5</v>
      </c>
      <c r="F158">
        <v>400</v>
      </c>
      <c r="G158" t="b">
        <v>1</v>
      </c>
      <c r="H158">
        <v>1</v>
      </c>
      <c r="I158">
        <v>1</v>
      </c>
      <c r="J158">
        <v>0.25</v>
      </c>
      <c r="K158" s="55">
        <f>VLOOKUP(D158,'⚪设计'!$C$85:$H$104,6,FALSE)</f>
        <v>1</v>
      </c>
      <c r="L158" t="s">
        <v>545</v>
      </c>
      <c r="M158" t="s">
        <v>468</v>
      </c>
      <c r="N158" t="s">
        <v>469</v>
      </c>
      <c r="O158" t="s">
        <v>470</v>
      </c>
      <c r="P158" t="str">
        <f t="shared" si="2"/>
        <v>Skill_Monster_Infinite_11_1_ZhongZi</v>
      </c>
      <c r="Q158" s="110">
        <v>11</v>
      </c>
      <c r="R158" s="110">
        <v>1</v>
      </c>
      <c r="S158" s="110"/>
    </row>
    <row r="159" spans="2:19" x14ac:dyDescent="0.2">
      <c r="B159" t="s">
        <v>490</v>
      </c>
      <c r="C159" t="s">
        <v>709</v>
      </c>
      <c r="D159" s="55" t="str">
        <f>VLOOKUP(VLOOKUP(Q159,'⚪设计'!$A$202:$G$221,3+UnitCfg!R159,FALSE),'⚪设计'!$B$85:$C$113,2,FALSE)</f>
        <v>ResUnit_ZhiZhu2</v>
      </c>
      <c r="E159" s="55">
        <f>VLOOKUP(D159,'⚪设计'!$C$85:$G$101,5,FALSE)*VLOOKUP(UnitCfg!Q159,无限模式!$A$3:$C$22,3,FALSE)</f>
        <v>6.75</v>
      </c>
      <c r="F159">
        <v>400</v>
      </c>
      <c r="G159" t="b">
        <v>1</v>
      </c>
      <c r="H159">
        <v>1</v>
      </c>
      <c r="I159">
        <v>1</v>
      </c>
      <c r="J159">
        <v>0.25</v>
      </c>
      <c r="K159" s="55">
        <f>VLOOKUP(D159,'⚪设计'!$C$85:$H$104,6,FALSE)</f>
        <v>1</v>
      </c>
      <c r="L159" t="s">
        <v>546</v>
      </c>
      <c r="M159" t="s">
        <v>468</v>
      </c>
      <c r="N159" t="s">
        <v>469</v>
      </c>
      <c r="O159" t="s">
        <v>470</v>
      </c>
      <c r="Q159" s="110">
        <v>11</v>
      </c>
      <c r="R159" s="110">
        <v>2</v>
      </c>
      <c r="S159" s="110"/>
    </row>
    <row r="160" spans="2:19" x14ac:dyDescent="0.2">
      <c r="B160" t="s">
        <v>491</v>
      </c>
      <c r="C160" t="s">
        <v>710</v>
      </c>
      <c r="D160" s="55" t="str">
        <f>VLOOKUP(VLOOKUP(Q160,'⚪设计'!$A$202:$G$221,3+UnitCfg!R160,FALSE),'⚪设计'!$B$85:$C$113,2,FALSE)</f>
        <v>ResUnit_MiFeng2</v>
      </c>
      <c r="E160" s="55">
        <f>VLOOKUP(D160,'⚪设计'!$C$85:$G$101,5,FALSE)*VLOOKUP(UnitCfg!Q160,无限模式!$A$3:$C$22,3,FALSE)</f>
        <v>4.6500000000000004</v>
      </c>
      <c r="F160">
        <v>400</v>
      </c>
      <c r="G160" t="b">
        <v>1</v>
      </c>
      <c r="H160">
        <v>1</v>
      </c>
      <c r="I160">
        <v>1</v>
      </c>
      <c r="J160">
        <v>0.25</v>
      </c>
      <c r="K160" s="55">
        <f>VLOOKUP(D160,'⚪设计'!$C$85:$H$104,6,FALSE)</f>
        <v>0.8</v>
      </c>
      <c r="L160" t="s">
        <v>547</v>
      </c>
      <c r="M160" t="s">
        <v>468</v>
      </c>
      <c r="N160" t="s">
        <v>469</v>
      </c>
      <c r="O160" t="s">
        <v>470</v>
      </c>
      <c r="Q160" s="110">
        <v>12</v>
      </c>
      <c r="R160" s="110">
        <v>1</v>
      </c>
      <c r="S160" s="110"/>
    </row>
    <row r="161" spans="2:19" x14ac:dyDescent="0.2">
      <c r="B161" t="s">
        <v>492</v>
      </c>
      <c r="C161" t="s">
        <v>711</v>
      </c>
      <c r="D161" s="55" t="str">
        <f>VLOOKUP(VLOOKUP(Q161,'⚪设计'!$A$202:$G$221,3+UnitCfg!R161,FALSE),'⚪设计'!$B$85:$C$113,2,FALSE)</f>
        <v>ResUnit_ZhongZi1</v>
      </c>
      <c r="E161" s="55">
        <f>VLOOKUP(D161,'⚪设计'!$C$85:$G$101,5,FALSE)*VLOOKUP(UnitCfg!Q161,无限模式!$A$3:$C$22,3,FALSE)</f>
        <v>4.6500000000000004</v>
      </c>
      <c r="F161">
        <v>400</v>
      </c>
      <c r="G161" t="b">
        <v>1</v>
      </c>
      <c r="H161">
        <v>1</v>
      </c>
      <c r="I161">
        <v>1</v>
      </c>
      <c r="J161">
        <v>0.25</v>
      </c>
      <c r="K161" s="55">
        <f>VLOOKUP(D161,'⚪设计'!$C$85:$H$104,6,FALSE)</f>
        <v>1</v>
      </c>
      <c r="L161" t="s">
        <v>548</v>
      </c>
      <c r="M161" t="s">
        <v>468</v>
      </c>
      <c r="N161" t="s">
        <v>469</v>
      </c>
      <c r="O161" t="s">
        <v>470</v>
      </c>
      <c r="P161" t="str">
        <f t="shared" ref="P161:P164" si="3">"Skill_"&amp;MID($B161,6,99)&amp;"_"&amp;MID(LEFT(D161,LEN(D161)-1),9,99)</f>
        <v>Skill_Monster_Infinite_12_2_ZhongZi</v>
      </c>
      <c r="Q161" s="110">
        <v>12</v>
      </c>
      <c r="R161" s="110">
        <v>2</v>
      </c>
      <c r="S161" s="110"/>
    </row>
    <row r="162" spans="2:19" x14ac:dyDescent="0.2">
      <c r="B162" t="s">
        <v>493</v>
      </c>
      <c r="C162" t="s">
        <v>712</v>
      </c>
      <c r="D162" s="55" t="str">
        <f>VLOOKUP(VLOOKUP(Q162,'⚪设计'!$A$202:$G$221,3+UnitCfg!R162,FALSE),'⚪设计'!$B$85:$C$113,2,FALSE)</f>
        <v>ResUnit_ZhongZi3</v>
      </c>
      <c r="E162" s="55">
        <f>VLOOKUP(D162,'⚪设计'!$C$85:$G$101,5,FALSE)*VLOOKUP(UnitCfg!Q162,无限模式!$A$3:$C$22,3,FALSE)</f>
        <v>1.9375</v>
      </c>
      <c r="F162">
        <v>400</v>
      </c>
      <c r="G162" t="b">
        <v>1</v>
      </c>
      <c r="H162">
        <v>1</v>
      </c>
      <c r="I162">
        <v>1</v>
      </c>
      <c r="J162">
        <v>0.25</v>
      </c>
      <c r="K162" s="55">
        <f>VLOOKUP(D162,'⚪设计'!$C$85:$H$104,6,FALSE)</f>
        <v>2</v>
      </c>
      <c r="L162" t="s">
        <v>567</v>
      </c>
      <c r="M162" t="s">
        <v>468</v>
      </c>
      <c r="N162" t="s">
        <v>469</v>
      </c>
      <c r="O162" t="s">
        <v>470</v>
      </c>
      <c r="P162" t="str">
        <f t="shared" si="3"/>
        <v>Skill_Monster_Infinite_12_3_ZhongZi</v>
      </c>
      <c r="Q162" s="110">
        <v>12</v>
      </c>
      <c r="R162" s="110">
        <v>3</v>
      </c>
      <c r="S162" s="110"/>
    </row>
    <row r="163" spans="2:19" x14ac:dyDescent="0.2">
      <c r="B163" t="s">
        <v>494</v>
      </c>
      <c r="C163" t="s">
        <v>713</v>
      </c>
      <c r="D163" s="55" t="str">
        <f>VLOOKUP(VLOOKUP(Q163,'⚪设计'!$A$202:$G$221,3+UnitCfg!R163,FALSE),'⚪设计'!$B$85:$C$113,2,FALSE)</f>
        <v>ResUnit_Gui1</v>
      </c>
      <c r="E163" s="55">
        <f>VLOOKUP(D163,'⚪设计'!$C$85:$G$101,5,FALSE)*VLOOKUP(UnitCfg!Q163,无限模式!$A$3:$C$22,3,FALSE)</f>
        <v>4.8000000000000007</v>
      </c>
      <c r="F163">
        <v>400</v>
      </c>
      <c r="G163" t="b">
        <v>1</v>
      </c>
      <c r="H163">
        <v>1</v>
      </c>
      <c r="I163">
        <v>1</v>
      </c>
      <c r="J163">
        <v>0.25</v>
      </c>
      <c r="K163" s="55">
        <f>VLOOKUP(D163,'⚪设计'!$C$85:$H$104,6,FALSE)</f>
        <v>1</v>
      </c>
      <c r="L163" t="s">
        <v>549</v>
      </c>
      <c r="M163" t="s">
        <v>468</v>
      </c>
      <c r="N163" t="s">
        <v>469</v>
      </c>
      <c r="O163" t="s">
        <v>470</v>
      </c>
      <c r="P163" t="str">
        <f t="shared" si="3"/>
        <v>Skill_Monster_Infinite_13_1_Gui</v>
      </c>
      <c r="Q163" s="110">
        <v>13</v>
      </c>
      <c r="R163" s="110">
        <v>1</v>
      </c>
      <c r="S163" s="110"/>
    </row>
    <row r="164" spans="2:19" x14ac:dyDescent="0.2">
      <c r="B164" t="s">
        <v>495</v>
      </c>
      <c r="C164" t="s">
        <v>714</v>
      </c>
      <c r="D164" s="55" t="str">
        <f>VLOOKUP(VLOOKUP(Q164,'⚪设计'!$A$202:$G$221,3+UnitCfg!R164,FALSE),'⚪设计'!$B$85:$C$113,2,FALSE)</f>
        <v>ResUnit_Gui1</v>
      </c>
      <c r="E164" s="55">
        <f>VLOOKUP(D164,'⚪设计'!$C$85:$G$101,5,FALSE)*VLOOKUP(UnitCfg!Q164,无限模式!$A$3:$C$22,3,FALSE)</f>
        <v>4.9499999999999993</v>
      </c>
      <c r="F164">
        <v>400</v>
      </c>
      <c r="G164" t="b">
        <v>1</v>
      </c>
      <c r="H164">
        <v>1</v>
      </c>
      <c r="I164">
        <v>1</v>
      </c>
      <c r="J164">
        <v>0.25</v>
      </c>
      <c r="K164" s="55">
        <f>VLOOKUP(D164,'⚪设计'!$C$85:$H$104,6,FALSE)</f>
        <v>1</v>
      </c>
      <c r="L164" t="s">
        <v>550</v>
      </c>
      <c r="M164" t="s">
        <v>468</v>
      </c>
      <c r="N164" t="s">
        <v>469</v>
      </c>
      <c r="O164" t="s">
        <v>470</v>
      </c>
      <c r="P164" t="str">
        <f t="shared" si="3"/>
        <v>Skill_Monster_Infinite_14_1_Gui</v>
      </c>
      <c r="Q164" s="110">
        <v>14</v>
      </c>
      <c r="R164" s="110">
        <v>1</v>
      </c>
      <c r="S164" s="110"/>
    </row>
    <row r="165" spans="2:19" x14ac:dyDescent="0.2">
      <c r="B165" t="s">
        <v>496</v>
      </c>
      <c r="C165" t="s">
        <v>715</v>
      </c>
      <c r="D165" s="55" t="str">
        <f>VLOOKUP(VLOOKUP(Q165,'⚪设计'!$A$202:$G$221,3+UnitCfg!R165,FALSE),'⚪设计'!$B$85:$C$113,2,FALSE)</f>
        <v>ResUnit_ZhiZhu2</v>
      </c>
      <c r="E165" s="55">
        <f>VLOOKUP(D165,'⚪设计'!$C$85:$G$101,5,FALSE)*VLOOKUP(UnitCfg!Q165,无限模式!$A$3:$C$22,3,FALSE)</f>
        <v>7.4249999999999998</v>
      </c>
      <c r="F165">
        <v>400</v>
      </c>
      <c r="G165" t="b">
        <v>1</v>
      </c>
      <c r="H165">
        <v>1</v>
      </c>
      <c r="I165">
        <v>1</v>
      </c>
      <c r="J165">
        <v>0.25</v>
      </c>
      <c r="K165" s="55">
        <f>VLOOKUP(D165,'⚪设计'!$C$85:$H$104,6,FALSE)</f>
        <v>1</v>
      </c>
      <c r="L165" t="s">
        <v>551</v>
      </c>
      <c r="M165" t="s">
        <v>468</v>
      </c>
      <c r="N165" t="s">
        <v>469</v>
      </c>
      <c r="O165" t="s">
        <v>470</v>
      </c>
      <c r="Q165" s="110">
        <v>14</v>
      </c>
      <c r="R165" s="110">
        <v>2</v>
      </c>
      <c r="S165" s="110"/>
    </row>
    <row r="166" spans="2:19" x14ac:dyDescent="0.2">
      <c r="B166" t="s">
        <v>497</v>
      </c>
      <c r="C166" t="s">
        <v>716</v>
      </c>
      <c r="D166" s="55" t="str">
        <f>VLOOKUP(VLOOKUP(Q166,'⚪设计'!$A$202:$G$221,3+UnitCfg!R166,FALSE),'⚪设计'!$B$85:$C$113,2,FALSE)</f>
        <v>ResUnit_Gui1</v>
      </c>
      <c r="E166" s="55">
        <f>VLOOKUP(D166,'⚪设计'!$C$85:$G$101,5,FALSE)*VLOOKUP(UnitCfg!Q166,无限模式!$A$3:$C$22,3,FALSE)</f>
        <v>5.0999999999999996</v>
      </c>
      <c r="F166">
        <v>400</v>
      </c>
      <c r="G166" t="b">
        <v>1</v>
      </c>
      <c r="H166">
        <v>1</v>
      </c>
      <c r="I166">
        <v>1</v>
      </c>
      <c r="J166">
        <v>0.25</v>
      </c>
      <c r="K166" s="55">
        <f>VLOOKUP(D166,'⚪设计'!$C$85:$H$104,6,FALSE)</f>
        <v>1</v>
      </c>
      <c r="L166" t="s">
        <v>552</v>
      </c>
      <c r="M166" t="s">
        <v>468</v>
      </c>
      <c r="N166" t="s">
        <v>469</v>
      </c>
      <c r="O166" t="s">
        <v>470</v>
      </c>
      <c r="P166" t="str">
        <f t="shared" ref="P166:P167" si="4">"Skill_"&amp;MID($B166,6,99)&amp;"_"&amp;MID(LEFT(D166,LEN(D166)-1),9,99)</f>
        <v>Skill_Monster_Infinite_15_1_Gui</v>
      </c>
      <c r="Q166" s="110">
        <v>15</v>
      </c>
      <c r="R166" s="110">
        <v>1</v>
      </c>
      <c r="S166" s="110"/>
    </row>
    <row r="167" spans="2:19" x14ac:dyDescent="0.2">
      <c r="B167" t="s">
        <v>498</v>
      </c>
      <c r="C167" t="s">
        <v>717</v>
      </c>
      <c r="D167" s="55" t="str">
        <f>VLOOKUP(VLOOKUP(Q167,'⚪设计'!$A$202:$G$221,3+UnitCfg!R167,FALSE),'⚪设计'!$B$85:$C$113,2,FALSE)</f>
        <v>ResUnit_ZhongZi2</v>
      </c>
      <c r="E167" s="55">
        <f>VLOOKUP(D167,'⚪设计'!$C$85:$G$101,5,FALSE)*VLOOKUP(UnitCfg!Q167,无限模式!$A$3:$C$22,3,FALSE)</f>
        <v>5.0999999999999996</v>
      </c>
      <c r="F167">
        <v>400</v>
      </c>
      <c r="G167" t="b">
        <v>1</v>
      </c>
      <c r="H167">
        <v>1</v>
      </c>
      <c r="I167">
        <v>1</v>
      </c>
      <c r="J167">
        <v>0.25</v>
      </c>
      <c r="K167" s="55">
        <f>VLOOKUP(D167,'⚪设计'!$C$85:$H$104,6,FALSE)</f>
        <v>1.2</v>
      </c>
      <c r="L167" t="s">
        <v>553</v>
      </c>
      <c r="M167" t="s">
        <v>468</v>
      </c>
      <c r="N167" t="s">
        <v>469</v>
      </c>
      <c r="O167" t="s">
        <v>470</v>
      </c>
      <c r="P167" t="str">
        <f t="shared" si="4"/>
        <v>Skill_Monster_Infinite_15_2_ZhongZi</v>
      </c>
      <c r="Q167" s="110">
        <v>15</v>
      </c>
      <c r="R167" s="110">
        <v>2</v>
      </c>
      <c r="S167" s="110"/>
    </row>
    <row r="168" spans="2:19" x14ac:dyDescent="0.2">
      <c r="B168" t="s">
        <v>499</v>
      </c>
      <c r="C168" t="s">
        <v>718</v>
      </c>
      <c r="D168" s="55" t="str">
        <f>VLOOKUP(VLOOKUP(Q168,'⚪设计'!$A$202:$G$221,3+UnitCfg!R168,FALSE),'⚪设计'!$B$85:$C$113,2,FALSE)</f>
        <v>ResUnit_MiFeng2</v>
      </c>
      <c r="E168" s="55">
        <f>VLOOKUP(D168,'⚪设计'!$C$85:$G$101,5,FALSE)*VLOOKUP(UnitCfg!Q168,无限模式!$A$3:$C$22,3,FALSE)</f>
        <v>5.25</v>
      </c>
      <c r="F168">
        <v>400</v>
      </c>
      <c r="G168" t="b">
        <v>1</v>
      </c>
      <c r="H168">
        <v>1</v>
      </c>
      <c r="I168">
        <v>1</v>
      </c>
      <c r="J168">
        <v>0.25</v>
      </c>
      <c r="K168" s="55">
        <f>VLOOKUP(D168,'⚪设计'!$C$85:$H$104,6,FALSE)</f>
        <v>0.8</v>
      </c>
      <c r="L168" t="s">
        <v>554</v>
      </c>
      <c r="M168" t="s">
        <v>468</v>
      </c>
      <c r="N168" t="s">
        <v>469</v>
      </c>
      <c r="O168" t="s">
        <v>470</v>
      </c>
      <c r="Q168" s="110">
        <v>16</v>
      </c>
      <c r="R168" s="110">
        <v>1</v>
      </c>
      <c r="S168" s="110"/>
    </row>
    <row r="169" spans="2:19" x14ac:dyDescent="0.2">
      <c r="B169" t="s">
        <v>500</v>
      </c>
      <c r="C169" t="s">
        <v>719</v>
      </c>
      <c r="D169" s="55" t="str">
        <f>VLOOKUP(VLOOKUP(Q169,'⚪设计'!$A$202:$G$221,3+UnitCfg!R169,FALSE),'⚪设计'!$B$85:$C$113,2,FALSE)</f>
        <v>ResUnit_Gui3</v>
      </c>
      <c r="E169" s="55">
        <f>VLOOKUP(D169,'⚪设计'!$C$85:$G$101,5,FALSE)*VLOOKUP(UnitCfg!Q169,无限模式!$A$3:$C$22,3,FALSE)</f>
        <v>2.1875</v>
      </c>
      <c r="F169">
        <v>400</v>
      </c>
      <c r="G169" t="b">
        <v>1</v>
      </c>
      <c r="H169">
        <v>1</v>
      </c>
      <c r="I169">
        <v>1</v>
      </c>
      <c r="J169">
        <v>0.25</v>
      </c>
      <c r="K169" s="55">
        <f>VLOOKUP(D169,'⚪设计'!$C$85:$H$104,6,FALSE)</f>
        <v>2.5</v>
      </c>
      <c r="L169" t="s">
        <v>555</v>
      </c>
      <c r="M169" t="s">
        <v>468</v>
      </c>
      <c r="N169" t="s">
        <v>469</v>
      </c>
      <c r="O169" t="s">
        <v>470</v>
      </c>
      <c r="P169" t="str">
        <f>"Skill_"&amp;MID($B169,6,99)&amp;"_"&amp;MID(LEFT(D169,LEN(D169)-1),9,99)</f>
        <v>Skill_Monster_Infinite_16_2_Gui</v>
      </c>
      <c r="Q169" s="110">
        <v>16</v>
      </c>
      <c r="R169" s="110">
        <v>2</v>
      </c>
      <c r="S169" s="110"/>
    </row>
    <row r="170" spans="2:19" x14ac:dyDescent="0.2">
      <c r="B170" t="s">
        <v>501</v>
      </c>
      <c r="C170" t="s">
        <v>720</v>
      </c>
      <c r="D170" s="55" t="str">
        <f>VLOOKUP(VLOOKUP(Q170,'⚪设计'!$A$202:$G$221,3+UnitCfg!R170,FALSE),'⚪设计'!$B$85:$C$113,2,FALSE)</f>
        <v>ResUnit_Dan1</v>
      </c>
      <c r="E170" s="55">
        <f>VLOOKUP(D170,'⚪设计'!$C$85:$G$101,5,FALSE)*VLOOKUP(UnitCfg!Q170,无限模式!$A$3:$C$22,3,FALSE)</f>
        <v>5.4</v>
      </c>
      <c r="F170">
        <v>400</v>
      </c>
      <c r="G170" t="b">
        <v>1</v>
      </c>
      <c r="H170">
        <v>1</v>
      </c>
      <c r="I170">
        <v>1</v>
      </c>
      <c r="J170">
        <v>0.25</v>
      </c>
      <c r="K170" s="55">
        <f>VLOOKUP(D170,'⚪设计'!$C$85:$H$104,6,FALSE)</f>
        <v>1.25</v>
      </c>
      <c r="L170" t="s">
        <v>556</v>
      </c>
      <c r="M170" t="s">
        <v>468</v>
      </c>
      <c r="N170" t="s">
        <v>469</v>
      </c>
      <c r="O170" t="s">
        <v>470</v>
      </c>
      <c r="Q170" s="110">
        <v>17</v>
      </c>
      <c r="R170" s="110">
        <v>1</v>
      </c>
      <c r="S170" s="110"/>
    </row>
    <row r="171" spans="2:19" x14ac:dyDescent="0.2">
      <c r="B171" t="s">
        <v>502</v>
      </c>
      <c r="C171" t="s">
        <v>721</v>
      </c>
      <c r="D171" s="55" t="str">
        <f>VLOOKUP(VLOOKUP(Q171,'⚪设计'!$A$202:$G$221,3+UnitCfg!R171,FALSE),'⚪设计'!$B$85:$C$113,2,FALSE)</f>
        <v>ResUnit_Dan2</v>
      </c>
      <c r="E171" s="55">
        <f>VLOOKUP(D171,'⚪设计'!$C$85:$G$101,5,FALSE)*VLOOKUP(UnitCfg!Q171,无限模式!$A$3:$C$22,3,FALSE)</f>
        <v>5.4</v>
      </c>
      <c r="F171">
        <v>400</v>
      </c>
      <c r="G171" t="b">
        <v>1</v>
      </c>
      <c r="H171">
        <v>1</v>
      </c>
      <c r="I171">
        <v>1</v>
      </c>
      <c r="J171">
        <v>0.25</v>
      </c>
      <c r="K171" s="55">
        <f>VLOOKUP(D171,'⚪设计'!$C$85:$H$104,6,FALSE)</f>
        <v>1.3</v>
      </c>
      <c r="L171" t="s">
        <v>557</v>
      </c>
      <c r="M171" t="s">
        <v>468</v>
      </c>
      <c r="N171" t="s">
        <v>469</v>
      </c>
      <c r="O171" t="s">
        <v>470</v>
      </c>
      <c r="P171" t="str">
        <f t="shared" ref="P171:P172" si="5">"Skill_"&amp;MID($B171,6,99)&amp;"_"&amp;MID(LEFT(D171,LEN(D171)-1),9,99)</f>
        <v>Skill_Monster_Infinite_17_2_Dan</v>
      </c>
      <c r="Q171" s="110">
        <v>17</v>
      </c>
      <c r="R171" s="110">
        <v>2</v>
      </c>
      <c r="S171" s="110"/>
    </row>
    <row r="172" spans="2:19" x14ac:dyDescent="0.2">
      <c r="B172" t="s">
        <v>503</v>
      </c>
      <c r="C172" t="s">
        <v>722</v>
      </c>
      <c r="D172" s="55" t="str">
        <f>VLOOKUP(VLOOKUP(Q172,'⚪设计'!$A$202:$G$221,3+UnitCfg!R172,FALSE),'⚪设计'!$B$85:$C$113,2,FALSE)</f>
        <v>ResUnit_Dan2</v>
      </c>
      <c r="E172" s="55">
        <f>VLOOKUP(D172,'⚪设计'!$C$85:$G$101,5,FALSE)*VLOOKUP(UnitCfg!Q172,无限模式!$A$3:$C$22,3,FALSE)</f>
        <v>5.5500000000000007</v>
      </c>
      <c r="F172">
        <v>400</v>
      </c>
      <c r="G172" t="b">
        <v>1</v>
      </c>
      <c r="H172">
        <v>1</v>
      </c>
      <c r="I172">
        <v>1</v>
      </c>
      <c r="J172">
        <v>0.25</v>
      </c>
      <c r="K172" s="55">
        <f>VLOOKUP(D172,'⚪设计'!$C$85:$H$104,6,FALSE)</f>
        <v>1.3</v>
      </c>
      <c r="L172" t="s">
        <v>558</v>
      </c>
      <c r="M172" t="s">
        <v>468</v>
      </c>
      <c r="N172" t="s">
        <v>469</v>
      </c>
      <c r="O172" t="s">
        <v>470</v>
      </c>
      <c r="P172" t="str">
        <f t="shared" si="5"/>
        <v>Skill_Monster_Infinite_18_1_Dan</v>
      </c>
      <c r="Q172" s="110">
        <v>18</v>
      </c>
      <c r="R172" s="110">
        <v>1</v>
      </c>
      <c r="S172" s="110"/>
    </row>
    <row r="173" spans="2:19" x14ac:dyDescent="0.2">
      <c r="B173" t="s">
        <v>504</v>
      </c>
      <c r="C173" t="s">
        <v>723</v>
      </c>
      <c r="D173" s="55" t="str">
        <f>VLOOKUP(VLOOKUP(Q173,'⚪设计'!$A$202:$G$221,3+UnitCfg!R173,FALSE),'⚪设计'!$B$85:$C$113,2,FALSE)</f>
        <v>ResUnit_ZhiZhu2</v>
      </c>
      <c r="E173" s="55">
        <f>VLOOKUP(D173,'⚪设计'!$C$85:$G$101,5,FALSE)*VLOOKUP(UnitCfg!Q173,无限模式!$A$3:$C$22,3,FALSE)</f>
        <v>8.3250000000000011</v>
      </c>
      <c r="F173">
        <v>400</v>
      </c>
      <c r="G173" t="b">
        <v>1</v>
      </c>
      <c r="H173">
        <v>1</v>
      </c>
      <c r="I173">
        <v>1</v>
      </c>
      <c r="J173">
        <v>0.25</v>
      </c>
      <c r="K173" s="55">
        <f>VLOOKUP(D173,'⚪设计'!$C$85:$H$104,6,FALSE)</f>
        <v>1</v>
      </c>
      <c r="L173" t="s">
        <v>559</v>
      </c>
      <c r="M173" t="s">
        <v>468</v>
      </c>
      <c r="N173" t="s">
        <v>469</v>
      </c>
      <c r="O173" t="s">
        <v>470</v>
      </c>
      <c r="Q173" s="110">
        <v>18</v>
      </c>
      <c r="R173" s="110">
        <v>2</v>
      </c>
      <c r="S173" s="110"/>
    </row>
    <row r="174" spans="2:19" x14ac:dyDescent="0.2">
      <c r="B174" t="s">
        <v>505</v>
      </c>
      <c r="C174" t="s">
        <v>724</v>
      </c>
      <c r="D174" s="55" t="str">
        <f>VLOOKUP(VLOOKUP(Q174,'⚪设计'!$A$202:$G$221,3+UnitCfg!R174,FALSE),'⚪设计'!$B$85:$C$113,2,FALSE)</f>
        <v>ResUnit_Dan2</v>
      </c>
      <c r="E174" s="55">
        <f>VLOOKUP(D174,'⚪设计'!$C$85:$G$101,5,FALSE)*VLOOKUP(UnitCfg!Q174,无限模式!$A$3:$C$22,3,FALSE)</f>
        <v>5.6999999999999993</v>
      </c>
      <c r="F174">
        <v>400</v>
      </c>
      <c r="G174" t="b">
        <v>1</v>
      </c>
      <c r="H174">
        <v>1</v>
      </c>
      <c r="I174">
        <v>1</v>
      </c>
      <c r="J174">
        <v>0.25</v>
      </c>
      <c r="K174" s="55">
        <f>VLOOKUP(D174,'⚪设计'!$C$85:$H$104,6,FALSE)</f>
        <v>1.3</v>
      </c>
      <c r="L174" t="s">
        <v>560</v>
      </c>
      <c r="M174" t="s">
        <v>468</v>
      </c>
      <c r="N174" t="s">
        <v>469</v>
      </c>
      <c r="O174" t="s">
        <v>470</v>
      </c>
      <c r="Q174" s="110">
        <v>19</v>
      </c>
      <c r="R174" s="110">
        <v>1</v>
      </c>
      <c r="S174" s="110"/>
    </row>
    <row r="175" spans="2:19" x14ac:dyDescent="0.2">
      <c r="B175" t="s">
        <v>506</v>
      </c>
      <c r="C175" t="s">
        <v>725</v>
      </c>
      <c r="D175" s="55" t="str">
        <f>VLOOKUP(VLOOKUP(Q175,'⚪设计'!$A$202:$G$221,3+UnitCfg!R175,FALSE),'⚪设计'!$B$85:$C$113,2,FALSE)</f>
        <v>ResUnit_ZhiZhu2</v>
      </c>
      <c r="E175" s="55">
        <f>VLOOKUP(D175,'⚪设计'!$C$85:$G$101,5,FALSE)*VLOOKUP(UnitCfg!Q175,无限模式!$A$3:$C$22,3,FALSE)</f>
        <v>8.5499999999999989</v>
      </c>
      <c r="F175">
        <v>400</v>
      </c>
      <c r="G175" t="b">
        <v>1</v>
      </c>
      <c r="H175">
        <v>1</v>
      </c>
      <c r="I175">
        <v>1</v>
      </c>
      <c r="J175">
        <v>0.25</v>
      </c>
      <c r="K175" s="55">
        <f>VLOOKUP(D175,'⚪设计'!$C$85:$H$104,6,FALSE)</f>
        <v>1</v>
      </c>
      <c r="L175" t="s">
        <v>561</v>
      </c>
      <c r="M175" t="s">
        <v>468</v>
      </c>
      <c r="N175" t="s">
        <v>469</v>
      </c>
      <c r="O175" t="s">
        <v>470</v>
      </c>
      <c r="Q175" s="110">
        <v>19</v>
      </c>
      <c r="R175" s="110">
        <v>2</v>
      </c>
      <c r="S175" s="110"/>
    </row>
    <row r="176" spans="2:19" x14ac:dyDescent="0.2">
      <c r="B176" t="s">
        <v>507</v>
      </c>
      <c r="C176" t="s">
        <v>726</v>
      </c>
      <c r="D176" s="55" t="str">
        <f>VLOOKUP(VLOOKUP(Q176,'⚪设计'!$A$202:$G$221,3+UnitCfg!R176,FALSE),'⚪设计'!$B$85:$C$113,2,FALSE)</f>
        <v>ResUnit_ZhongZi2</v>
      </c>
      <c r="E176" s="55">
        <f>VLOOKUP(D176,'⚪设计'!$C$85:$G$101,5,FALSE)*VLOOKUP(UnitCfg!Q176,无限模式!$A$3:$C$22,3,FALSE)</f>
        <v>5.6999999999999993</v>
      </c>
      <c r="F176">
        <v>400</v>
      </c>
      <c r="G176" t="b">
        <v>1</v>
      </c>
      <c r="H176">
        <v>1</v>
      </c>
      <c r="I176">
        <v>1</v>
      </c>
      <c r="J176">
        <v>0.25</v>
      </c>
      <c r="K176" s="55">
        <f>VLOOKUP(D176,'⚪设计'!$C$85:$H$104,6,FALSE)</f>
        <v>1.2</v>
      </c>
      <c r="L176" t="s">
        <v>568</v>
      </c>
      <c r="M176" t="s">
        <v>468</v>
      </c>
      <c r="N176" t="s">
        <v>469</v>
      </c>
      <c r="O176" t="s">
        <v>470</v>
      </c>
      <c r="P176" t="str">
        <f t="shared" ref="P176:P179" si="6">"Skill_"&amp;MID($B176,6,99)&amp;"_"&amp;MID(LEFT(D176,LEN(D176)-1),9,99)</f>
        <v>Skill_Monster_Infinite_19_3_ZhongZi</v>
      </c>
      <c r="Q176" s="110">
        <v>19</v>
      </c>
      <c r="R176" s="110">
        <v>3</v>
      </c>
      <c r="S176" s="110"/>
    </row>
    <row r="177" spans="2:19" x14ac:dyDescent="0.2">
      <c r="B177" t="s">
        <v>508</v>
      </c>
      <c r="C177" t="s">
        <v>727</v>
      </c>
      <c r="D177" s="55" t="str">
        <f>VLOOKUP(VLOOKUP(Q177,'⚪设计'!$A$202:$G$221,3+UnitCfg!R177,FALSE),'⚪设计'!$B$85:$C$113,2,FALSE)</f>
        <v>ResUnit_Dan2</v>
      </c>
      <c r="E177" s="55">
        <f>VLOOKUP(D177,'⚪设计'!$C$85:$G$101,5,FALSE)*VLOOKUP(UnitCfg!Q177,无限模式!$A$3:$C$22,3,FALSE)</f>
        <v>5.85</v>
      </c>
      <c r="F177">
        <v>400</v>
      </c>
      <c r="G177" t="b">
        <v>1</v>
      </c>
      <c r="H177">
        <v>1</v>
      </c>
      <c r="I177">
        <v>1</v>
      </c>
      <c r="J177">
        <v>0.25</v>
      </c>
      <c r="K177" s="55">
        <f>VLOOKUP(D177,'⚪设计'!$C$85:$H$104,6,FALSE)</f>
        <v>1.3</v>
      </c>
      <c r="L177" t="s">
        <v>562</v>
      </c>
      <c r="M177" t="s">
        <v>468</v>
      </c>
      <c r="N177" t="s">
        <v>469</v>
      </c>
      <c r="O177" t="s">
        <v>470</v>
      </c>
      <c r="P177" t="str">
        <f t="shared" si="6"/>
        <v>Skill_Monster_Infinite_20_1_Dan</v>
      </c>
      <c r="Q177" s="110">
        <v>20</v>
      </c>
      <c r="R177" s="110">
        <v>1</v>
      </c>
      <c r="S177" s="110"/>
    </row>
    <row r="178" spans="2:19" x14ac:dyDescent="0.2">
      <c r="B178" t="s">
        <v>509</v>
      </c>
      <c r="C178" t="s">
        <v>728</v>
      </c>
      <c r="D178" s="55" t="str">
        <f>VLOOKUP(VLOOKUP(Q178,'⚪设计'!$A$202:$G$221,3+UnitCfg!R178,FALSE),'⚪设计'!$B$85:$C$113,2,FALSE)</f>
        <v>ResUnit_Gui2</v>
      </c>
      <c r="E178" s="55">
        <f>VLOOKUP(D178,'⚪设计'!$C$85:$G$101,5,FALSE)*VLOOKUP(UnitCfg!Q178,无限模式!$A$3:$C$22,3,FALSE)</f>
        <v>5.85</v>
      </c>
      <c r="F178">
        <v>400</v>
      </c>
      <c r="G178" t="b">
        <v>1</v>
      </c>
      <c r="H178">
        <v>1</v>
      </c>
      <c r="I178">
        <v>1</v>
      </c>
      <c r="J178">
        <v>0.25</v>
      </c>
      <c r="K178" s="55">
        <f>VLOOKUP(D178,'⚪设计'!$C$85:$H$104,6,FALSE)</f>
        <v>1</v>
      </c>
      <c r="L178" t="s">
        <v>563</v>
      </c>
      <c r="M178" t="s">
        <v>468</v>
      </c>
      <c r="N178" t="s">
        <v>469</v>
      </c>
      <c r="O178" t="s">
        <v>470</v>
      </c>
      <c r="P178" t="str">
        <f t="shared" si="6"/>
        <v>Skill_Monster_Infinite_20_2_Gui</v>
      </c>
      <c r="Q178" s="110">
        <v>20</v>
      </c>
      <c r="R178" s="110">
        <v>2</v>
      </c>
      <c r="S178" s="110"/>
    </row>
    <row r="179" spans="2:19" x14ac:dyDescent="0.2">
      <c r="B179" t="s">
        <v>510</v>
      </c>
      <c r="C179" t="s">
        <v>729</v>
      </c>
      <c r="D179" s="55" t="str">
        <f>VLOOKUP(VLOOKUP(Q179,'⚪设计'!$A$202:$G$221,3+UnitCfg!R179,FALSE),'⚪设计'!$B$85:$C$113,2,FALSE)</f>
        <v>ResUnit_ZhongZi2</v>
      </c>
      <c r="E179" s="55">
        <f>VLOOKUP(D179,'⚪设计'!$C$85:$G$101,5,FALSE)*VLOOKUP(UnitCfg!Q179,无限模式!$A$3:$C$22,3,FALSE)</f>
        <v>5.85</v>
      </c>
      <c r="F179">
        <v>400</v>
      </c>
      <c r="G179" t="b">
        <v>1</v>
      </c>
      <c r="H179">
        <v>1</v>
      </c>
      <c r="I179">
        <v>1</v>
      </c>
      <c r="J179">
        <v>0.25</v>
      </c>
      <c r="K179" s="55">
        <f>VLOOKUP(D179,'⚪设计'!$C$85:$H$104,6,FALSE)</f>
        <v>1.2</v>
      </c>
      <c r="L179" t="s">
        <v>569</v>
      </c>
      <c r="M179" t="s">
        <v>468</v>
      </c>
      <c r="N179" t="s">
        <v>469</v>
      </c>
      <c r="O179" t="s">
        <v>470</v>
      </c>
      <c r="P179" t="str">
        <f t="shared" si="6"/>
        <v>Skill_Monster_Infinite_20_3_ZhongZi</v>
      </c>
      <c r="Q179" s="110">
        <v>20</v>
      </c>
      <c r="R179" s="110">
        <v>3</v>
      </c>
      <c r="S179" s="110"/>
    </row>
    <row r="180" spans="2:19" x14ac:dyDescent="0.2">
      <c r="B180" t="s">
        <v>511</v>
      </c>
      <c r="C180" t="s">
        <v>730</v>
      </c>
      <c r="D180" s="55" t="str">
        <f>VLOOKUP(VLOOKUP(Q180,'⚪设计'!$A$202:$G$221,3+UnitCfg!R180,FALSE),'⚪设计'!$B$85:$C$113,2,FALSE)</f>
        <v>ResUnit_Dan3</v>
      </c>
      <c r="E180" s="55">
        <f>VLOOKUP(D180,'⚪设计'!$C$85:$G$101,5,FALSE)*VLOOKUP(UnitCfg!Q180,无限模式!$A$3:$C$22,3,FALSE)</f>
        <v>2.4375</v>
      </c>
      <c r="F180">
        <v>400</v>
      </c>
      <c r="G180" t="b">
        <v>1</v>
      </c>
      <c r="H180">
        <v>1</v>
      </c>
      <c r="I180">
        <v>1</v>
      </c>
      <c r="J180">
        <v>0.25</v>
      </c>
      <c r="K180" s="55">
        <f>VLOOKUP(D180,'⚪设计'!$C$85:$H$104,6,FALSE)</f>
        <v>2.5</v>
      </c>
      <c r="L180" t="s">
        <v>570</v>
      </c>
      <c r="M180" t="s">
        <v>468</v>
      </c>
      <c r="N180" t="s">
        <v>469</v>
      </c>
      <c r="O180" t="s">
        <v>470</v>
      </c>
      <c r="P180" t="str">
        <f>"Skill_"&amp;MID($B180,6,99)&amp;"_"&amp;MID(LEFT(D180,LEN(D180)-1),9,99)</f>
        <v>Skill_Monster_Infinite_20_4_Dan</v>
      </c>
      <c r="Q180" s="110">
        <v>20</v>
      </c>
      <c r="R180" s="110">
        <v>4</v>
      </c>
      <c r="S180" s="110"/>
    </row>
    <row r="182" spans="2:19" x14ac:dyDescent="0.2">
      <c r="B182" t="s">
        <v>1805</v>
      </c>
      <c r="C182" t="s">
        <v>1847</v>
      </c>
      <c r="D182" s="55" t="str">
        <f>VLOOKUP(VLOOKUP(Q182,'⚪设计'!$A$227:$G$247,3+UnitCfg!R182,FALSE),'⚪设计'!$B$85:$C$113,2,FALSE)</f>
        <v>ResUnit_MiFeng1</v>
      </c>
      <c r="E182" s="55">
        <f>VLOOKUP(D182,'⚪设计'!$C$85:$G$101,5,FALSE)*VLOOKUP(UnitCfg!Q182,线下模式!$A$3:$C$22,3,FALSE)</f>
        <v>3</v>
      </c>
      <c r="F182">
        <v>400</v>
      </c>
      <c r="G182" t="b">
        <v>1</v>
      </c>
      <c r="H182">
        <v>1</v>
      </c>
      <c r="I182">
        <v>1</v>
      </c>
      <c r="J182">
        <v>0.25</v>
      </c>
      <c r="K182" s="55">
        <f>VLOOKUP(D182,'⚪设计'!$C$85:$H$104,6,FALSE)</f>
        <v>0.5</v>
      </c>
      <c r="L182" t="str">
        <f>RIGHT(B182,LEN(B182)-5)</f>
        <v>Monster_Offline_1_1</v>
      </c>
      <c r="M182" t="s">
        <v>468</v>
      </c>
      <c r="N182" t="s">
        <v>469</v>
      </c>
      <c r="O182" t="s">
        <v>470</v>
      </c>
      <c r="Q182" s="110">
        <v>1</v>
      </c>
      <c r="R182" s="110">
        <v>1</v>
      </c>
    </row>
    <row r="183" spans="2:19" x14ac:dyDescent="0.2">
      <c r="B183" t="s">
        <v>1806</v>
      </c>
      <c r="C183" t="s">
        <v>1848</v>
      </c>
      <c r="D183" s="55" t="str">
        <f>VLOOKUP(VLOOKUP(Q183,'⚪设计'!$A$227:$G$247,3+UnitCfg!R183,FALSE),'⚪设计'!$B$85:$C$113,2,FALSE)</f>
        <v>ResUnit_MiFeng1</v>
      </c>
      <c r="E183" s="55">
        <f>VLOOKUP(D183,'⚪设计'!$C$85:$G$101,5,FALSE)*VLOOKUP(UnitCfg!Q183,线下模式!$A$3:$C$22,3,FALSE)</f>
        <v>3.1500000000000004</v>
      </c>
      <c r="F183">
        <v>400</v>
      </c>
      <c r="G183" t="b">
        <v>1</v>
      </c>
      <c r="H183">
        <v>1</v>
      </c>
      <c r="I183">
        <v>1</v>
      </c>
      <c r="J183">
        <v>0.25</v>
      </c>
      <c r="K183" s="55">
        <f>VLOOKUP(D183,'⚪设计'!$C$85:$H$104,6,FALSE)</f>
        <v>0.5</v>
      </c>
      <c r="L183" t="str">
        <f t="shared" ref="L183:L223" si="7">RIGHT(B183,LEN(B183)-5)</f>
        <v>Monster_Offline_2_1</v>
      </c>
      <c r="M183" t="s">
        <v>468</v>
      </c>
      <c r="N183" t="s">
        <v>469</v>
      </c>
      <c r="O183" t="s">
        <v>470</v>
      </c>
      <c r="Q183" s="110">
        <v>2</v>
      </c>
      <c r="R183" s="110">
        <v>1</v>
      </c>
    </row>
    <row r="184" spans="2:19" x14ac:dyDescent="0.2">
      <c r="B184" t="s">
        <v>1807</v>
      </c>
      <c r="C184" t="s">
        <v>1849</v>
      </c>
      <c r="D184" s="55" t="str">
        <f>VLOOKUP(VLOOKUP(Q184,'⚪设计'!$A$227:$G$247,3+UnitCfg!R184,FALSE),'⚪设计'!$B$85:$C$113,2,FALSE)</f>
        <v>ResUnit_MiFeng2</v>
      </c>
      <c r="E184" s="55">
        <f>VLOOKUP(D184,'⚪设计'!$C$85:$G$101,5,FALSE)*VLOOKUP(UnitCfg!Q184,线下模式!$A$3:$C$22,3,FALSE)</f>
        <v>3.1500000000000004</v>
      </c>
      <c r="F184">
        <v>400</v>
      </c>
      <c r="G184" t="b">
        <v>1</v>
      </c>
      <c r="H184">
        <v>1</v>
      </c>
      <c r="I184">
        <v>1</v>
      </c>
      <c r="J184">
        <v>0.25</v>
      </c>
      <c r="K184" s="55">
        <f>VLOOKUP(D184,'⚪设计'!$C$85:$H$104,6,FALSE)</f>
        <v>0.8</v>
      </c>
      <c r="L184" t="str">
        <f t="shared" si="7"/>
        <v>Monster_Offline_2_2</v>
      </c>
      <c r="M184" t="s">
        <v>468</v>
      </c>
      <c r="N184" t="s">
        <v>469</v>
      </c>
      <c r="O184" t="s">
        <v>470</v>
      </c>
      <c r="Q184" s="110">
        <v>2</v>
      </c>
      <c r="R184" s="110">
        <v>2</v>
      </c>
    </row>
    <row r="185" spans="2:19" x14ac:dyDescent="0.2">
      <c r="B185" t="s">
        <v>1808</v>
      </c>
      <c r="C185" t="s">
        <v>1850</v>
      </c>
      <c r="D185" s="55" t="str">
        <f>VLOOKUP(VLOOKUP(Q185,'⚪设计'!$A$227:$G$247,3+UnitCfg!R185,FALSE),'⚪设计'!$B$85:$C$113,2,FALSE)</f>
        <v>ResUnit_MiFeng2</v>
      </c>
      <c r="E185" s="55">
        <f>VLOOKUP(D185,'⚪设计'!$C$85:$G$101,5,FALSE)*VLOOKUP(UnitCfg!Q185,线下模式!$A$3:$C$22,3,FALSE)</f>
        <v>3.3000000000000003</v>
      </c>
      <c r="F185">
        <v>400</v>
      </c>
      <c r="G185" t="b">
        <v>1</v>
      </c>
      <c r="H185">
        <v>1</v>
      </c>
      <c r="I185">
        <v>1</v>
      </c>
      <c r="J185">
        <v>0.25</v>
      </c>
      <c r="K185" s="55">
        <f>VLOOKUP(D185,'⚪设计'!$C$85:$H$104,6,FALSE)</f>
        <v>0.8</v>
      </c>
      <c r="L185" t="str">
        <f t="shared" si="7"/>
        <v>Monster_Offline_3_1</v>
      </c>
      <c r="M185" t="s">
        <v>468</v>
      </c>
      <c r="N185" t="s">
        <v>469</v>
      </c>
      <c r="O185" t="s">
        <v>470</v>
      </c>
      <c r="Q185" s="110">
        <v>3</v>
      </c>
      <c r="R185" s="110">
        <v>1</v>
      </c>
    </row>
    <row r="186" spans="2:19" x14ac:dyDescent="0.2">
      <c r="B186" t="s">
        <v>1809</v>
      </c>
      <c r="C186" t="s">
        <v>1851</v>
      </c>
      <c r="D186" s="55" t="str">
        <f>VLOOKUP(VLOOKUP(Q186,'⚪设计'!$A$227:$G$247,3+UnitCfg!R186,FALSE),'⚪设计'!$B$85:$C$113,2,FALSE)</f>
        <v>ResUnit_BianFu1</v>
      </c>
      <c r="E186" s="55">
        <f>VLOOKUP(D186,'⚪设计'!$C$85:$G$101,5,FALSE)*VLOOKUP(UnitCfg!Q186,线下模式!$A$3:$C$22,3,FALSE)</f>
        <v>3.3000000000000003</v>
      </c>
      <c r="F186">
        <v>400</v>
      </c>
      <c r="G186" t="b">
        <v>1</v>
      </c>
      <c r="H186">
        <v>1</v>
      </c>
      <c r="I186">
        <v>1</v>
      </c>
      <c r="J186">
        <v>0.25</v>
      </c>
      <c r="K186" s="55">
        <f>VLOOKUP(D186,'⚪设计'!$C$85:$H$104,6,FALSE)</f>
        <v>0.5</v>
      </c>
      <c r="L186" t="str">
        <f t="shared" si="7"/>
        <v>Monster_Offline_3_2</v>
      </c>
      <c r="M186" t="s">
        <v>468</v>
      </c>
      <c r="N186" t="s">
        <v>469</v>
      </c>
      <c r="O186" t="s">
        <v>470</v>
      </c>
      <c r="Q186" s="110">
        <v>3</v>
      </c>
      <c r="R186" s="110">
        <v>2</v>
      </c>
    </row>
    <row r="187" spans="2:19" x14ac:dyDescent="0.2">
      <c r="B187" t="s">
        <v>1810</v>
      </c>
      <c r="C187" t="s">
        <v>1852</v>
      </c>
      <c r="D187" s="55" t="str">
        <f>VLOOKUP(VLOOKUP(Q187,'⚪设计'!$A$227:$G$247,3+UnitCfg!R187,FALSE),'⚪设计'!$B$85:$C$113,2,FALSE)</f>
        <v>ResUnit_MiFeng1</v>
      </c>
      <c r="E187" s="55">
        <f>VLOOKUP(D187,'⚪设计'!$C$85:$G$101,5,FALSE)*VLOOKUP(UnitCfg!Q187,线下模式!$A$3:$C$22,3,FALSE)</f>
        <v>3.4499999999999997</v>
      </c>
      <c r="F187">
        <v>400</v>
      </c>
      <c r="G187" t="b">
        <v>1</v>
      </c>
      <c r="H187">
        <v>1</v>
      </c>
      <c r="I187">
        <v>1</v>
      </c>
      <c r="J187">
        <v>0.25</v>
      </c>
      <c r="K187" s="55">
        <f>VLOOKUP(D187,'⚪设计'!$C$85:$H$104,6,FALSE)</f>
        <v>0.5</v>
      </c>
      <c r="L187" t="str">
        <f t="shared" si="7"/>
        <v>Monster_Offline_4_1</v>
      </c>
      <c r="M187" t="s">
        <v>468</v>
      </c>
      <c r="N187" t="s">
        <v>469</v>
      </c>
      <c r="O187" t="s">
        <v>470</v>
      </c>
      <c r="Q187" s="110">
        <v>4</v>
      </c>
      <c r="R187" s="110">
        <v>1</v>
      </c>
    </row>
    <row r="188" spans="2:19" x14ac:dyDescent="0.2">
      <c r="B188" t="s">
        <v>1811</v>
      </c>
      <c r="C188" t="s">
        <v>1853</v>
      </c>
      <c r="D188" s="55" t="str">
        <f>VLOOKUP(VLOOKUP(Q188,'⚪设计'!$A$227:$G$247,3+UnitCfg!R188,FALSE),'⚪设计'!$B$85:$C$113,2,FALSE)</f>
        <v>ResUnit_ZhiZhu1</v>
      </c>
      <c r="E188" s="55">
        <f>VLOOKUP(D188,'⚪设计'!$C$85:$G$101,5,FALSE)*VLOOKUP(UnitCfg!Q188,线下模式!$A$3:$C$22,3,FALSE)</f>
        <v>5.1749999999999998</v>
      </c>
      <c r="F188">
        <v>400</v>
      </c>
      <c r="G188" t="b">
        <v>1</v>
      </c>
      <c r="H188">
        <v>1</v>
      </c>
      <c r="I188">
        <v>1</v>
      </c>
      <c r="J188">
        <v>0.25</v>
      </c>
      <c r="K188" s="55">
        <f>VLOOKUP(D188,'⚪设计'!$C$85:$H$104,6,FALSE)</f>
        <v>1</v>
      </c>
      <c r="L188" t="str">
        <f t="shared" si="7"/>
        <v>Monster_Offline_4_2</v>
      </c>
      <c r="M188" t="s">
        <v>468</v>
      </c>
      <c r="N188" t="s">
        <v>469</v>
      </c>
      <c r="O188" t="s">
        <v>470</v>
      </c>
      <c r="Q188" s="110">
        <v>4</v>
      </c>
      <c r="R188" s="110">
        <v>2</v>
      </c>
    </row>
    <row r="189" spans="2:19" x14ac:dyDescent="0.2">
      <c r="B189" t="s">
        <v>1812</v>
      </c>
      <c r="C189" t="s">
        <v>1854</v>
      </c>
      <c r="D189" s="55" t="str">
        <f>VLOOKUP(VLOOKUP(Q189,'⚪设计'!$A$227:$G$247,3+UnitCfg!R189,FALSE),'⚪设计'!$B$85:$C$113,2,FALSE)</f>
        <v>ResUnit_MiFeng3</v>
      </c>
      <c r="E189" s="55">
        <f>VLOOKUP(D189,'⚪设计'!$C$85:$G$101,5,FALSE)*VLOOKUP(UnitCfg!Q189,线下模式!$A$3:$C$22,3,FALSE)</f>
        <v>1.5</v>
      </c>
      <c r="F189">
        <v>400</v>
      </c>
      <c r="G189" t="b">
        <v>1</v>
      </c>
      <c r="H189">
        <v>1</v>
      </c>
      <c r="I189">
        <v>1</v>
      </c>
      <c r="J189">
        <v>0.25</v>
      </c>
      <c r="K189" s="55">
        <f>VLOOKUP(D189,'⚪设计'!$C$85:$H$104,6,FALSE)</f>
        <v>1.8</v>
      </c>
      <c r="L189" t="str">
        <f t="shared" si="7"/>
        <v>Monster_Offline_5_1</v>
      </c>
      <c r="M189" t="s">
        <v>468</v>
      </c>
      <c r="N189" t="s">
        <v>469</v>
      </c>
      <c r="O189" t="s">
        <v>470</v>
      </c>
      <c r="Q189" s="110">
        <v>5</v>
      </c>
      <c r="R189" s="110">
        <v>1</v>
      </c>
    </row>
    <row r="190" spans="2:19" x14ac:dyDescent="0.2">
      <c r="B190" t="s">
        <v>1813</v>
      </c>
      <c r="C190" t="s">
        <v>1855</v>
      </c>
      <c r="D190" s="55" t="str">
        <f>VLOOKUP(VLOOKUP(Q190,'⚪设计'!$A$227:$G$247,3+UnitCfg!R190,FALSE),'⚪设计'!$B$85:$C$113,2,FALSE)</f>
        <v>ResUnit_BianFu1</v>
      </c>
      <c r="E190" s="55">
        <f>VLOOKUP(D190,'⚪设计'!$C$85:$G$101,5,FALSE)*VLOOKUP(UnitCfg!Q190,线下模式!$A$3:$C$22,3,FALSE)</f>
        <v>3.5999999999999996</v>
      </c>
      <c r="F190">
        <v>400</v>
      </c>
      <c r="G190" t="b">
        <v>1</v>
      </c>
      <c r="H190">
        <v>1</v>
      </c>
      <c r="I190">
        <v>1</v>
      </c>
      <c r="J190">
        <v>0.25</v>
      </c>
      <c r="K190" s="55">
        <f>VLOOKUP(D190,'⚪设计'!$C$85:$H$104,6,FALSE)</f>
        <v>0.5</v>
      </c>
      <c r="L190" t="str">
        <f t="shared" si="7"/>
        <v>Monster_Offline_5_2</v>
      </c>
      <c r="M190" t="s">
        <v>468</v>
      </c>
      <c r="N190" t="s">
        <v>469</v>
      </c>
      <c r="O190" t="s">
        <v>470</v>
      </c>
      <c r="Q190" s="110">
        <v>5</v>
      </c>
      <c r="R190" s="110">
        <v>2</v>
      </c>
    </row>
    <row r="191" spans="2:19" x14ac:dyDescent="0.2">
      <c r="B191" t="s">
        <v>1814</v>
      </c>
      <c r="C191" t="s">
        <v>1856</v>
      </c>
      <c r="D191" s="55" t="str">
        <f>VLOOKUP(VLOOKUP(Q191,'⚪设计'!$A$227:$G$247,3+UnitCfg!R191,FALSE),'⚪设计'!$B$85:$C$113,2,FALSE)</f>
        <v>ResUnit_MiFeng2</v>
      </c>
      <c r="E191" s="55">
        <f>VLOOKUP(D191,'⚪设计'!$C$85:$G$101,5,FALSE)*VLOOKUP(UnitCfg!Q191,线下模式!$A$3:$C$22,3,FALSE)</f>
        <v>3.75</v>
      </c>
      <c r="F191">
        <v>400</v>
      </c>
      <c r="G191" t="b">
        <v>1</v>
      </c>
      <c r="H191">
        <v>1</v>
      </c>
      <c r="I191">
        <v>1</v>
      </c>
      <c r="J191">
        <v>0.25</v>
      </c>
      <c r="K191" s="55">
        <f>VLOOKUP(D191,'⚪设计'!$C$85:$H$104,6,FALSE)</f>
        <v>0.8</v>
      </c>
      <c r="L191" t="str">
        <f t="shared" si="7"/>
        <v>Monster_Offline_6_1</v>
      </c>
      <c r="M191" t="s">
        <v>468</v>
      </c>
      <c r="N191" t="s">
        <v>469</v>
      </c>
      <c r="O191" t="s">
        <v>470</v>
      </c>
      <c r="Q191" s="110">
        <v>6</v>
      </c>
      <c r="R191" s="110">
        <v>1</v>
      </c>
    </row>
    <row r="192" spans="2:19" x14ac:dyDescent="0.2">
      <c r="B192" t="s">
        <v>1815</v>
      </c>
      <c r="C192" t="s">
        <v>1857</v>
      </c>
      <c r="D192" s="55" t="str">
        <f>VLOOKUP(VLOOKUP(Q192,'⚪设计'!$A$227:$G$247,3+UnitCfg!R192,FALSE),'⚪设计'!$B$85:$C$113,2,FALSE)</f>
        <v>ResUnit_ZhiZhu1</v>
      </c>
      <c r="E192" s="55">
        <f>VLOOKUP(D192,'⚪设计'!$C$85:$G$101,5,FALSE)*VLOOKUP(UnitCfg!Q192,线下模式!$A$3:$C$22,3,FALSE)</f>
        <v>5.625</v>
      </c>
      <c r="F192">
        <v>400</v>
      </c>
      <c r="G192" t="b">
        <v>1</v>
      </c>
      <c r="H192">
        <v>1</v>
      </c>
      <c r="I192">
        <v>1</v>
      </c>
      <c r="J192">
        <v>0.25</v>
      </c>
      <c r="K192" s="55">
        <f>VLOOKUP(D192,'⚪设计'!$C$85:$H$104,6,FALSE)</f>
        <v>1</v>
      </c>
      <c r="L192" t="str">
        <f t="shared" si="7"/>
        <v>Monster_Offline_6_2</v>
      </c>
      <c r="M192" t="s">
        <v>468</v>
      </c>
      <c r="N192" t="s">
        <v>469</v>
      </c>
      <c r="O192" t="s">
        <v>470</v>
      </c>
      <c r="Q192" s="110">
        <v>6</v>
      </c>
      <c r="R192" s="110">
        <v>2</v>
      </c>
    </row>
    <row r="193" spans="2:18" x14ac:dyDescent="0.2">
      <c r="B193" t="s">
        <v>1816</v>
      </c>
      <c r="C193" t="s">
        <v>1858</v>
      </c>
      <c r="D193" s="55" t="str">
        <f>VLOOKUP(VLOOKUP(Q193,'⚪设计'!$A$227:$G$247,3+UnitCfg!R193,FALSE),'⚪设计'!$B$85:$C$113,2,FALSE)</f>
        <v>ResUnit_MiFeng2</v>
      </c>
      <c r="E193" s="55">
        <f>VLOOKUP(D193,'⚪设计'!$C$85:$G$101,5,FALSE)*VLOOKUP(UnitCfg!Q193,线下模式!$A$3:$C$22,3,FALSE)</f>
        <v>3.9000000000000004</v>
      </c>
      <c r="F193">
        <v>400</v>
      </c>
      <c r="G193" t="b">
        <v>1</v>
      </c>
      <c r="H193">
        <v>1</v>
      </c>
      <c r="I193">
        <v>1</v>
      </c>
      <c r="J193">
        <v>0.25</v>
      </c>
      <c r="K193" s="55">
        <f>VLOOKUP(D193,'⚪设计'!$C$85:$H$104,6,FALSE)</f>
        <v>0.8</v>
      </c>
      <c r="L193" t="str">
        <f t="shared" si="7"/>
        <v>Monster_Offline_7_1</v>
      </c>
      <c r="M193" t="s">
        <v>468</v>
      </c>
      <c r="N193" t="s">
        <v>469</v>
      </c>
      <c r="O193" t="s">
        <v>470</v>
      </c>
      <c r="Q193" s="110">
        <v>7</v>
      </c>
      <c r="R193" s="110">
        <v>1</v>
      </c>
    </row>
    <row r="194" spans="2:18" x14ac:dyDescent="0.2">
      <c r="B194" t="s">
        <v>1817</v>
      </c>
      <c r="C194" t="s">
        <v>1859</v>
      </c>
      <c r="D194" s="55" t="str">
        <f>VLOOKUP(VLOOKUP(Q194,'⚪设计'!$A$227:$G$247,3+UnitCfg!R194,FALSE),'⚪设计'!$B$85:$C$113,2,FALSE)</f>
        <v>ResUnit_ZhiZhu1</v>
      </c>
      <c r="E194" s="55">
        <f>VLOOKUP(D194,'⚪设计'!$C$85:$G$101,5,FALSE)*VLOOKUP(UnitCfg!Q194,线下模式!$A$3:$C$22,3,FALSE)</f>
        <v>5.8500000000000005</v>
      </c>
      <c r="F194">
        <v>400</v>
      </c>
      <c r="G194" t="b">
        <v>1</v>
      </c>
      <c r="H194">
        <v>1</v>
      </c>
      <c r="I194">
        <v>1</v>
      </c>
      <c r="J194">
        <v>0.25</v>
      </c>
      <c r="K194" s="55">
        <f>VLOOKUP(D194,'⚪设计'!$C$85:$H$104,6,FALSE)</f>
        <v>1</v>
      </c>
      <c r="L194" t="str">
        <f t="shared" si="7"/>
        <v>Monster_Offline_7_2</v>
      </c>
      <c r="M194" t="s">
        <v>468</v>
      </c>
      <c r="N194" t="s">
        <v>469</v>
      </c>
      <c r="O194" t="s">
        <v>470</v>
      </c>
      <c r="Q194" s="110">
        <v>7</v>
      </c>
      <c r="R194" s="110">
        <v>2</v>
      </c>
    </row>
    <row r="195" spans="2:18" x14ac:dyDescent="0.2">
      <c r="B195" t="s">
        <v>1818</v>
      </c>
      <c r="C195" t="s">
        <v>1860</v>
      </c>
      <c r="D195" s="55" t="str">
        <f>VLOOKUP(VLOOKUP(Q195,'⚪设计'!$A$227:$G$247,3+UnitCfg!R195,FALSE),'⚪设计'!$B$85:$C$113,2,FALSE)</f>
        <v>ResUnit_MiFeng2</v>
      </c>
      <c r="E195" s="55">
        <f>VLOOKUP(D195,'⚪设计'!$C$85:$G$101,5,FALSE)*VLOOKUP(UnitCfg!Q195,线下模式!$A$3:$C$22,3,FALSE)</f>
        <v>4.0500000000000007</v>
      </c>
      <c r="F195">
        <v>400</v>
      </c>
      <c r="G195" t="b">
        <v>1</v>
      </c>
      <c r="H195">
        <v>1</v>
      </c>
      <c r="I195">
        <v>1</v>
      </c>
      <c r="J195">
        <v>0.25</v>
      </c>
      <c r="K195" s="55">
        <f>VLOOKUP(D195,'⚪设计'!$C$85:$H$104,6,FALSE)</f>
        <v>0.8</v>
      </c>
      <c r="L195" t="str">
        <f t="shared" si="7"/>
        <v>Monster_Offline_8_1</v>
      </c>
      <c r="M195" t="s">
        <v>468</v>
      </c>
      <c r="N195" t="s">
        <v>469</v>
      </c>
      <c r="O195" t="s">
        <v>470</v>
      </c>
      <c r="Q195" s="110">
        <v>8</v>
      </c>
      <c r="R195" s="110">
        <v>1</v>
      </c>
    </row>
    <row r="196" spans="2:18" x14ac:dyDescent="0.2">
      <c r="B196" t="s">
        <v>1819</v>
      </c>
      <c r="C196" t="s">
        <v>1861</v>
      </c>
      <c r="D196" s="55" t="str">
        <f>VLOOKUP(VLOOKUP(Q196,'⚪设计'!$A$227:$G$247,3+UnitCfg!R196,FALSE),'⚪设计'!$B$85:$C$113,2,FALSE)</f>
        <v>ResUnit_ZhongZi1</v>
      </c>
      <c r="E196" s="55">
        <f>VLOOKUP(D196,'⚪设计'!$C$85:$G$101,5,FALSE)*VLOOKUP(UnitCfg!Q196,线下模式!$A$3:$C$22,3,FALSE)</f>
        <v>4.0500000000000007</v>
      </c>
      <c r="F196">
        <v>400</v>
      </c>
      <c r="G196" t="b">
        <v>1</v>
      </c>
      <c r="H196">
        <v>1</v>
      </c>
      <c r="I196">
        <v>1</v>
      </c>
      <c r="J196">
        <v>0.25</v>
      </c>
      <c r="K196" s="55">
        <f>VLOOKUP(D196,'⚪设计'!$C$85:$H$104,6,FALSE)</f>
        <v>1</v>
      </c>
      <c r="L196" t="str">
        <f t="shared" si="7"/>
        <v>Monster_Offline_8_2</v>
      </c>
      <c r="M196" t="s">
        <v>468</v>
      </c>
      <c r="N196" t="s">
        <v>469</v>
      </c>
      <c r="O196" t="s">
        <v>470</v>
      </c>
      <c r="P196" s="57" t="s">
        <v>1931</v>
      </c>
      <c r="Q196" s="110">
        <v>8</v>
      </c>
      <c r="R196" s="110">
        <v>2</v>
      </c>
    </row>
    <row r="197" spans="2:18" x14ac:dyDescent="0.2">
      <c r="B197" t="s">
        <v>1820</v>
      </c>
      <c r="C197" t="s">
        <v>1862</v>
      </c>
      <c r="D197" s="55" t="str">
        <f>VLOOKUP(VLOOKUP(Q197,'⚪设计'!$A$227:$G$247,3+UnitCfg!R197,FALSE),'⚪设计'!$B$85:$C$113,2,FALSE)</f>
        <v>ResUnit_MiFeng2</v>
      </c>
      <c r="E197" s="55">
        <f>VLOOKUP(D197,'⚪设计'!$C$85:$G$101,5,FALSE)*VLOOKUP(UnitCfg!Q197,线下模式!$A$3:$C$22,3,FALSE)</f>
        <v>4.1999999999999993</v>
      </c>
      <c r="F197">
        <v>400</v>
      </c>
      <c r="G197" t="b">
        <v>1</v>
      </c>
      <c r="H197">
        <v>1</v>
      </c>
      <c r="I197">
        <v>1</v>
      </c>
      <c r="J197">
        <v>0.25</v>
      </c>
      <c r="K197" s="55">
        <f>VLOOKUP(D197,'⚪设计'!$C$85:$H$104,6,FALSE)</f>
        <v>0.8</v>
      </c>
      <c r="L197" t="str">
        <f t="shared" si="7"/>
        <v>Monster_Offline_9_1</v>
      </c>
      <c r="M197" t="s">
        <v>468</v>
      </c>
      <c r="N197" t="s">
        <v>469</v>
      </c>
      <c r="O197" t="s">
        <v>470</v>
      </c>
      <c r="Q197" s="110">
        <v>9</v>
      </c>
      <c r="R197" s="110">
        <v>1</v>
      </c>
    </row>
    <row r="198" spans="2:18" x14ac:dyDescent="0.2">
      <c r="B198" t="s">
        <v>1821</v>
      </c>
      <c r="C198" t="s">
        <v>1863</v>
      </c>
      <c r="D198" s="55" t="str">
        <f>VLOOKUP(VLOOKUP(Q198,'⚪设计'!$A$227:$G$247,3+UnitCfg!R198,FALSE),'⚪设计'!$B$85:$C$113,2,FALSE)</f>
        <v>ResUnit_ZhongZi1</v>
      </c>
      <c r="E198" s="55">
        <f>VLOOKUP(D198,'⚪设计'!$C$85:$G$101,5,FALSE)*VLOOKUP(UnitCfg!Q198,线下模式!$A$3:$C$22,3,FALSE)</f>
        <v>4.1999999999999993</v>
      </c>
      <c r="F198">
        <v>400</v>
      </c>
      <c r="G198" t="b">
        <v>1</v>
      </c>
      <c r="H198">
        <v>1</v>
      </c>
      <c r="I198">
        <v>1</v>
      </c>
      <c r="J198">
        <v>0.25</v>
      </c>
      <c r="K198" s="55">
        <f>VLOOKUP(D198,'⚪设计'!$C$85:$H$104,6,FALSE)</f>
        <v>1</v>
      </c>
      <c r="L198" t="str">
        <f t="shared" si="7"/>
        <v>Monster_Offline_9_2</v>
      </c>
      <c r="M198" t="s">
        <v>468</v>
      </c>
      <c r="N198" t="s">
        <v>469</v>
      </c>
      <c r="O198" t="s">
        <v>470</v>
      </c>
      <c r="P198" s="57" t="s">
        <v>1931</v>
      </c>
      <c r="Q198" s="110">
        <v>9</v>
      </c>
      <c r="R198" s="110">
        <v>2</v>
      </c>
    </row>
    <row r="199" spans="2:18" x14ac:dyDescent="0.2">
      <c r="B199" t="s">
        <v>1822</v>
      </c>
      <c r="C199" t="s">
        <v>1864</v>
      </c>
      <c r="D199" s="55" t="str">
        <f>VLOOKUP(VLOOKUP(Q199,'⚪设计'!$A$227:$G$247,3+UnitCfg!R199,FALSE),'⚪设计'!$B$85:$C$113,2,FALSE)</f>
        <v>ResUnit_ZhongZi1</v>
      </c>
      <c r="E199" s="55">
        <f>VLOOKUP(D199,'⚪设计'!$C$85:$G$101,5,FALSE)*VLOOKUP(UnitCfg!Q199,线下模式!$A$3:$C$22,3,FALSE)</f>
        <v>4.3499999999999996</v>
      </c>
      <c r="F199">
        <v>400</v>
      </c>
      <c r="G199" t="b">
        <v>1</v>
      </c>
      <c r="H199">
        <v>1</v>
      </c>
      <c r="I199">
        <v>1</v>
      </c>
      <c r="J199">
        <v>0.25</v>
      </c>
      <c r="K199" s="55">
        <f>VLOOKUP(D199,'⚪设计'!$C$85:$H$104,6,FALSE)</f>
        <v>1</v>
      </c>
      <c r="L199" t="str">
        <f t="shared" si="7"/>
        <v>Monster_Offline_10_1</v>
      </c>
      <c r="M199" t="s">
        <v>468</v>
      </c>
      <c r="N199" t="s">
        <v>469</v>
      </c>
      <c r="O199" t="s">
        <v>470</v>
      </c>
      <c r="P199" s="57" t="s">
        <v>1931</v>
      </c>
      <c r="Q199" s="110">
        <v>10</v>
      </c>
      <c r="R199" s="110">
        <v>1</v>
      </c>
    </row>
    <row r="200" spans="2:18" x14ac:dyDescent="0.2">
      <c r="B200" t="s">
        <v>1823</v>
      </c>
      <c r="C200" t="s">
        <v>1865</v>
      </c>
      <c r="D200" s="55" t="str">
        <f>VLOOKUP(VLOOKUP(Q200,'⚪设计'!$A$227:$G$247,3+UnitCfg!R200,FALSE),'⚪设计'!$B$85:$C$113,2,FALSE)</f>
        <v>ResUnit_ZhiZhu3</v>
      </c>
      <c r="E200" s="55">
        <f>VLOOKUP(D200,'⚪设计'!$C$85:$G$101,5,FALSE)*VLOOKUP(UnitCfg!Q200,线下模式!$A$3:$C$22,3,FALSE)</f>
        <v>1.8125</v>
      </c>
      <c r="F200">
        <v>400</v>
      </c>
      <c r="G200" t="b">
        <v>1</v>
      </c>
      <c r="H200">
        <v>1</v>
      </c>
      <c r="I200">
        <v>1</v>
      </c>
      <c r="J200">
        <v>0.25</v>
      </c>
      <c r="K200" s="55">
        <f>VLOOKUP(D200,'⚪设计'!$C$85:$H$104,6,FALSE)</f>
        <v>1.5</v>
      </c>
      <c r="L200" t="str">
        <f t="shared" si="7"/>
        <v>Monster_Offline_10_2</v>
      </c>
      <c r="M200" t="s">
        <v>468</v>
      </c>
      <c r="N200" t="s">
        <v>469</v>
      </c>
      <c r="O200" t="s">
        <v>470</v>
      </c>
      <c r="Q200" s="110">
        <v>10</v>
      </c>
      <c r="R200" s="110">
        <v>2</v>
      </c>
    </row>
    <row r="201" spans="2:18" x14ac:dyDescent="0.2">
      <c r="B201" t="s">
        <v>1824</v>
      </c>
      <c r="C201" t="s">
        <v>1866</v>
      </c>
      <c r="D201" s="55" t="str">
        <f>VLOOKUP(VLOOKUP(Q201,'⚪设计'!$A$227:$G$247,3+UnitCfg!R201,FALSE),'⚪设计'!$B$85:$C$113,2,FALSE)</f>
        <v>ResUnit_ZhongZi1</v>
      </c>
      <c r="E201" s="55">
        <f>VLOOKUP(D201,'⚪设计'!$C$85:$G$101,5,FALSE)*VLOOKUP(UnitCfg!Q201,线下模式!$A$3:$C$22,3,FALSE)</f>
        <v>4.5</v>
      </c>
      <c r="F201">
        <v>400</v>
      </c>
      <c r="G201" t="b">
        <v>1</v>
      </c>
      <c r="H201">
        <v>1</v>
      </c>
      <c r="I201">
        <v>1</v>
      </c>
      <c r="J201">
        <v>0.25</v>
      </c>
      <c r="K201" s="55">
        <f>VLOOKUP(D201,'⚪设计'!$C$85:$H$104,6,FALSE)</f>
        <v>1</v>
      </c>
      <c r="L201" t="str">
        <f t="shared" si="7"/>
        <v>Monster_Offline_11_1</v>
      </c>
      <c r="M201" t="s">
        <v>468</v>
      </c>
      <c r="N201" t="s">
        <v>469</v>
      </c>
      <c r="O201" t="s">
        <v>470</v>
      </c>
      <c r="P201" s="57" t="s">
        <v>1931</v>
      </c>
      <c r="Q201" s="110">
        <v>11</v>
      </c>
      <c r="R201" s="110">
        <v>1</v>
      </c>
    </row>
    <row r="202" spans="2:18" x14ac:dyDescent="0.2">
      <c r="B202" t="s">
        <v>1825</v>
      </c>
      <c r="C202" t="s">
        <v>1867</v>
      </c>
      <c r="D202" s="55" t="str">
        <f>VLOOKUP(VLOOKUP(Q202,'⚪设计'!$A$227:$G$247,3+UnitCfg!R202,FALSE),'⚪设计'!$B$85:$C$113,2,FALSE)</f>
        <v>ResUnit_ZhiZhu2</v>
      </c>
      <c r="E202" s="55">
        <f>VLOOKUP(D202,'⚪设计'!$C$85:$G$101,5,FALSE)*VLOOKUP(UnitCfg!Q202,线下模式!$A$3:$C$22,3,FALSE)</f>
        <v>6.75</v>
      </c>
      <c r="F202">
        <v>400</v>
      </c>
      <c r="G202" t="b">
        <v>1</v>
      </c>
      <c r="H202">
        <v>1</v>
      </c>
      <c r="I202">
        <v>1</v>
      </c>
      <c r="J202">
        <v>0.25</v>
      </c>
      <c r="K202" s="55">
        <f>VLOOKUP(D202,'⚪设计'!$C$85:$H$104,6,FALSE)</f>
        <v>1</v>
      </c>
      <c r="L202" t="str">
        <f t="shared" si="7"/>
        <v>Monster_Offline_11_2</v>
      </c>
      <c r="M202" t="s">
        <v>468</v>
      </c>
      <c r="N202" t="s">
        <v>469</v>
      </c>
      <c r="O202" t="s">
        <v>470</v>
      </c>
      <c r="Q202" s="110">
        <v>11</v>
      </c>
      <c r="R202" s="110">
        <v>2</v>
      </c>
    </row>
    <row r="203" spans="2:18" x14ac:dyDescent="0.2">
      <c r="B203" t="s">
        <v>1826</v>
      </c>
      <c r="C203" t="s">
        <v>1868</v>
      </c>
      <c r="D203" s="55" t="str">
        <f>VLOOKUP(VLOOKUP(Q203,'⚪设计'!$A$227:$G$247,3+UnitCfg!R203,FALSE),'⚪设计'!$B$85:$C$113,2,FALSE)</f>
        <v>ResUnit_Gui1</v>
      </c>
      <c r="E203" s="55">
        <f>VLOOKUP(D203,'⚪设计'!$C$85:$G$101,5,FALSE)*VLOOKUP(UnitCfg!Q203,线下模式!$A$3:$C$22,3,FALSE)</f>
        <v>4.6500000000000004</v>
      </c>
      <c r="F203">
        <v>400</v>
      </c>
      <c r="G203" t="b">
        <v>1</v>
      </c>
      <c r="H203">
        <v>1</v>
      </c>
      <c r="I203">
        <v>1</v>
      </c>
      <c r="J203">
        <v>0.25</v>
      </c>
      <c r="K203" s="55">
        <f>VLOOKUP(D203,'⚪设计'!$C$85:$H$104,6,FALSE)</f>
        <v>1</v>
      </c>
      <c r="L203" t="str">
        <f t="shared" si="7"/>
        <v>Monster_Offline_12_1</v>
      </c>
      <c r="M203" t="s">
        <v>468</v>
      </c>
      <c r="N203" t="s">
        <v>469</v>
      </c>
      <c r="O203" t="s">
        <v>470</v>
      </c>
      <c r="P203" s="57" t="s">
        <v>1932</v>
      </c>
      <c r="Q203" s="110">
        <v>12</v>
      </c>
      <c r="R203" s="110">
        <v>1</v>
      </c>
    </row>
    <row r="204" spans="2:18" x14ac:dyDescent="0.2">
      <c r="B204" t="s">
        <v>1827</v>
      </c>
      <c r="C204" t="s">
        <v>1869</v>
      </c>
      <c r="D204" s="55" t="str">
        <f>VLOOKUP(VLOOKUP(Q204,'⚪设计'!$A$227:$G$247,3+UnitCfg!R204,FALSE),'⚪设计'!$B$85:$C$113,2,FALSE)</f>
        <v>ResUnit_Gui1</v>
      </c>
      <c r="E204" s="55">
        <f>VLOOKUP(D204,'⚪设计'!$C$85:$G$101,5,FALSE)*VLOOKUP(UnitCfg!Q204,线下模式!$A$3:$C$22,3,FALSE)</f>
        <v>4.8000000000000007</v>
      </c>
      <c r="F204">
        <v>400</v>
      </c>
      <c r="G204" t="b">
        <v>1</v>
      </c>
      <c r="H204">
        <v>1</v>
      </c>
      <c r="I204">
        <v>1</v>
      </c>
      <c r="J204">
        <v>0.25</v>
      </c>
      <c r="K204" s="55">
        <f>VLOOKUP(D204,'⚪设计'!$C$85:$H$104,6,FALSE)</f>
        <v>1</v>
      </c>
      <c r="L204" t="str">
        <f t="shared" si="7"/>
        <v>Monster_Offline_13_1</v>
      </c>
      <c r="M204" t="s">
        <v>468</v>
      </c>
      <c r="N204" t="s">
        <v>469</v>
      </c>
      <c r="O204" t="s">
        <v>470</v>
      </c>
      <c r="P204" s="57" t="s">
        <v>1932</v>
      </c>
      <c r="Q204" s="110">
        <v>13</v>
      </c>
      <c r="R204" s="110">
        <v>1</v>
      </c>
    </row>
    <row r="205" spans="2:18" x14ac:dyDescent="0.2">
      <c r="B205" t="s">
        <v>1828</v>
      </c>
      <c r="C205" t="s">
        <v>1870</v>
      </c>
      <c r="D205" s="55" t="str">
        <f>VLOOKUP(VLOOKUP(Q205,'⚪设计'!$A$227:$G$247,3+UnitCfg!R205,FALSE),'⚪设计'!$B$85:$C$113,2,FALSE)</f>
        <v>ResUnit_ZhiZhu2</v>
      </c>
      <c r="E205" s="55">
        <f>VLOOKUP(D205,'⚪设计'!$C$85:$G$101,5,FALSE)*VLOOKUP(UnitCfg!Q205,线下模式!$A$3:$C$22,3,FALSE)</f>
        <v>7.2</v>
      </c>
      <c r="F205">
        <v>400</v>
      </c>
      <c r="G205" t="b">
        <v>1</v>
      </c>
      <c r="H205">
        <v>1</v>
      </c>
      <c r="I205">
        <v>1</v>
      </c>
      <c r="J205">
        <v>0.25</v>
      </c>
      <c r="K205" s="55">
        <f>VLOOKUP(D205,'⚪设计'!$C$85:$H$104,6,FALSE)</f>
        <v>1</v>
      </c>
      <c r="L205" t="str">
        <f t="shared" si="7"/>
        <v>Monster_Offline_13_2</v>
      </c>
      <c r="M205" t="s">
        <v>468</v>
      </c>
      <c r="N205" t="s">
        <v>469</v>
      </c>
      <c r="O205" t="s">
        <v>470</v>
      </c>
      <c r="Q205" s="110">
        <v>13</v>
      </c>
      <c r="R205" s="110">
        <v>2</v>
      </c>
    </row>
    <row r="206" spans="2:18" x14ac:dyDescent="0.2">
      <c r="B206" t="s">
        <v>1829</v>
      </c>
      <c r="C206" t="s">
        <v>1871</v>
      </c>
      <c r="D206" s="55" t="str">
        <f>VLOOKUP(VLOOKUP(Q206,'⚪设计'!$A$227:$G$247,3+UnitCfg!R206,FALSE),'⚪设计'!$B$85:$C$113,2,FALSE)</f>
        <v>ResUnit_Gui1</v>
      </c>
      <c r="E206" s="55">
        <f>VLOOKUP(D206,'⚪设计'!$C$85:$G$101,5,FALSE)*VLOOKUP(UnitCfg!Q206,线下模式!$A$3:$C$22,3,FALSE)</f>
        <v>4.9499999999999993</v>
      </c>
      <c r="F206">
        <v>400</v>
      </c>
      <c r="G206" t="b">
        <v>1</v>
      </c>
      <c r="H206">
        <v>1</v>
      </c>
      <c r="I206">
        <v>1</v>
      </c>
      <c r="J206">
        <v>0.25</v>
      </c>
      <c r="K206" s="55">
        <f>VLOOKUP(D206,'⚪设计'!$C$85:$H$104,6,FALSE)</f>
        <v>1</v>
      </c>
      <c r="L206" t="str">
        <f t="shared" si="7"/>
        <v>Monster_Offline_14_1</v>
      </c>
      <c r="M206" t="s">
        <v>468</v>
      </c>
      <c r="N206" t="s">
        <v>469</v>
      </c>
      <c r="O206" t="s">
        <v>470</v>
      </c>
      <c r="P206" s="57" t="s">
        <v>1932</v>
      </c>
      <c r="Q206" s="110">
        <v>14</v>
      </c>
      <c r="R206" s="110">
        <v>1</v>
      </c>
    </row>
    <row r="207" spans="2:18" x14ac:dyDescent="0.2">
      <c r="B207" t="s">
        <v>1830</v>
      </c>
      <c r="C207" t="s">
        <v>1872</v>
      </c>
      <c r="D207" s="55" t="str">
        <f>VLOOKUP(VLOOKUP(Q207,'⚪设计'!$A$227:$G$247,3+UnitCfg!R207,FALSE),'⚪设计'!$B$85:$C$113,2,FALSE)</f>
        <v>ResUnit_ZhongZi2</v>
      </c>
      <c r="E207" s="55">
        <f>VLOOKUP(D207,'⚪设计'!$C$85:$G$101,5,FALSE)*VLOOKUP(UnitCfg!Q207,线下模式!$A$3:$C$22,3,FALSE)</f>
        <v>4.9499999999999993</v>
      </c>
      <c r="F207">
        <v>400</v>
      </c>
      <c r="G207" t="b">
        <v>1</v>
      </c>
      <c r="H207">
        <v>1</v>
      </c>
      <c r="I207">
        <v>1</v>
      </c>
      <c r="J207">
        <v>0.25</v>
      </c>
      <c r="K207" s="55">
        <f>VLOOKUP(D207,'⚪设计'!$C$85:$H$104,6,FALSE)</f>
        <v>1.2</v>
      </c>
      <c r="L207" t="str">
        <f t="shared" si="7"/>
        <v>Monster_Offline_14_2</v>
      </c>
      <c r="M207" t="s">
        <v>468</v>
      </c>
      <c r="N207" t="s">
        <v>469</v>
      </c>
      <c r="O207" t="s">
        <v>470</v>
      </c>
      <c r="P207" s="57" t="s">
        <v>1931</v>
      </c>
      <c r="Q207" s="110">
        <v>14</v>
      </c>
      <c r="R207" s="110">
        <v>2</v>
      </c>
    </row>
    <row r="208" spans="2:18" x14ac:dyDescent="0.2">
      <c r="B208" t="s">
        <v>1831</v>
      </c>
      <c r="C208" t="s">
        <v>1873</v>
      </c>
      <c r="D208" s="55" t="str">
        <f>VLOOKUP(VLOOKUP(Q208,'⚪设计'!$A$227:$G$247,3+UnitCfg!R208,FALSE),'⚪设计'!$B$85:$C$113,2,FALSE)</f>
        <v>ResUnit_MiFeng2</v>
      </c>
      <c r="E208" s="55">
        <f>VLOOKUP(D208,'⚪设计'!$C$85:$G$101,5,FALSE)*VLOOKUP(UnitCfg!Q208,线下模式!$A$3:$C$22,3,FALSE)</f>
        <v>5.0999999999999996</v>
      </c>
      <c r="F208">
        <v>400</v>
      </c>
      <c r="G208" t="b">
        <v>1</v>
      </c>
      <c r="H208">
        <v>1</v>
      </c>
      <c r="I208">
        <v>1</v>
      </c>
      <c r="J208">
        <v>0.25</v>
      </c>
      <c r="K208" s="55">
        <f>VLOOKUP(D208,'⚪设计'!$C$85:$H$104,6,FALSE)</f>
        <v>0.8</v>
      </c>
      <c r="L208" t="str">
        <f t="shared" si="7"/>
        <v>Monster_Offline_15_1</v>
      </c>
      <c r="M208" t="s">
        <v>468</v>
      </c>
      <c r="N208" t="s">
        <v>469</v>
      </c>
      <c r="O208" t="s">
        <v>470</v>
      </c>
      <c r="Q208" s="110">
        <v>15</v>
      </c>
      <c r="R208" s="110">
        <v>1</v>
      </c>
    </row>
    <row r="209" spans="2:18" x14ac:dyDescent="0.2">
      <c r="B209" t="s">
        <v>1832</v>
      </c>
      <c r="C209" t="s">
        <v>1874</v>
      </c>
      <c r="D209" s="55" t="str">
        <f>VLOOKUP(VLOOKUP(Q209,'⚪设计'!$A$227:$G$247,3+UnitCfg!R209,FALSE),'⚪设计'!$B$85:$C$113,2,FALSE)</f>
        <v>ResUnit_ZhongZi1</v>
      </c>
      <c r="E209" s="55">
        <f>VLOOKUP(D209,'⚪设计'!$C$85:$G$101,5,FALSE)*VLOOKUP(UnitCfg!Q209,线下模式!$A$3:$C$22,3,FALSE)</f>
        <v>5.0999999999999996</v>
      </c>
      <c r="F209">
        <v>400</v>
      </c>
      <c r="G209" t="b">
        <v>1</v>
      </c>
      <c r="H209">
        <v>1</v>
      </c>
      <c r="I209">
        <v>1</v>
      </c>
      <c r="J209">
        <v>0.25</v>
      </c>
      <c r="K209" s="55">
        <f>VLOOKUP(D209,'⚪设计'!$C$85:$H$104,6,FALSE)</f>
        <v>1</v>
      </c>
      <c r="L209" t="str">
        <f t="shared" si="7"/>
        <v>Monster_Offline_15_2</v>
      </c>
      <c r="M209" t="s">
        <v>468</v>
      </c>
      <c r="N209" t="s">
        <v>469</v>
      </c>
      <c r="O209" t="s">
        <v>470</v>
      </c>
      <c r="P209" s="57" t="s">
        <v>1931</v>
      </c>
      <c r="Q209" s="110">
        <v>15</v>
      </c>
      <c r="R209" s="110">
        <v>2</v>
      </c>
    </row>
    <row r="210" spans="2:18" x14ac:dyDescent="0.2">
      <c r="B210" t="s">
        <v>1833</v>
      </c>
      <c r="C210" t="s">
        <v>1875</v>
      </c>
      <c r="D210" s="55" t="str">
        <f>VLOOKUP(VLOOKUP(Q210,'⚪设计'!$A$227:$G$247,3+UnitCfg!R210,FALSE),'⚪设计'!$B$85:$C$113,2,FALSE)</f>
        <v>ResUnit_ZhongZi3</v>
      </c>
      <c r="E210" s="55">
        <f>VLOOKUP(D210,'⚪设计'!$C$85:$G$101,5,FALSE)*VLOOKUP(UnitCfg!Q210,线下模式!$A$3:$C$22,3,FALSE)</f>
        <v>2.125</v>
      </c>
      <c r="F210">
        <v>400</v>
      </c>
      <c r="G210" t="b">
        <v>1</v>
      </c>
      <c r="H210">
        <v>1</v>
      </c>
      <c r="I210">
        <v>1</v>
      </c>
      <c r="J210">
        <v>0.25</v>
      </c>
      <c r="K210" s="55">
        <f>VLOOKUP(D210,'⚪设计'!$C$85:$H$104,6,FALSE)</f>
        <v>2</v>
      </c>
      <c r="L210" t="str">
        <f t="shared" si="7"/>
        <v>Monster_Offline_15_3</v>
      </c>
      <c r="M210" t="s">
        <v>468</v>
      </c>
      <c r="N210" t="s">
        <v>469</v>
      </c>
      <c r="O210" t="s">
        <v>470</v>
      </c>
      <c r="P210" s="57" t="s">
        <v>1931</v>
      </c>
      <c r="Q210" s="110">
        <v>15</v>
      </c>
      <c r="R210" s="110">
        <v>3</v>
      </c>
    </row>
    <row r="211" spans="2:18" x14ac:dyDescent="0.2">
      <c r="B211" t="s">
        <v>1834</v>
      </c>
      <c r="C211" t="s">
        <v>1876</v>
      </c>
      <c r="D211" s="55" t="str">
        <f>VLOOKUP(VLOOKUP(Q211,'⚪设计'!$A$227:$G$247,3+UnitCfg!R211,FALSE),'⚪设计'!$B$85:$C$113,2,FALSE)</f>
        <v>ResUnit_Dan1</v>
      </c>
      <c r="E211" s="55">
        <f>VLOOKUP(D211,'⚪设计'!$C$85:$G$101,5,FALSE)*VLOOKUP(UnitCfg!Q211,线下模式!$A$3:$C$22,3,FALSE)</f>
        <v>5.25</v>
      </c>
      <c r="F211">
        <v>400</v>
      </c>
      <c r="G211" t="b">
        <v>1</v>
      </c>
      <c r="H211">
        <v>1</v>
      </c>
      <c r="I211">
        <v>1</v>
      </c>
      <c r="J211">
        <v>0.25</v>
      </c>
      <c r="K211" s="55">
        <f>VLOOKUP(D211,'⚪设计'!$C$85:$H$104,6,FALSE)</f>
        <v>1.25</v>
      </c>
      <c r="L211" t="str">
        <f t="shared" si="7"/>
        <v>Monster_Offline_16_1</v>
      </c>
      <c r="M211" t="s">
        <v>468</v>
      </c>
      <c r="N211" t="s">
        <v>469</v>
      </c>
      <c r="O211" t="s">
        <v>470</v>
      </c>
      <c r="Q211" s="110">
        <v>16</v>
      </c>
      <c r="R211" s="110">
        <v>1</v>
      </c>
    </row>
    <row r="212" spans="2:18" x14ac:dyDescent="0.2">
      <c r="B212" t="s">
        <v>1835</v>
      </c>
      <c r="C212" t="s">
        <v>1877</v>
      </c>
      <c r="D212" s="55" t="str">
        <f>VLOOKUP(VLOOKUP(Q212,'⚪设计'!$A$227:$G$247,3+UnitCfg!R212,FALSE),'⚪设计'!$B$85:$C$113,2,FALSE)</f>
        <v>ResUnit_Dan2</v>
      </c>
      <c r="E212" s="55">
        <f>VLOOKUP(D212,'⚪设计'!$C$85:$G$101,5,FALSE)*VLOOKUP(UnitCfg!Q212,线下模式!$A$3:$C$22,3,FALSE)</f>
        <v>5.25</v>
      </c>
      <c r="F212">
        <v>400</v>
      </c>
      <c r="G212" t="b">
        <v>1</v>
      </c>
      <c r="H212">
        <v>1</v>
      </c>
      <c r="I212">
        <v>1</v>
      </c>
      <c r="J212">
        <v>0.25</v>
      </c>
      <c r="K212" s="55">
        <f>VLOOKUP(D212,'⚪设计'!$C$85:$H$104,6,FALSE)</f>
        <v>1.3</v>
      </c>
      <c r="L212" t="str">
        <f t="shared" si="7"/>
        <v>Monster_Offline_16_2</v>
      </c>
      <c r="M212" t="s">
        <v>468</v>
      </c>
      <c r="N212" t="s">
        <v>469</v>
      </c>
      <c r="O212" t="s">
        <v>470</v>
      </c>
      <c r="P212" s="57" t="s">
        <v>1933</v>
      </c>
      <c r="Q212" s="110">
        <v>16</v>
      </c>
      <c r="R212" s="110">
        <v>2</v>
      </c>
    </row>
    <row r="213" spans="2:18" x14ac:dyDescent="0.2">
      <c r="B213" t="s">
        <v>1836</v>
      </c>
      <c r="C213" t="s">
        <v>1878</v>
      </c>
      <c r="D213" s="55" t="str">
        <f>VLOOKUP(VLOOKUP(Q213,'⚪设计'!$A$227:$G$247,3+UnitCfg!R213,FALSE),'⚪设计'!$B$85:$C$113,2,FALSE)</f>
        <v>ResUnit_Dan2</v>
      </c>
      <c r="E213" s="55">
        <f>VLOOKUP(D213,'⚪设计'!$C$85:$G$101,5,FALSE)*VLOOKUP(UnitCfg!Q213,线下模式!$A$3:$C$22,3,FALSE)</f>
        <v>5.4</v>
      </c>
      <c r="F213">
        <v>400</v>
      </c>
      <c r="G213" t="b">
        <v>1</v>
      </c>
      <c r="H213">
        <v>1</v>
      </c>
      <c r="I213">
        <v>1</v>
      </c>
      <c r="J213">
        <v>0.25</v>
      </c>
      <c r="K213" s="55">
        <f>VLOOKUP(D213,'⚪设计'!$C$85:$H$104,6,FALSE)</f>
        <v>1.3</v>
      </c>
      <c r="L213" t="str">
        <f t="shared" si="7"/>
        <v>Monster_Offline_17_1</v>
      </c>
      <c r="M213" t="s">
        <v>468</v>
      </c>
      <c r="N213" t="s">
        <v>469</v>
      </c>
      <c r="O213" t="s">
        <v>470</v>
      </c>
      <c r="P213" s="57" t="s">
        <v>1933</v>
      </c>
      <c r="Q213" s="110">
        <v>17</v>
      </c>
      <c r="R213" s="110">
        <v>1</v>
      </c>
    </row>
    <row r="214" spans="2:18" x14ac:dyDescent="0.2">
      <c r="B214" t="s">
        <v>1837</v>
      </c>
      <c r="C214" t="s">
        <v>1879</v>
      </c>
      <c r="D214" s="55" t="str">
        <f>VLOOKUP(VLOOKUP(Q214,'⚪设计'!$A$227:$G$247,3+UnitCfg!R214,FALSE),'⚪设计'!$B$85:$C$113,2,FALSE)</f>
        <v>ResUnit_ZhiZhu2</v>
      </c>
      <c r="E214" s="55">
        <f>VLOOKUP(D214,'⚪设计'!$C$85:$G$101,5,FALSE)*VLOOKUP(UnitCfg!Q214,线下模式!$A$3:$C$22,3,FALSE)</f>
        <v>8.1</v>
      </c>
      <c r="F214">
        <v>400</v>
      </c>
      <c r="G214" t="b">
        <v>1</v>
      </c>
      <c r="H214">
        <v>1</v>
      </c>
      <c r="I214">
        <v>1</v>
      </c>
      <c r="J214">
        <v>0.25</v>
      </c>
      <c r="K214" s="55">
        <f>VLOOKUP(D214,'⚪设计'!$C$85:$H$104,6,FALSE)</f>
        <v>1</v>
      </c>
      <c r="L214" t="str">
        <f t="shared" si="7"/>
        <v>Monster_Offline_17_2</v>
      </c>
      <c r="M214" t="s">
        <v>468</v>
      </c>
      <c r="N214" t="s">
        <v>469</v>
      </c>
      <c r="O214" t="s">
        <v>470</v>
      </c>
      <c r="Q214" s="110">
        <v>17</v>
      </c>
      <c r="R214" s="110">
        <v>2</v>
      </c>
    </row>
    <row r="215" spans="2:18" x14ac:dyDescent="0.2">
      <c r="B215" t="s">
        <v>1838</v>
      </c>
      <c r="C215" t="s">
        <v>1880</v>
      </c>
      <c r="D215" s="55" t="str">
        <f>VLOOKUP(VLOOKUP(Q215,'⚪设计'!$A$227:$G$247,3+UnitCfg!R215,FALSE),'⚪设计'!$B$85:$C$113,2,FALSE)</f>
        <v>ResUnit_Dan2</v>
      </c>
      <c r="E215" s="55">
        <f>VLOOKUP(D215,'⚪设计'!$C$85:$G$101,5,FALSE)*VLOOKUP(UnitCfg!Q215,线下模式!$A$3:$C$22,3,FALSE)</f>
        <v>5.5500000000000007</v>
      </c>
      <c r="F215">
        <v>400</v>
      </c>
      <c r="G215" t="b">
        <v>1</v>
      </c>
      <c r="H215">
        <v>1</v>
      </c>
      <c r="I215">
        <v>1</v>
      </c>
      <c r="J215">
        <v>0.25</v>
      </c>
      <c r="K215" s="55">
        <f>VLOOKUP(D215,'⚪设计'!$C$85:$H$104,6,FALSE)</f>
        <v>1.3</v>
      </c>
      <c r="L215" t="str">
        <f t="shared" si="7"/>
        <v>Monster_Offline_18_1</v>
      </c>
      <c r="M215" t="s">
        <v>468</v>
      </c>
      <c r="N215" t="s">
        <v>469</v>
      </c>
      <c r="O215" t="s">
        <v>470</v>
      </c>
      <c r="P215" s="57" t="s">
        <v>1933</v>
      </c>
      <c r="Q215" s="110">
        <v>18</v>
      </c>
      <c r="R215" s="110">
        <v>1</v>
      </c>
    </row>
    <row r="216" spans="2:18" x14ac:dyDescent="0.2">
      <c r="B216" t="s">
        <v>1839</v>
      </c>
      <c r="C216" t="s">
        <v>1881</v>
      </c>
      <c r="D216" s="55" t="str">
        <f>VLOOKUP(VLOOKUP(Q216,'⚪设计'!$A$227:$G$247,3+UnitCfg!R216,FALSE),'⚪设计'!$B$85:$C$113,2,FALSE)</f>
        <v>ResUnit_ZhiZhu2</v>
      </c>
      <c r="E216" s="55">
        <f>VLOOKUP(D216,'⚪设计'!$C$85:$G$101,5,FALSE)*VLOOKUP(UnitCfg!Q216,线下模式!$A$3:$C$22,3,FALSE)</f>
        <v>8.3250000000000011</v>
      </c>
      <c r="F216">
        <v>400</v>
      </c>
      <c r="G216" t="b">
        <v>1</v>
      </c>
      <c r="H216">
        <v>1</v>
      </c>
      <c r="I216">
        <v>1</v>
      </c>
      <c r="J216">
        <v>0.25</v>
      </c>
      <c r="K216" s="55">
        <f>VLOOKUP(D216,'⚪设计'!$C$85:$H$104,6,FALSE)</f>
        <v>1</v>
      </c>
      <c r="L216" t="str">
        <f t="shared" si="7"/>
        <v>Monster_Offline_18_2</v>
      </c>
      <c r="M216" t="s">
        <v>468</v>
      </c>
      <c r="N216" t="s">
        <v>469</v>
      </c>
      <c r="O216" t="s">
        <v>470</v>
      </c>
      <c r="Q216" s="110">
        <v>18</v>
      </c>
      <c r="R216" s="110">
        <v>2</v>
      </c>
    </row>
    <row r="217" spans="2:18" x14ac:dyDescent="0.2">
      <c r="B217" t="s">
        <v>1840</v>
      </c>
      <c r="C217" t="s">
        <v>1882</v>
      </c>
      <c r="D217" s="55" t="str">
        <f>VLOOKUP(VLOOKUP(Q217,'⚪设计'!$A$227:$G$247,3+UnitCfg!R217,FALSE),'⚪设计'!$B$85:$C$113,2,FALSE)</f>
        <v>ResUnit_ZhongZi2</v>
      </c>
      <c r="E217" s="55">
        <f>VLOOKUP(D217,'⚪设计'!$C$85:$G$101,5,FALSE)*VLOOKUP(UnitCfg!Q217,线下模式!$A$3:$C$22,3,FALSE)</f>
        <v>5.5500000000000007</v>
      </c>
      <c r="F217">
        <v>400</v>
      </c>
      <c r="G217" t="b">
        <v>1</v>
      </c>
      <c r="H217">
        <v>1</v>
      </c>
      <c r="I217">
        <v>1</v>
      </c>
      <c r="J217">
        <v>0.25</v>
      </c>
      <c r="K217" s="55">
        <f>VLOOKUP(D217,'⚪设计'!$C$85:$H$104,6,FALSE)</f>
        <v>1.2</v>
      </c>
      <c r="L217" t="str">
        <f t="shared" si="7"/>
        <v>Monster_Offline_18_3</v>
      </c>
      <c r="M217" t="s">
        <v>468</v>
      </c>
      <c r="N217" t="s">
        <v>469</v>
      </c>
      <c r="O217" t="s">
        <v>470</v>
      </c>
      <c r="P217" s="57" t="s">
        <v>1931</v>
      </c>
      <c r="Q217" s="110">
        <v>18</v>
      </c>
      <c r="R217" s="110">
        <v>3</v>
      </c>
    </row>
    <row r="218" spans="2:18" x14ac:dyDescent="0.2">
      <c r="B218" t="s">
        <v>1841</v>
      </c>
      <c r="C218" t="s">
        <v>1883</v>
      </c>
      <c r="D218" s="55" t="str">
        <f>VLOOKUP(VLOOKUP(Q218,'⚪设计'!$A$227:$G$247,3+UnitCfg!R218,FALSE),'⚪设计'!$B$85:$C$113,2,FALSE)</f>
        <v>ResUnit_Dan2</v>
      </c>
      <c r="E218" s="55">
        <f>VLOOKUP(D218,'⚪设计'!$C$85:$G$101,5,FALSE)*VLOOKUP(UnitCfg!Q218,线下模式!$A$3:$C$22,3,FALSE)</f>
        <v>5.6999999999999993</v>
      </c>
      <c r="F218">
        <v>400</v>
      </c>
      <c r="G218" t="b">
        <v>1</v>
      </c>
      <c r="H218">
        <v>1</v>
      </c>
      <c r="I218">
        <v>1</v>
      </c>
      <c r="J218">
        <v>0.25</v>
      </c>
      <c r="K218" s="55">
        <f>VLOOKUP(D218,'⚪设计'!$C$85:$H$104,6,FALSE)</f>
        <v>1.3</v>
      </c>
      <c r="L218" t="str">
        <f t="shared" si="7"/>
        <v>Monster_Offline_19_1</v>
      </c>
      <c r="M218" t="s">
        <v>468</v>
      </c>
      <c r="N218" t="s">
        <v>469</v>
      </c>
      <c r="O218" t="s">
        <v>470</v>
      </c>
      <c r="P218" s="57" t="s">
        <v>1933</v>
      </c>
      <c r="Q218" s="110">
        <v>19</v>
      </c>
      <c r="R218" s="110">
        <v>1</v>
      </c>
    </row>
    <row r="219" spans="2:18" x14ac:dyDescent="0.2">
      <c r="B219" t="s">
        <v>1842</v>
      </c>
      <c r="C219" t="s">
        <v>1884</v>
      </c>
      <c r="D219" s="55" t="str">
        <f>VLOOKUP(VLOOKUP(Q219,'⚪设计'!$A$227:$G$247,3+UnitCfg!R219,FALSE),'⚪设计'!$B$85:$C$113,2,FALSE)</f>
        <v>ResUnit_Gui2</v>
      </c>
      <c r="E219" s="55">
        <f>VLOOKUP(D219,'⚪设计'!$C$85:$G$101,5,FALSE)*VLOOKUP(UnitCfg!Q219,线下模式!$A$3:$C$22,3,FALSE)</f>
        <v>5.6999999999999993</v>
      </c>
      <c r="F219">
        <v>400</v>
      </c>
      <c r="G219" t="b">
        <v>1</v>
      </c>
      <c r="H219">
        <v>1</v>
      </c>
      <c r="I219">
        <v>1</v>
      </c>
      <c r="J219">
        <v>0.25</v>
      </c>
      <c r="K219" s="55">
        <f>VLOOKUP(D219,'⚪设计'!$C$85:$H$104,6,FALSE)</f>
        <v>1</v>
      </c>
      <c r="L219" t="str">
        <f t="shared" si="7"/>
        <v>Monster_Offline_19_2</v>
      </c>
      <c r="M219" t="s">
        <v>468</v>
      </c>
      <c r="N219" t="s">
        <v>469</v>
      </c>
      <c r="O219" t="s">
        <v>470</v>
      </c>
      <c r="P219" s="57" t="s">
        <v>1932</v>
      </c>
      <c r="Q219" s="110">
        <v>19</v>
      </c>
      <c r="R219" s="110">
        <v>2</v>
      </c>
    </row>
    <row r="220" spans="2:18" x14ac:dyDescent="0.2">
      <c r="B220" t="s">
        <v>1843</v>
      </c>
      <c r="C220" t="s">
        <v>1885</v>
      </c>
      <c r="D220" s="55" t="str">
        <f>VLOOKUP(VLOOKUP(Q220,'⚪设计'!$A$227:$G$247,3+UnitCfg!R220,FALSE),'⚪设计'!$B$85:$C$113,2,FALSE)</f>
        <v>ResUnit_ZhongZi2</v>
      </c>
      <c r="E220" s="55">
        <f>VLOOKUP(D220,'⚪设计'!$C$85:$G$101,5,FALSE)*VLOOKUP(UnitCfg!Q220,线下模式!$A$3:$C$22,3,FALSE)</f>
        <v>5.6999999999999993</v>
      </c>
      <c r="F220">
        <v>400</v>
      </c>
      <c r="G220" t="b">
        <v>1</v>
      </c>
      <c r="H220">
        <v>1</v>
      </c>
      <c r="I220">
        <v>1</v>
      </c>
      <c r="J220">
        <v>0.25</v>
      </c>
      <c r="K220" s="55">
        <f>VLOOKUP(D220,'⚪设计'!$C$85:$H$104,6,FALSE)</f>
        <v>1.2</v>
      </c>
      <c r="L220" t="str">
        <f t="shared" si="7"/>
        <v>Monster_Offline_19_3</v>
      </c>
      <c r="M220" t="s">
        <v>468</v>
      </c>
      <c r="N220" t="s">
        <v>469</v>
      </c>
      <c r="O220" t="s">
        <v>470</v>
      </c>
      <c r="P220" s="57" t="s">
        <v>1931</v>
      </c>
      <c r="Q220" s="110">
        <v>19</v>
      </c>
      <c r="R220" s="110">
        <v>3</v>
      </c>
    </row>
    <row r="221" spans="2:18" x14ac:dyDescent="0.2">
      <c r="B221" t="s">
        <v>1844</v>
      </c>
      <c r="C221" t="s">
        <v>1886</v>
      </c>
      <c r="D221" s="55" t="str">
        <f>VLOOKUP(VLOOKUP(Q221,'⚪设计'!$A$227:$G$247,3+UnitCfg!R221,FALSE),'⚪设计'!$B$85:$C$113,2,FALSE)</f>
        <v>ResUnit_MiFeng2</v>
      </c>
      <c r="E221" s="55">
        <f>VLOOKUP(D221,'⚪设计'!$C$85:$G$101,5,FALSE)*VLOOKUP(UnitCfg!Q221,线下模式!$A$3:$C$22,3,FALSE)</f>
        <v>5.85</v>
      </c>
      <c r="F221">
        <v>400</v>
      </c>
      <c r="G221" t="b">
        <v>1</v>
      </c>
      <c r="H221">
        <v>1</v>
      </c>
      <c r="I221">
        <v>1</v>
      </c>
      <c r="J221">
        <v>0.25</v>
      </c>
      <c r="K221" s="55">
        <f>VLOOKUP(D221,'⚪设计'!$C$85:$H$104,6,FALSE)</f>
        <v>0.8</v>
      </c>
      <c r="L221" t="str">
        <f t="shared" si="7"/>
        <v>Monster_Offline_20_1</v>
      </c>
      <c r="M221" t="s">
        <v>468</v>
      </c>
      <c r="N221" t="s">
        <v>469</v>
      </c>
      <c r="O221" t="s">
        <v>470</v>
      </c>
      <c r="Q221" s="110">
        <v>20</v>
      </c>
      <c r="R221" s="110">
        <v>1</v>
      </c>
    </row>
    <row r="222" spans="2:18" x14ac:dyDescent="0.2">
      <c r="B222" t="s">
        <v>1845</v>
      </c>
      <c r="C222" t="s">
        <v>1887</v>
      </c>
      <c r="D222" s="55" t="str">
        <f>VLOOKUP(VLOOKUP(Q222,'⚪设计'!$A$227:$G$247,3+UnitCfg!R222,FALSE),'⚪设计'!$B$85:$C$113,2,FALSE)</f>
        <v>ResUnit_Gui3</v>
      </c>
      <c r="E222" s="55">
        <f>VLOOKUP(D222,'⚪设计'!$C$85:$G$101,5,FALSE)*VLOOKUP(UnitCfg!Q222,线下模式!$A$3:$C$22,3,FALSE)</f>
        <v>2.4375</v>
      </c>
      <c r="F222">
        <v>400</v>
      </c>
      <c r="G222" t="b">
        <v>1</v>
      </c>
      <c r="H222">
        <v>1</v>
      </c>
      <c r="I222">
        <v>1</v>
      </c>
      <c r="J222">
        <v>0.25</v>
      </c>
      <c r="K222" s="55">
        <f>VLOOKUP(D222,'⚪设计'!$C$85:$H$104,6,FALSE)</f>
        <v>2.5</v>
      </c>
      <c r="L222" t="str">
        <f t="shared" si="7"/>
        <v>Monster_Offline_20_2</v>
      </c>
      <c r="M222" t="s">
        <v>468</v>
      </c>
      <c r="N222" t="s">
        <v>469</v>
      </c>
      <c r="O222" t="s">
        <v>470</v>
      </c>
      <c r="P222" s="57" t="s">
        <v>1932</v>
      </c>
      <c r="Q222" s="110">
        <v>20</v>
      </c>
      <c r="R222" s="110">
        <v>2</v>
      </c>
    </row>
    <row r="223" spans="2:18" x14ac:dyDescent="0.2">
      <c r="B223" t="s">
        <v>1846</v>
      </c>
      <c r="C223" t="s">
        <v>1888</v>
      </c>
      <c r="D223" s="55" t="str">
        <f>VLOOKUP(VLOOKUP(Q223,'⚪设计'!$A$227:$G$247,3+UnitCfg!R223,FALSE),'⚪设计'!$B$85:$C$113,2,FALSE)</f>
        <v>ResUnit_ZhongZi2</v>
      </c>
      <c r="E223" s="55">
        <f>VLOOKUP(D223,'⚪设计'!$C$85:$G$101,5,FALSE)*VLOOKUP(UnitCfg!Q223,线下模式!$A$3:$C$22,3,FALSE)</f>
        <v>5.85</v>
      </c>
      <c r="F223">
        <v>400</v>
      </c>
      <c r="G223" t="b">
        <v>1</v>
      </c>
      <c r="H223">
        <v>1</v>
      </c>
      <c r="I223">
        <v>1</v>
      </c>
      <c r="J223">
        <v>0.25</v>
      </c>
      <c r="K223" s="55">
        <f>VLOOKUP(D223,'⚪设计'!$C$85:$H$104,6,FALSE)</f>
        <v>1.2</v>
      </c>
      <c r="L223" t="str">
        <f t="shared" si="7"/>
        <v>Monster_Offline_20_3</v>
      </c>
      <c r="M223" t="s">
        <v>468</v>
      </c>
      <c r="N223" t="s">
        <v>469</v>
      </c>
      <c r="O223" t="s">
        <v>470</v>
      </c>
      <c r="P223" s="57" t="s">
        <v>1931</v>
      </c>
      <c r="Q223" s="110">
        <v>20</v>
      </c>
      <c r="R223" s="110">
        <v>3</v>
      </c>
    </row>
    <row r="224" spans="2:18" s="125" customFormat="1" x14ac:dyDescent="0.2"/>
    <row r="225" spans="2:19" s="57" customFormat="1" x14ac:dyDescent="0.2">
      <c r="B225" s="57" t="s">
        <v>2587</v>
      </c>
      <c r="C225" s="57" t="s">
        <v>2879</v>
      </c>
      <c r="D225" s="55" t="str">
        <f>VLOOKUP(VLOOKUP(Q225&amp;"_"&amp;R225,活动关卡!$A$4:$Z$27,2+5*S225,FALSE),'⚪设计'!$B$85:$H$114,2,FALSE)</f>
        <v>ResUnit_MiFeng1</v>
      </c>
      <c r="E225" s="55">
        <f>VLOOKUP(VLOOKUP(Q225&amp;"_"&amp;R225,活动关卡!$A$4:$Z$27,2+5*S225,FALSE),'⚪设计'!$B$85:$H$114,6,FALSE)*VLOOKUP(Q225&amp;"_"&amp;R225,活动关卡!$A$4:$Z$27,5,FALSE)</f>
        <v>3</v>
      </c>
      <c r="F225">
        <v>400</v>
      </c>
      <c r="G225" t="b">
        <v>1</v>
      </c>
      <c r="H225">
        <v>1</v>
      </c>
      <c r="I225">
        <v>1</v>
      </c>
      <c r="J225">
        <v>0.25</v>
      </c>
      <c r="K225" s="55">
        <f>VLOOKUP(VLOOKUP(Q225&amp;"_"&amp;R225,活动关卡!$A$4:$Z$27,2+5*S225,FALSE),'⚪设计'!$B$85:$H$114,7,FALSE)</f>
        <v>0.5</v>
      </c>
      <c r="L225" s="57" t="s">
        <v>2295</v>
      </c>
      <c r="M225" t="s">
        <v>468</v>
      </c>
      <c r="N225" t="s">
        <v>469</v>
      </c>
      <c r="O225" t="s">
        <v>470</v>
      </c>
      <c r="P225" s="57" t="str">
        <f>IF(VLOOKUP(D225,'⚪设计'!$C$85:$I$113,7,FALSE)="","",VLOOKUP(D225,'⚪设计'!$C$85:$I$113,7,FALSE)&amp;",NormalAttack")</f>
        <v/>
      </c>
      <c r="Q225" s="110" t="str">
        <f>LEFT(RIGHT(C225,5),1)</f>
        <v>1</v>
      </c>
      <c r="R225" s="110" t="str">
        <f>LEFT(RIGHT(C225,3),1)</f>
        <v>1</v>
      </c>
      <c r="S225" s="110" t="str">
        <f>RIGHT(C225,1)</f>
        <v>1</v>
      </c>
    </row>
    <row r="226" spans="2:19" s="57" customFormat="1" x14ac:dyDescent="0.2">
      <c r="B226" s="57" t="s">
        <v>2588</v>
      </c>
      <c r="C226" s="57" t="s">
        <v>2880</v>
      </c>
      <c r="D226" s="55" t="str">
        <f>VLOOKUP(VLOOKUP(Q226&amp;"_"&amp;R226,活动关卡!$A$4:$Z$27,2+5*S226,FALSE),'⚪设计'!$B$85:$H$114,2,FALSE)</f>
        <v>ResUnit_Niao1</v>
      </c>
      <c r="E226" s="55">
        <f>VLOOKUP(VLOOKUP(Q226&amp;"_"&amp;R226,活动关卡!$A$4:$Z$27,2+5*S226,FALSE),'⚪设计'!$B$85:$H$114,6,FALSE)*VLOOKUP(Q226&amp;"_"&amp;R226,活动关卡!$A$4:$Z$27,5,FALSE)</f>
        <v>3</v>
      </c>
      <c r="F226">
        <v>400</v>
      </c>
      <c r="G226" t="b">
        <v>1</v>
      </c>
      <c r="H226">
        <v>1</v>
      </c>
      <c r="I226">
        <v>1</v>
      </c>
      <c r="J226">
        <v>0.25</v>
      </c>
      <c r="K226" s="55">
        <f>VLOOKUP(VLOOKUP(Q226&amp;"_"&amp;R226,活动关卡!$A$4:$Z$27,2+5*S226,FALSE),'⚪设计'!$B$85:$H$114,7,FALSE)</f>
        <v>1</v>
      </c>
      <c r="L226" s="57" t="s">
        <v>2296</v>
      </c>
      <c r="M226" t="s">
        <v>468</v>
      </c>
      <c r="N226" t="s">
        <v>469</v>
      </c>
      <c r="O226" t="s">
        <v>470</v>
      </c>
      <c r="P226" s="57" t="str">
        <f>IF(VLOOKUP(D226,'⚪设计'!$C$85:$I$113,7,FALSE)="","",VLOOKUP(D226,'⚪设计'!$C$85:$I$113,7,FALSE)&amp;",NormalAttack")</f>
        <v/>
      </c>
      <c r="Q226" s="110" t="str">
        <f t="shared" ref="Q226:Q289" si="8">LEFT(RIGHT(C226,5),1)</f>
        <v>1</v>
      </c>
      <c r="R226" s="110" t="str">
        <f t="shared" ref="R226:R289" si="9">LEFT(RIGHT(C226,3),1)</f>
        <v>1</v>
      </c>
      <c r="S226" s="110" t="str">
        <f t="shared" ref="S226:S289" si="10">RIGHT(C226,1)</f>
        <v>2</v>
      </c>
    </row>
    <row r="227" spans="2:19" s="57" customFormat="1" x14ac:dyDescent="0.2">
      <c r="B227" s="57" t="s">
        <v>2589</v>
      </c>
      <c r="C227" s="57" t="s">
        <v>2881</v>
      </c>
      <c r="D227" s="55" t="str">
        <f>VLOOKUP(VLOOKUP(Q227&amp;"_"&amp;R227,活动关卡!$A$4:$Z$27,2+5*S227,FALSE),'⚪设计'!$B$85:$H$114,2,FALSE)</f>
        <v>ResUnit_MiFeng1</v>
      </c>
      <c r="E227" s="55">
        <f>VLOOKUP(VLOOKUP(Q227&amp;"_"&amp;R227,活动关卡!$A$4:$Z$27,2+5*S227,FALSE),'⚪设计'!$B$85:$H$114,6,FALSE)*VLOOKUP(Q227&amp;"_"&amp;R227,活动关卡!$A$4:$Z$27,5,FALSE)</f>
        <v>3</v>
      </c>
      <c r="F227">
        <v>400</v>
      </c>
      <c r="G227" t="b">
        <v>1</v>
      </c>
      <c r="H227">
        <v>1</v>
      </c>
      <c r="I227">
        <v>1</v>
      </c>
      <c r="J227">
        <v>0.25</v>
      </c>
      <c r="K227" s="55">
        <f>VLOOKUP(VLOOKUP(Q227&amp;"_"&amp;R227,活动关卡!$A$4:$Z$27,2+5*S227,FALSE),'⚪设计'!$B$85:$H$114,7,FALSE)</f>
        <v>0.5</v>
      </c>
      <c r="L227" s="57" t="s">
        <v>2297</v>
      </c>
      <c r="M227" t="s">
        <v>468</v>
      </c>
      <c r="N227" t="s">
        <v>469</v>
      </c>
      <c r="O227" t="s">
        <v>470</v>
      </c>
      <c r="P227" s="57" t="str">
        <f>IF(VLOOKUP(D227,'⚪设计'!$C$85:$I$113,7,FALSE)="","",VLOOKUP(D227,'⚪设计'!$C$85:$I$113,7,FALSE)&amp;",NormalAttack")</f>
        <v/>
      </c>
      <c r="Q227" s="110" t="str">
        <f t="shared" si="8"/>
        <v>1</v>
      </c>
      <c r="R227" s="110" t="str">
        <f t="shared" si="9"/>
        <v>2</v>
      </c>
      <c r="S227" s="110" t="str">
        <f t="shared" si="10"/>
        <v>1</v>
      </c>
    </row>
    <row r="228" spans="2:19" s="57" customFormat="1" x14ac:dyDescent="0.2">
      <c r="B228" s="57" t="s">
        <v>2590</v>
      </c>
      <c r="C228" s="57" t="s">
        <v>2882</v>
      </c>
      <c r="D228" s="55" t="str">
        <f>VLOOKUP(VLOOKUP(Q228&amp;"_"&amp;R228,活动关卡!$A$4:$Z$27,2+5*S228,FALSE),'⚪设计'!$B$85:$H$114,2,FALSE)</f>
        <v>ResUnit_Niao1</v>
      </c>
      <c r="E228" s="55">
        <f>VLOOKUP(VLOOKUP(Q228&amp;"_"&amp;R228,活动关卡!$A$4:$Z$27,2+5*S228,FALSE),'⚪设计'!$B$85:$H$114,6,FALSE)*VLOOKUP(Q228&amp;"_"&amp;R228,活动关卡!$A$4:$Z$27,5,FALSE)</f>
        <v>3</v>
      </c>
      <c r="F228">
        <v>400</v>
      </c>
      <c r="G228" t="b">
        <v>1</v>
      </c>
      <c r="H228">
        <v>1</v>
      </c>
      <c r="I228">
        <v>1</v>
      </c>
      <c r="J228">
        <v>0.25</v>
      </c>
      <c r="K228" s="55">
        <f>VLOOKUP(VLOOKUP(Q228&amp;"_"&amp;R228,活动关卡!$A$4:$Z$27,2+5*S228,FALSE),'⚪设计'!$B$85:$H$114,7,FALSE)</f>
        <v>1</v>
      </c>
      <c r="L228" s="57" t="s">
        <v>2298</v>
      </c>
      <c r="M228" t="s">
        <v>468</v>
      </c>
      <c r="N228" t="s">
        <v>469</v>
      </c>
      <c r="O228" t="s">
        <v>470</v>
      </c>
      <c r="P228" s="57" t="str">
        <f>IF(VLOOKUP(D228,'⚪设计'!$C$85:$I$113,7,FALSE)="","",VLOOKUP(D228,'⚪设计'!$C$85:$I$113,7,FALSE)&amp;",NormalAttack")</f>
        <v/>
      </c>
      <c r="Q228" s="110" t="str">
        <f t="shared" si="8"/>
        <v>1</v>
      </c>
      <c r="R228" s="110" t="str">
        <f t="shared" si="9"/>
        <v>2</v>
      </c>
      <c r="S228" s="110" t="str">
        <f t="shared" si="10"/>
        <v>2</v>
      </c>
    </row>
    <row r="229" spans="2:19" s="57" customFormat="1" x14ac:dyDescent="0.2">
      <c r="B229" s="57" t="s">
        <v>2591</v>
      </c>
      <c r="C229" s="57" t="s">
        <v>2883</v>
      </c>
      <c r="D229" s="55" t="str">
        <f>VLOOKUP(VLOOKUP(Q229&amp;"_"&amp;R229,活动关卡!$A$4:$Z$27,2+5*S229,FALSE),'⚪设计'!$B$85:$H$114,2,FALSE)</f>
        <v>ResUnit_MiFeng1</v>
      </c>
      <c r="E229" s="55">
        <f>VLOOKUP(VLOOKUP(Q229&amp;"_"&amp;R229,活动关卡!$A$4:$Z$27,2+5*S229,FALSE),'⚪设计'!$B$85:$H$114,6,FALSE)*VLOOKUP(Q229&amp;"_"&amp;R229,活动关卡!$A$4:$Z$27,5,FALSE)</f>
        <v>3</v>
      </c>
      <c r="F229">
        <v>400</v>
      </c>
      <c r="G229" t="b">
        <v>1</v>
      </c>
      <c r="H229">
        <v>1</v>
      </c>
      <c r="I229">
        <v>1</v>
      </c>
      <c r="J229">
        <v>0.25</v>
      </c>
      <c r="K229" s="55">
        <f>VLOOKUP(VLOOKUP(Q229&amp;"_"&amp;R229,活动关卡!$A$4:$Z$27,2+5*S229,FALSE),'⚪设计'!$B$85:$H$114,7,FALSE)</f>
        <v>0.5</v>
      </c>
      <c r="L229" s="57" t="s">
        <v>2299</v>
      </c>
      <c r="M229" t="s">
        <v>468</v>
      </c>
      <c r="N229" t="s">
        <v>469</v>
      </c>
      <c r="O229" t="s">
        <v>470</v>
      </c>
      <c r="P229" s="57" t="str">
        <f>IF(VLOOKUP(D229,'⚪设计'!$C$85:$I$113,7,FALSE)="","",VLOOKUP(D229,'⚪设计'!$C$85:$I$113,7,FALSE)&amp;",NormalAttack")</f>
        <v/>
      </c>
      <c r="Q229" s="110" t="str">
        <f t="shared" si="8"/>
        <v>1</v>
      </c>
      <c r="R229" s="110" t="str">
        <f t="shared" si="9"/>
        <v>3</v>
      </c>
      <c r="S229" s="110" t="str">
        <f t="shared" si="10"/>
        <v>1</v>
      </c>
    </row>
    <row r="230" spans="2:19" s="57" customFormat="1" x14ac:dyDescent="0.2">
      <c r="B230" s="57" t="s">
        <v>2592</v>
      </c>
      <c r="C230" s="57" t="s">
        <v>2884</v>
      </c>
      <c r="D230" s="55" t="str">
        <f>VLOOKUP(VLOOKUP(Q230&amp;"_"&amp;R230,活动关卡!$A$4:$Z$27,2+5*S230,FALSE),'⚪设计'!$B$85:$H$114,2,FALSE)</f>
        <v>ResUnit_MiFeng2</v>
      </c>
      <c r="E230" s="55">
        <f>VLOOKUP(VLOOKUP(Q230&amp;"_"&amp;R230,活动关卡!$A$4:$Z$27,2+5*S230,FALSE),'⚪设计'!$B$85:$H$114,6,FALSE)*VLOOKUP(Q230&amp;"_"&amp;R230,活动关卡!$A$4:$Z$27,5,FALSE)</f>
        <v>3</v>
      </c>
      <c r="F230">
        <v>400</v>
      </c>
      <c r="G230" t="b">
        <v>1</v>
      </c>
      <c r="H230">
        <v>1</v>
      </c>
      <c r="I230">
        <v>1</v>
      </c>
      <c r="J230">
        <v>0.25</v>
      </c>
      <c r="K230" s="55">
        <f>VLOOKUP(VLOOKUP(Q230&amp;"_"&amp;R230,活动关卡!$A$4:$Z$27,2+5*S230,FALSE),'⚪设计'!$B$85:$H$114,7,FALSE)</f>
        <v>0.8</v>
      </c>
      <c r="L230" s="57" t="s">
        <v>2300</v>
      </c>
      <c r="M230" t="s">
        <v>468</v>
      </c>
      <c r="N230" t="s">
        <v>469</v>
      </c>
      <c r="O230" t="s">
        <v>470</v>
      </c>
      <c r="P230" s="57" t="str">
        <f>IF(VLOOKUP(D230,'⚪设计'!$C$85:$I$113,7,FALSE)="","",VLOOKUP(D230,'⚪设计'!$C$85:$I$113,7,FALSE)&amp;",NormalAttack")</f>
        <v/>
      </c>
      <c r="Q230" s="110" t="str">
        <f t="shared" si="8"/>
        <v>1</v>
      </c>
      <c r="R230" s="110" t="str">
        <f t="shared" si="9"/>
        <v>3</v>
      </c>
      <c r="S230" s="110" t="str">
        <f t="shared" si="10"/>
        <v>2</v>
      </c>
    </row>
    <row r="231" spans="2:19" s="57" customFormat="1" x14ac:dyDescent="0.2">
      <c r="B231" s="57" t="s">
        <v>2593</v>
      </c>
      <c r="C231" s="57" t="s">
        <v>2885</v>
      </c>
      <c r="D231" s="55" t="str">
        <f>VLOOKUP(VLOOKUP(Q231&amp;"_"&amp;R231,活动关卡!$A$4:$Z$27,2+5*S231,FALSE),'⚪设计'!$B$85:$H$114,2,FALSE)</f>
        <v>ResUnit_Niao1</v>
      </c>
      <c r="E231" s="55">
        <f>VLOOKUP(VLOOKUP(Q231&amp;"_"&amp;R231,活动关卡!$A$4:$Z$27,2+5*S231,FALSE),'⚪设计'!$B$85:$H$114,6,FALSE)*VLOOKUP(Q231&amp;"_"&amp;R231,活动关卡!$A$4:$Z$27,5,FALSE)</f>
        <v>3</v>
      </c>
      <c r="F231">
        <v>400</v>
      </c>
      <c r="G231" t="b">
        <v>1</v>
      </c>
      <c r="H231">
        <v>1</v>
      </c>
      <c r="I231">
        <v>1</v>
      </c>
      <c r="J231">
        <v>0.25</v>
      </c>
      <c r="K231" s="55">
        <f>VLOOKUP(VLOOKUP(Q231&amp;"_"&amp;R231,活动关卡!$A$4:$Z$27,2+5*S231,FALSE),'⚪设计'!$B$85:$H$114,7,FALSE)</f>
        <v>1</v>
      </c>
      <c r="L231" s="57" t="s">
        <v>2301</v>
      </c>
      <c r="M231" t="s">
        <v>468</v>
      </c>
      <c r="N231" t="s">
        <v>469</v>
      </c>
      <c r="O231" t="s">
        <v>470</v>
      </c>
      <c r="P231" s="57" t="str">
        <f>IF(VLOOKUP(D231,'⚪设计'!$C$85:$I$113,7,FALSE)="","",VLOOKUP(D231,'⚪设计'!$C$85:$I$113,7,FALSE)&amp;",NormalAttack")</f>
        <v/>
      </c>
      <c r="Q231" s="110" t="str">
        <f t="shared" si="8"/>
        <v>1</v>
      </c>
      <c r="R231" s="110" t="str">
        <f t="shared" si="9"/>
        <v>3</v>
      </c>
      <c r="S231" s="110" t="str">
        <f t="shared" si="10"/>
        <v>3</v>
      </c>
    </row>
    <row r="232" spans="2:19" s="57" customFormat="1" x14ac:dyDescent="0.2">
      <c r="B232" s="57" t="s">
        <v>2594</v>
      </c>
      <c r="C232" s="57" t="s">
        <v>2886</v>
      </c>
      <c r="D232" s="55" t="str">
        <f>VLOOKUP(VLOOKUP(Q232&amp;"_"&amp;R232,活动关卡!$A$4:$Z$27,2+5*S232,FALSE),'⚪设计'!$B$85:$H$114,2,FALSE)</f>
        <v>ResUnit_ZhiZhu1</v>
      </c>
      <c r="E232" s="55">
        <f>VLOOKUP(VLOOKUP(Q232&amp;"_"&amp;R232,活动关卡!$A$4:$Z$27,2+5*S232,FALSE),'⚪设计'!$B$85:$H$114,6,FALSE)*VLOOKUP(Q232&amp;"_"&amp;R232,活动关卡!$A$4:$Z$27,5,FALSE)</f>
        <v>4.5</v>
      </c>
      <c r="F232">
        <v>400</v>
      </c>
      <c r="G232" t="b">
        <v>1</v>
      </c>
      <c r="H232">
        <v>1</v>
      </c>
      <c r="I232">
        <v>1</v>
      </c>
      <c r="J232">
        <v>0.25</v>
      </c>
      <c r="K232" s="55">
        <f>VLOOKUP(VLOOKUP(Q232&amp;"_"&amp;R232,活动关卡!$A$4:$Z$27,2+5*S232,FALSE),'⚪设计'!$B$85:$H$114,7,FALSE)</f>
        <v>1</v>
      </c>
      <c r="L232" s="57" t="s">
        <v>2302</v>
      </c>
      <c r="M232" t="s">
        <v>468</v>
      </c>
      <c r="N232" t="s">
        <v>469</v>
      </c>
      <c r="O232" t="s">
        <v>470</v>
      </c>
      <c r="P232" s="57" t="str">
        <f>IF(VLOOKUP(D232,'⚪设计'!$C$85:$I$113,7,FALSE)="","",VLOOKUP(D232,'⚪设计'!$C$85:$I$113,7,FALSE)&amp;",NormalAttack")</f>
        <v/>
      </c>
      <c r="Q232" s="110" t="str">
        <f t="shared" si="8"/>
        <v>2</v>
      </c>
      <c r="R232" s="110" t="str">
        <f t="shared" si="9"/>
        <v>1</v>
      </c>
      <c r="S232" s="110" t="str">
        <f t="shared" si="10"/>
        <v>1</v>
      </c>
    </row>
    <row r="233" spans="2:19" s="57" customFormat="1" x14ac:dyDescent="0.2">
      <c r="B233" s="57" t="s">
        <v>2595</v>
      </c>
      <c r="C233" s="57" t="s">
        <v>2887</v>
      </c>
      <c r="D233" s="55" t="str">
        <f>VLOOKUP(VLOOKUP(Q233&amp;"_"&amp;R233,活动关卡!$A$4:$Z$27,2+5*S233,FALSE),'⚪设计'!$B$85:$H$114,2,FALSE)</f>
        <v>ResUnit_Niao1</v>
      </c>
      <c r="E233" s="55">
        <f>VLOOKUP(VLOOKUP(Q233&amp;"_"&amp;R233,活动关卡!$A$4:$Z$27,2+5*S233,FALSE),'⚪设计'!$B$85:$H$114,6,FALSE)*VLOOKUP(Q233&amp;"_"&amp;R233,活动关卡!$A$4:$Z$27,5,FALSE)</f>
        <v>3</v>
      </c>
      <c r="F233">
        <v>400</v>
      </c>
      <c r="G233" t="b">
        <v>1</v>
      </c>
      <c r="H233">
        <v>1</v>
      </c>
      <c r="I233">
        <v>1</v>
      </c>
      <c r="J233">
        <v>0.25</v>
      </c>
      <c r="K233" s="55">
        <f>VLOOKUP(VLOOKUP(Q233&amp;"_"&amp;R233,活动关卡!$A$4:$Z$27,2+5*S233,FALSE),'⚪设计'!$B$85:$H$114,7,FALSE)</f>
        <v>1</v>
      </c>
      <c r="L233" s="57" t="s">
        <v>2303</v>
      </c>
      <c r="M233" t="s">
        <v>468</v>
      </c>
      <c r="N233" t="s">
        <v>469</v>
      </c>
      <c r="O233" t="s">
        <v>470</v>
      </c>
      <c r="P233" s="57" t="str">
        <f>IF(VLOOKUP(D233,'⚪设计'!$C$85:$I$113,7,FALSE)="","",VLOOKUP(D233,'⚪设计'!$C$85:$I$113,7,FALSE)&amp;",NormalAttack")</f>
        <v/>
      </c>
      <c r="Q233" s="110" t="str">
        <f t="shared" si="8"/>
        <v>2</v>
      </c>
      <c r="R233" s="110" t="str">
        <f t="shared" si="9"/>
        <v>1</v>
      </c>
      <c r="S233" s="110" t="str">
        <f t="shared" si="10"/>
        <v>2</v>
      </c>
    </row>
    <row r="234" spans="2:19" s="57" customFormat="1" x14ac:dyDescent="0.2">
      <c r="B234" s="57" t="s">
        <v>2596</v>
      </c>
      <c r="C234" s="57" t="s">
        <v>2888</v>
      </c>
      <c r="D234" s="55" t="str">
        <f>VLOOKUP(VLOOKUP(Q234&amp;"_"&amp;R234,活动关卡!$A$4:$Z$27,2+5*S234,FALSE),'⚪设计'!$B$85:$H$114,2,FALSE)</f>
        <v>ResUnit_ZhiZhu1</v>
      </c>
      <c r="E234" s="55">
        <f>VLOOKUP(VLOOKUP(Q234&amp;"_"&amp;R234,活动关卡!$A$4:$Z$27,2+5*S234,FALSE),'⚪设计'!$B$85:$H$114,6,FALSE)*VLOOKUP(Q234&amp;"_"&amp;R234,活动关卡!$A$4:$Z$27,5,FALSE)</f>
        <v>4.5</v>
      </c>
      <c r="F234">
        <v>400</v>
      </c>
      <c r="G234" t="b">
        <v>1</v>
      </c>
      <c r="H234">
        <v>1</v>
      </c>
      <c r="I234">
        <v>1</v>
      </c>
      <c r="J234">
        <v>0.25</v>
      </c>
      <c r="K234" s="55">
        <f>VLOOKUP(VLOOKUP(Q234&amp;"_"&amp;R234,活动关卡!$A$4:$Z$27,2+5*S234,FALSE),'⚪设计'!$B$85:$H$114,7,FALSE)</f>
        <v>1</v>
      </c>
      <c r="L234" s="57" t="s">
        <v>2304</v>
      </c>
      <c r="M234" t="s">
        <v>468</v>
      </c>
      <c r="N234" t="s">
        <v>469</v>
      </c>
      <c r="O234" t="s">
        <v>470</v>
      </c>
      <c r="P234" s="57" t="str">
        <f>IF(VLOOKUP(D234,'⚪设计'!$C$85:$I$113,7,FALSE)="","",VLOOKUP(D234,'⚪设计'!$C$85:$I$113,7,FALSE)&amp;",NormalAttack")</f>
        <v/>
      </c>
      <c r="Q234" s="110" t="str">
        <f t="shared" si="8"/>
        <v>2</v>
      </c>
      <c r="R234" s="110" t="str">
        <f t="shared" si="9"/>
        <v>2</v>
      </c>
      <c r="S234" s="110" t="str">
        <f t="shared" si="10"/>
        <v>1</v>
      </c>
    </row>
    <row r="235" spans="2:19" s="57" customFormat="1" x14ac:dyDescent="0.2">
      <c r="B235" s="57" t="s">
        <v>2597</v>
      </c>
      <c r="C235" s="57" t="s">
        <v>2889</v>
      </c>
      <c r="D235" s="55" t="str">
        <f>VLOOKUP(VLOOKUP(Q235&amp;"_"&amp;R235,活动关卡!$A$4:$Z$27,2+5*S235,FALSE),'⚪设计'!$B$85:$H$114,2,FALSE)</f>
        <v>ResUnit_MiFeng2</v>
      </c>
      <c r="E235" s="55">
        <f>VLOOKUP(VLOOKUP(Q235&amp;"_"&amp;R235,活动关卡!$A$4:$Z$27,2+5*S235,FALSE),'⚪设计'!$B$85:$H$114,6,FALSE)*VLOOKUP(Q235&amp;"_"&amp;R235,活动关卡!$A$4:$Z$27,5,FALSE)</f>
        <v>3</v>
      </c>
      <c r="F235">
        <v>400</v>
      </c>
      <c r="G235" t="b">
        <v>1</v>
      </c>
      <c r="H235">
        <v>1</v>
      </c>
      <c r="I235">
        <v>1</v>
      </c>
      <c r="J235">
        <v>0.25</v>
      </c>
      <c r="K235" s="55">
        <f>VLOOKUP(VLOOKUP(Q235&amp;"_"&amp;R235,活动关卡!$A$4:$Z$27,2+5*S235,FALSE),'⚪设计'!$B$85:$H$114,7,FALSE)</f>
        <v>0.8</v>
      </c>
      <c r="L235" s="57" t="s">
        <v>2305</v>
      </c>
      <c r="M235" t="s">
        <v>468</v>
      </c>
      <c r="N235" t="s">
        <v>469</v>
      </c>
      <c r="O235" t="s">
        <v>470</v>
      </c>
      <c r="P235" s="57" t="str">
        <f>IF(VLOOKUP(D235,'⚪设计'!$C$85:$I$113,7,FALSE)="","",VLOOKUP(D235,'⚪设计'!$C$85:$I$113,7,FALSE)&amp;",NormalAttack")</f>
        <v/>
      </c>
      <c r="Q235" s="110" t="str">
        <f t="shared" si="8"/>
        <v>2</v>
      </c>
      <c r="R235" s="110" t="str">
        <f t="shared" si="9"/>
        <v>2</v>
      </c>
      <c r="S235" s="110" t="str">
        <f t="shared" si="10"/>
        <v>2</v>
      </c>
    </row>
    <row r="236" spans="2:19" s="57" customFormat="1" x14ac:dyDescent="0.2">
      <c r="B236" s="57" t="s">
        <v>2598</v>
      </c>
      <c r="C236" s="57" t="s">
        <v>2890</v>
      </c>
      <c r="D236" s="55" t="str">
        <f>VLOOKUP(VLOOKUP(Q236&amp;"_"&amp;R236,活动关卡!$A$4:$Z$27,2+5*S236,FALSE),'⚪设计'!$B$85:$H$114,2,FALSE)</f>
        <v>ResUnit_Niao1</v>
      </c>
      <c r="E236" s="55">
        <f>VLOOKUP(VLOOKUP(Q236&amp;"_"&amp;R236,活动关卡!$A$4:$Z$27,2+5*S236,FALSE),'⚪设计'!$B$85:$H$114,6,FALSE)*VLOOKUP(Q236&amp;"_"&amp;R236,活动关卡!$A$4:$Z$27,5,FALSE)</f>
        <v>3</v>
      </c>
      <c r="F236">
        <v>400</v>
      </c>
      <c r="G236" t="b">
        <v>1</v>
      </c>
      <c r="H236">
        <v>1</v>
      </c>
      <c r="I236">
        <v>1</v>
      </c>
      <c r="J236">
        <v>0.25</v>
      </c>
      <c r="K236" s="55">
        <f>VLOOKUP(VLOOKUP(Q236&amp;"_"&amp;R236,活动关卡!$A$4:$Z$27,2+5*S236,FALSE),'⚪设计'!$B$85:$H$114,7,FALSE)</f>
        <v>1</v>
      </c>
      <c r="L236" s="57" t="s">
        <v>2306</v>
      </c>
      <c r="M236" t="s">
        <v>468</v>
      </c>
      <c r="N236" t="s">
        <v>469</v>
      </c>
      <c r="O236" t="s">
        <v>470</v>
      </c>
      <c r="P236" s="57" t="str">
        <f>IF(VLOOKUP(D236,'⚪设计'!$C$85:$I$113,7,FALSE)="","",VLOOKUP(D236,'⚪设计'!$C$85:$I$113,7,FALSE)&amp;",NormalAttack")</f>
        <v/>
      </c>
      <c r="Q236" s="110" t="str">
        <f t="shared" si="8"/>
        <v>2</v>
      </c>
      <c r="R236" s="110" t="str">
        <f t="shared" si="9"/>
        <v>2</v>
      </c>
      <c r="S236" s="110" t="str">
        <f t="shared" si="10"/>
        <v>3</v>
      </c>
    </row>
    <row r="237" spans="2:19" s="57" customFormat="1" x14ac:dyDescent="0.2">
      <c r="B237" s="57" t="s">
        <v>2599</v>
      </c>
      <c r="C237" s="57" t="s">
        <v>2891</v>
      </c>
      <c r="D237" s="55" t="str">
        <f>VLOOKUP(VLOOKUP(Q237&amp;"_"&amp;R237,活动关卡!$A$4:$Z$27,2+5*S237,FALSE),'⚪设计'!$B$85:$H$114,2,FALSE)</f>
        <v>ResUnit_ZhiZhu1</v>
      </c>
      <c r="E237" s="55">
        <f>VLOOKUP(VLOOKUP(Q237&amp;"_"&amp;R237,活动关卡!$A$4:$Z$27,2+5*S237,FALSE),'⚪设计'!$B$85:$H$114,6,FALSE)*VLOOKUP(Q237&amp;"_"&amp;R237,活动关卡!$A$4:$Z$27,5,FALSE)</f>
        <v>4.5</v>
      </c>
      <c r="F237">
        <v>400</v>
      </c>
      <c r="G237" t="b">
        <v>1</v>
      </c>
      <c r="H237">
        <v>1</v>
      </c>
      <c r="I237">
        <v>1</v>
      </c>
      <c r="J237">
        <v>0.25</v>
      </c>
      <c r="K237" s="55">
        <f>VLOOKUP(VLOOKUP(Q237&amp;"_"&amp;R237,活动关卡!$A$4:$Z$27,2+5*S237,FALSE),'⚪设计'!$B$85:$H$114,7,FALSE)</f>
        <v>1</v>
      </c>
      <c r="L237" s="57" t="s">
        <v>2307</v>
      </c>
      <c r="M237" t="s">
        <v>468</v>
      </c>
      <c r="N237" t="s">
        <v>469</v>
      </c>
      <c r="O237" t="s">
        <v>470</v>
      </c>
      <c r="P237" s="57" t="str">
        <f>IF(VLOOKUP(D237,'⚪设计'!$C$85:$I$113,7,FALSE)="","",VLOOKUP(D237,'⚪设计'!$C$85:$I$113,7,FALSE)&amp;",NormalAttack")</f>
        <v/>
      </c>
      <c r="Q237" s="110" t="str">
        <f t="shared" si="8"/>
        <v>2</v>
      </c>
      <c r="R237" s="110" t="str">
        <f t="shared" si="9"/>
        <v>3</v>
      </c>
      <c r="S237" s="110" t="str">
        <f t="shared" si="10"/>
        <v>1</v>
      </c>
    </row>
    <row r="238" spans="2:19" s="57" customFormat="1" x14ac:dyDescent="0.2">
      <c r="B238" s="57" t="s">
        <v>2600</v>
      </c>
      <c r="C238" s="57" t="s">
        <v>2892</v>
      </c>
      <c r="D238" s="55" t="str">
        <f>VLOOKUP(VLOOKUP(Q238&amp;"_"&amp;R238,活动关卡!$A$4:$Z$27,2+5*S238,FALSE),'⚪设计'!$B$85:$H$114,2,FALSE)</f>
        <v>ResUnit_BianFu1</v>
      </c>
      <c r="E238" s="55">
        <f>VLOOKUP(VLOOKUP(Q238&amp;"_"&amp;R238,活动关卡!$A$4:$Z$27,2+5*S238,FALSE),'⚪设计'!$B$85:$H$114,6,FALSE)*VLOOKUP(Q238&amp;"_"&amp;R238,活动关卡!$A$4:$Z$27,5,FALSE)</f>
        <v>3</v>
      </c>
      <c r="F238">
        <v>400</v>
      </c>
      <c r="G238" t="b">
        <v>1</v>
      </c>
      <c r="H238">
        <v>1</v>
      </c>
      <c r="I238">
        <v>1</v>
      </c>
      <c r="J238">
        <v>0.25</v>
      </c>
      <c r="K238" s="55">
        <f>VLOOKUP(VLOOKUP(Q238&amp;"_"&amp;R238,活动关卡!$A$4:$Z$27,2+5*S238,FALSE),'⚪设计'!$B$85:$H$114,7,FALSE)</f>
        <v>0.5</v>
      </c>
      <c r="L238" s="57" t="s">
        <v>2308</v>
      </c>
      <c r="M238" t="s">
        <v>468</v>
      </c>
      <c r="N238" t="s">
        <v>469</v>
      </c>
      <c r="O238" t="s">
        <v>470</v>
      </c>
      <c r="P238" s="57" t="str">
        <f>IF(VLOOKUP(D238,'⚪设计'!$C$85:$I$113,7,FALSE)="","",VLOOKUP(D238,'⚪设计'!$C$85:$I$113,7,FALSE)&amp;",NormalAttack")</f>
        <v/>
      </c>
      <c r="Q238" s="110" t="str">
        <f t="shared" si="8"/>
        <v>2</v>
      </c>
      <c r="R238" s="110" t="str">
        <f t="shared" si="9"/>
        <v>3</v>
      </c>
      <c r="S238" s="110" t="str">
        <f t="shared" si="10"/>
        <v>2</v>
      </c>
    </row>
    <row r="239" spans="2:19" s="57" customFormat="1" x14ac:dyDescent="0.2">
      <c r="B239" s="57" t="s">
        <v>2601</v>
      </c>
      <c r="C239" s="57" t="s">
        <v>2893</v>
      </c>
      <c r="D239" s="55" t="str">
        <f>VLOOKUP(VLOOKUP(Q239&amp;"_"&amp;R239,活动关卡!$A$4:$Z$27,2+5*S239,FALSE),'⚪设计'!$B$85:$H$114,2,FALSE)</f>
        <v>ResUnit_Niao1</v>
      </c>
      <c r="E239" s="55">
        <f>VLOOKUP(VLOOKUP(Q239&amp;"_"&amp;R239,活动关卡!$A$4:$Z$27,2+5*S239,FALSE),'⚪设计'!$B$85:$H$114,6,FALSE)*VLOOKUP(Q239&amp;"_"&amp;R239,活动关卡!$A$4:$Z$27,5,FALSE)</f>
        <v>3</v>
      </c>
      <c r="F239">
        <v>400</v>
      </c>
      <c r="G239" t="b">
        <v>1</v>
      </c>
      <c r="H239">
        <v>1</v>
      </c>
      <c r="I239">
        <v>1</v>
      </c>
      <c r="J239">
        <v>0.25</v>
      </c>
      <c r="K239" s="55">
        <f>VLOOKUP(VLOOKUP(Q239&amp;"_"&amp;R239,活动关卡!$A$4:$Z$27,2+5*S239,FALSE),'⚪设计'!$B$85:$H$114,7,FALSE)</f>
        <v>1</v>
      </c>
      <c r="L239" s="57" t="s">
        <v>2309</v>
      </c>
      <c r="M239" t="s">
        <v>468</v>
      </c>
      <c r="N239" t="s">
        <v>469</v>
      </c>
      <c r="O239" t="s">
        <v>470</v>
      </c>
      <c r="P239" s="57" t="str">
        <f>IF(VLOOKUP(D239,'⚪设计'!$C$85:$I$113,7,FALSE)="","",VLOOKUP(D239,'⚪设计'!$C$85:$I$113,7,FALSE)&amp;",NormalAttack")</f>
        <v/>
      </c>
      <c r="Q239" s="110" t="str">
        <f t="shared" si="8"/>
        <v>2</v>
      </c>
      <c r="R239" s="110" t="str">
        <f t="shared" si="9"/>
        <v>3</v>
      </c>
      <c r="S239" s="110" t="str">
        <f t="shared" si="10"/>
        <v>3</v>
      </c>
    </row>
    <row r="240" spans="2:19" s="57" customFormat="1" x14ac:dyDescent="0.2">
      <c r="B240" s="57" t="s">
        <v>2602</v>
      </c>
      <c r="C240" s="57" t="s">
        <v>2894</v>
      </c>
      <c r="D240" s="55" t="str">
        <f>VLOOKUP(VLOOKUP(Q240&amp;"_"&amp;R240,活动关卡!$A$4:$Z$27,2+5*S240,FALSE),'⚪设计'!$B$85:$H$114,2,FALSE)</f>
        <v>ResUnit_ZhiZhu1</v>
      </c>
      <c r="E240" s="55">
        <f>VLOOKUP(VLOOKUP(Q240&amp;"_"&amp;R240,活动关卡!$A$4:$Z$27,2+5*S240,FALSE),'⚪设计'!$B$85:$H$114,6,FALSE)*VLOOKUP(Q240&amp;"_"&amp;R240,活动关卡!$A$4:$Z$27,5,FALSE)</f>
        <v>4.5</v>
      </c>
      <c r="F240">
        <v>400</v>
      </c>
      <c r="G240" t="b">
        <v>1</v>
      </c>
      <c r="H240">
        <v>1</v>
      </c>
      <c r="I240">
        <v>1</v>
      </c>
      <c r="J240">
        <v>0.25</v>
      </c>
      <c r="K240" s="55">
        <f>VLOOKUP(VLOOKUP(Q240&amp;"_"&amp;R240,活动关卡!$A$4:$Z$27,2+5*S240,FALSE),'⚪设计'!$B$85:$H$114,7,FALSE)</f>
        <v>1</v>
      </c>
      <c r="L240" s="57" t="s">
        <v>2310</v>
      </c>
      <c r="M240" t="s">
        <v>468</v>
      </c>
      <c r="N240" t="s">
        <v>469</v>
      </c>
      <c r="O240" t="s">
        <v>470</v>
      </c>
      <c r="P240" s="57" t="str">
        <f>IF(VLOOKUP(D240,'⚪设计'!$C$85:$I$113,7,FALSE)="","",VLOOKUP(D240,'⚪设计'!$C$85:$I$113,7,FALSE)&amp;",NormalAttack")</f>
        <v/>
      </c>
      <c r="Q240" s="110" t="str">
        <f t="shared" si="8"/>
        <v>2</v>
      </c>
      <c r="R240" s="110" t="str">
        <f t="shared" si="9"/>
        <v>4</v>
      </c>
      <c r="S240" s="110" t="str">
        <f t="shared" si="10"/>
        <v>1</v>
      </c>
    </row>
    <row r="241" spans="2:19" s="57" customFormat="1" x14ac:dyDescent="0.2">
      <c r="B241" s="57" t="s">
        <v>2603</v>
      </c>
      <c r="C241" s="57" t="s">
        <v>2895</v>
      </c>
      <c r="D241" s="55" t="str">
        <f>VLOOKUP(VLOOKUP(Q241&amp;"_"&amp;R241,活动关卡!$A$4:$Z$27,2+5*S241,FALSE),'⚪设计'!$B$85:$H$114,2,FALSE)</f>
        <v>ResUnit_BianFu1</v>
      </c>
      <c r="E241" s="55">
        <f>VLOOKUP(VLOOKUP(Q241&amp;"_"&amp;R241,活动关卡!$A$4:$Z$27,2+5*S241,FALSE),'⚪设计'!$B$85:$H$114,6,FALSE)*VLOOKUP(Q241&amp;"_"&amp;R241,活动关卡!$A$4:$Z$27,5,FALSE)</f>
        <v>3</v>
      </c>
      <c r="F241">
        <v>400</v>
      </c>
      <c r="G241" t="b">
        <v>1</v>
      </c>
      <c r="H241">
        <v>1</v>
      </c>
      <c r="I241">
        <v>1</v>
      </c>
      <c r="J241">
        <v>0.25</v>
      </c>
      <c r="K241" s="55">
        <f>VLOOKUP(VLOOKUP(Q241&amp;"_"&amp;R241,活动关卡!$A$4:$Z$27,2+5*S241,FALSE),'⚪设计'!$B$85:$H$114,7,FALSE)</f>
        <v>0.5</v>
      </c>
      <c r="L241" s="57" t="s">
        <v>2311</v>
      </c>
      <c r="M241" t="s">
        <v>468</v>
      </c>
      <c r="N241" t="s">
        <v>469</v>
      </c>
      <c r="O241" t="s">
        <v>470</v>
      </c>
      <c r="P241" s="57" t="str">
        <f>IF(VLOOKUP(D241,'⚪设计'!$C$85:$I$113,7,FALSE)="","",VLOOKUP(D241,'⚪设计'!$C$85:$I$113,7,FALSE)&amp;",NormalAttack")</f>
        <v/>
      </c>
      <c r="Q241" s="110" t="str">
        <f t="shared" si="8"/>
        <v>2</v>
      </c>
      <c r="R241" s="110" t="str">
        <f t="shared" si="9"/>
        <v>4</v>
      </c>
      <c r="S241" s="110" t="str">
        <f t="shared" si="10"/>
        <v>2</v>
      </c>
    </row>
    <row r="242" spans="2:19" s="57" customFormat="1" x14ac:dyDescent="0.2">
      <c r="B242" s="57" t="s">
        <v>2604</v>
      </c>
      <c r="C242" s="57" t="s">
        <v>2896</v>
      </c>
      <c r="D242" s="55" t="str">
        <f>VLOOKUP(VLOOKUP(Q242&amp;"_"&amp;R242,活动关卡!$A$4:$Z$27,2+5*S242,FALSE),'⚪设计'!$B$85:$H$114,2,FALSE)</f>
        <v>ResUnit_MiFeng2</v>
      </c>
      <c r="E242" s="55">
        <f>VLOOKUP(VLOOKUP(Q242&amp;"_"&amp;R242,活动关卡!$A$4:$Z$27,2+5*S242,FALSE),'⚪设计'!$B$85:$H$114,6,FALSE)*VLOOKUP(Q242&amp;"_"&amp;R242,活动关卡!$A$4:$Z$27,5,FALSE)</f>
        <v>3</v>
      </c>
      <c r="F242">
        <v>400</v>
      </c>
      <c r="G242" t="b">
        <v>1</v>
      </c>
      <c r="H242">
        <v>1</v>
      </c>
      <c r="I242">
        <v>1</v>
      </c>
      <c r="J242">
        <v>0.25</v>
      </c>
      <c r="K242" s="55">
        <f>VLOOKUP(VLOOKUP(Q242&amp;"_"&amp;R242,活动关卡!$A$4:$Z$27,2+5*S242,FALSE),'⚪设计'!$B$85:$H$114,7,FALSE)</f>
        <v>0.8</v>
      </c>
      <c r="L242" s="57" t="s">
        <v>2312</v>
      </c>
      <c r="M242" t="s">
        <v>468</v>
      </c>
      <c r="N242" t="s">
        <v>469</v>
      </c>
      <c r="O242" t="s">
        <v>470</v>
      </c>
      <c r="P242" s="57" t="str">
        <f>IF(VLOOKUP(D242,'⚪设计'!$C$85:$I$113,7,FALSE)="","",VLOOKUP(D242,'⚪设计'!$C$85:$I$113,7,FALSE)&amp;",NormalAttack")</f>
        <v/>
      </c>
      <c r="Q242" s="110" t="str">
        <f t="shared" si="8"/>
        <v>2</v>
      </c>
      <c r="R242" s="110" t="str">
        <f t="shared" si="9"/>
        <v>4</v>
      </c>
      <c r="S242" s="110" t="str">
        <f t="shared" si="10"/>
        <v>3</v>
      </c>
    </row>
    <row r="243" spans="2:19" x14ac:dyDescent="0.2">
      <c r="B243" s="57" t="s">
        <v>2605</v>
      </c>
      <c r="C243" s="57" t="s">
        <v>2897</v>
      </c>
      <c r="D243" s="55" t="str">
        <f>VLOOKUP(VLOOKUP(Q243&amp;"_"&amp;R243,活动关卡!$A$4:$Z$27,2+5*S243,FALSE),'⚪设计'!$B$85:$H$114,2,FALSE)</f>
        <v>ResUnit_Niao1</v>
      </c>
      <c r="E243" s="55">
        <f>VLOOKUP(VLOOKUP(Q243&amp;"_"&amp;R243,活动关卡!$A$4:$Z$27,2+5*S243,FALSE),'⚪设计'!$B$85:$H$114,6,FALSE)*VLOOKUP(Q243&amp;"_"&amp;R243,活动关卡!$A$4:$Z$27,5,FALSE)</f>
        <v>3</v>
      </c>
      <c r="F243">
        <v>400</v>
      </c>
      <c r="G243" t="b">
        <v>1</v>
      </c>
      <c r="H243">
        <v>1</v>
      </c>
      <c r="I243">
        <v>1</v>
      </c>
      <c r="J243">
        <v>0.25</v>
      </c>
      <c r="K243" s="55">
        <f>VLOOKUP(VLOOKUP(Q243&amp;"_"&amp;R243,活动关卡!$A$4:$Z$27,2+5*S243,FALSE),'⚪设计'!$B$85:$H$114,7,FALSE)</f>
        <v>1</v>
      </c>
      <c r="L243" s="57" t="s">
        <v>2313</v>
      </c>
      <c r="M243" t="s">
        <v>468</v>
      </c>
      <c r="N243" t="s">
        <v>469</v>
      </c>
      <c r="O243" t="s">
        <v>470</v>
      </c>
      <c r="P243" s="57" t="str">
        <f>IF(VLOOKUP(D243,'⚪设计'!$C$85:$I$113,7,FALSE)="","",VLOOKUP(D243,'⚪设计'!$C$85:$I$113,7,FALSE)&amp;",NormalAttack")</f>
        <v/>
      </c>
      <c r="Q243" s="110" t="str">
        <f t="shared" si="8"/>
        <v>2</v>
      </c>
      <c r="R243" s="110" t="str">
        <f t="shared" si="9"/>
        <v>4</v>
      </c>
      <c r="S243" s="110" t="str">
        <f t="shared" si="10"/>
        <v>4</v>
      </c>
    </row>
    <row r="244" spans="2:19" x14ac:dyDescent="0.2">
      <c r="B244" s="57" t="s">
        <v>2606</v>
      </c>
      <c r="C244" s="57" t="s">
        <v>2898</v>
      </c>
      <c r="D244" s="55" t="str">
        <f>VLOOKUP(VLOOKUP(Q244&amp;"_"&amp;R244,活动关卡!$A$4:$Z$27,2+5*S244,FALSE),'⚪设计'!$B$85:$H$114,2,FALSE)</f>
        <v>ResUnit_ZhiZhu1</v>
      </c>
      <c r="E244" s="55">
        <f>VLOOKUP(VLOOKUP(Q244&amp;"_"&amp;R244,活动关卡!$A$4:$Z$27,2+5*S244,FALSE),'⚪设计'!$B$85:$H$114,6,FALSE)*VLOOKUP(Q244&amp;"_"&amp;R244,活动关卡!$A$4:$Z$27,5,FALSE)</f>
        <v>4.5</v>
      </c>
      <c r="F244">
        <v>400</v>
      </c>
      <c r="G244" t="b">
        <v>1</v>
      </c>
      <c r="H244">
        <v>1</v>
      </c>
      <c r="I244">
        <v>1</v>
      </c>
      <c r="J244">
        <v>0.25</v>
      </c>
      <c r="K244" s="55">
        <f>VLOOKUP(VLOOKUP(Q244&amp;"_"&amp;R244,活动关卡!$A$4:$Z$27,2+5*S244,FALSE),'⚪设计'!$B$85:$H$114,7,FALSE)</f>
        <v>1</v>
      </c>
      <c r="L244" s="57" t="s">
        <v>2314</v>
      </c>
      <c r="M244" t="s">
        <v>468</v>
      </c>
      <c r="N244" t="s">
        <v>469</v>
      </c>
      <c r="O244" t="s">
        <v>470</v>
      </c>
      <c r="P244" s="57" t="str">
        <f>IF(VLOOKUP(D244,'⚪设计'!$C$85:$I$113,7,FALSE)="","",VLOOKUP(D244,'⚪设计'!$C$85:$I$113,7,FALSE)&amp;",NormalAttack")</f>
        <v/>
      </c>
      <c r="Q244" s="110" t="str">
        <f t="shared" si="8"/>
        <v>2</v>
      </c>
      <c r="R244" s="110" t="str">
        <f t="shared" si="9"/>
        <v>5</v>
      </c>
      <c r="S244" s="110" t="str">
        <f t="shared" si="10"/>
        <v>1</v>
      </c>
    </row>
    <row r="245" spans="2:19" x14ac:dyDescent="0.2">
      <c r="B245" s="57" t="s">
        <v>2607</v>
      </c>
      <c r="C245" s="57" t="s">
        <v>2899</v>
      </c>
      <c r="D245" s="55" t="str">
        <f>VLOOKUP(VLOOKUP(Q245&amp;"_"&amp;R245,活动关卡!$A$4:$Z$27,2+5*S245,FALSE),'⚪设计'!$B$85:$H$114,2,FALSE)</f>
        <v>ResUnit_BianFu1</v>
      </c>
      <c r="E245" s="55">
        <f>VLOOKUP(VLOOKUP(Q245&amp;"_"&amp;R245,活动关卡!$A$4:$Z$27,2+5*S245,FALSE),'⚪设计'!$B$85:$H$114,6,FALSE)*VLOOKUP(Q245&amp;"_"&amp;R245,活动关卡!$A$4:$Z$27,5,FALSE)</f>
        <v>3</v>
      </c>
      <c r="F245">
        <v>400</v>
      </c>
      <c r="G245" t="b">
        <v>1</v>
      </c>
      <c r="H245">
        <v>1</v>
      </c>
      <c r="I245">
        <v>1</v>
      </c>
      <c r="J245">
        <v>0.25</v>
      </c>
      <c r="K245" s="55">
        <f>VLOOKUP(VLOOKUP(Q245&amp;"_"&amp;R245,活动关卡!$A$4:$Z$27,2+5*S245,FALSE),'⚪设计'!$B$85:$H$114,7,FALSE)</f>
        <v>0.5</v>
      </c>
      <c r="L245" s="57" t="s">
        <v>2315</v>
      </c>
      <c r="M245" t="s">
        <v>468</v>
      </c>
      <c r="N245" t="s">
        <v>469</v>
      </c>
      <c r="O245" t="s">
        <v>470</v>
      </c>
      <c r="P245" s="57" t="str">
        <f>IF(VLOOKUP(D245,'⚪设计'!$C$85:$I$113,7,FALSE)="","",VLOOKUP(D245,'⚪设计'!$C$85:$I$113,7,FALSE)&amp;",NormalAttack")</f>
        <v/>
      </c>
      <c r="Q245" s="110" t="str">
        <f t="shared" si="8"/>
        <v>2</v>
      </c>
      <c r="R245" s="110" t="str">
        <f t="shared" si="9"/>
        <v>5</v>
      </c>
      <c r="S245" s="110" t="str">
        <f t="shared" si="10"/>
        <v>2</v>
      </c>
    </row>
    <row r="246" spans="2:19" x14ac:dyDescent="0.2">
      <c r="B246" s="57" t="s">
        <v>2608</v>
      </c>
      <c r="C246" s="57" t="s">
        <v>2900</v>
      </c>
      <c r="D246" s="55" t="str">
        <f>VLOOKUP(VLOOKUP(Q246&amp;"_"&amp;R246,活动关卡!$A$4:$Z$27,2+5*S246,FALSE),'⚪设计'!$B$85:$H$114,2,FALSE)</f>
        <v>ResUnit_MiFeng2</v>
      </c>
      <c r="E246" s="55">
        <f>VLOOKUP(VLOOKUP(Q246&amp;"_"&amp;R246,活动关卡!$A$4:$Z$27,2+5*S246,FALSE),'⚪设计'!$B$85:$H$114,6,FALSE)*VLOOKUP(Q246&amp;"_"&amp;R246,活动关卡!$A$4:$Z$27,5,FALSE)</f>
        <v>3</v>
      </c>
      <c r="F246">
        <v>400</v>
      </c>
      <c r="G246" t="b">
        <v>1</v>
      </c>
      <c r="H246">
        <v>1</v>
      </c>
      <c r="I246">
        <v>1</v>
      </c>
      <c r="J246">
        <v>0.25</v>
      </c>
      <c r="K246" s="55">
        <f>VLOOKUP(VLOOKUP(Q246&amp;"_"&amp;R246,活动关卡!$A$4:$Z$27,2+5*S246,FALSE),'⚪设计'!$B$85:$H$114,7,FALSE)</f>
        <v>0.8</v>
      </c>
      <c r="L246" s="57" t="s">
        <v>2316</v>
      </c>
      <c r="M246" t="s">
        <v>468</v>
      </c>
      <c r="N246" t="s">
        <v>469</v>
      </c>
      <c r="O246" t="s">
        <v>470</v>
      </c>
      <c r="P246" s="57" t="str">
        <f>IF(VLOOKUP(D246,'⚪设计'!$C$85:$I$113,7,FALSE)="","",VLOOKUP(D246,'⚪设计'!$C$85:$I$113,7,FALSE)&amp;",NormalAttack")</f>
        <v/>
      </c>
      <c r="Q246" s="110" t="str">
        <f t="shared" si="8"/>
        <v>2</v>
      </c>
      <c r="R246" s="110" t="str">
        <f t="shared" si="9"/>
        <v>5</v>
      </c>
      <c r="S246" s="110" t="str">
        <f t="shared" si="10"/>
        <v>3</v>
      </c>
    </row>
    <row r="247" spans="2:19" x14ac:dyDescent="0.2">
      <c r="B247" s="57" t="s">
        <v>2609</v>
      </c>
      <c r="C247" s="57" t="s">
        <v>2901</v>
      </c>
      <c r="D247" s="55" t="str">
        <f>VLOOKUP(VLOOKUP(Q247&amp;"_"&amp;R247,活动关卡!$A$4:$Z$27,2+5*S247,FALSE),'⚪设计'!$B$85:$H$114,2,FALSE)</f>
        <v>ResUnit_Niao1</v>
      </c>
      <c r="E247" s="55">
        <f>VLOOKUP(VLOOKUP(Q247&amp;"_"&amp;R247,活动关卡!$A$4:$Z$27,2+5*S247,FALSE),'⚪设计'!$B$85:$H$114,6,FALSE)*VLOOKUP(Q247&amp;"_"&amp;R247,活动关卡!$A$4:$Z$27,5,FALSE)</f>
        <v>3</v>
      </c>
      <c r="F247">
        <v>400</v>
      </c>
      <c r="G247" t="b">
        <v>1</v>
      </c>
      <c r="H247">
        <v>1</v>
      </c>
      <c r="I247">
        <v>1</v>
      </c>
      <c r="J247">
        <v>0.25</v>
      </c>
      <c r="K247" s="55">
        <f>VLOOKUP(VLOOKUP(Q247&amp;"_"&amp;R247,活动关卡!$A$4:$Z$27,2+5*S247,FALSE),'⚪设计'!$B$85:$H$114,7,FALSE)</f>
        <v>1</v>
      </c>
      <c r="L247" s="57" t="s">
        <v>2317</v>
      </c>
      <c r="M247" t="s">
        <v>468</v>
      </c>
      <c r="N247" t="s">
        <v>469</v>
      </c>
      <c r="O247" t="s">
        <v>470</v>
      </c>
      <c r="P247" s="57" t="str">
        <f>IF(VLOOKUP(D247,'⚪设计'!$C$85:$I$113,7,FALSE)="","",VLOOKUP(D247,'⚪设计'!$C$85:$I$113,7,FALSE)&amp;",NormalAttack")</f>
        <v/>
      </c>
      <c r="Q247" s="110" t="str">
        <f t="shared" si="8"/>
        <v>2</v>
      </c>
      <c r="R247" s="110" t="str">
        <f t="shared" si="9"/>
        <v>5</v>
      </c>
      <c r="S247" s="110" t="str">
        <f t="shared" si="10"/>
        <v>4</v>
      </c>
    </row>
    <row r="248" spans="2:19" x14ac:dyDescent="0.2">
      <c r="B248" s="57" t="s">
        <v>2610</v>
      </c>
      <c r="C248" s="57" t="s">
        <v>2902</v>
      </c>
      <c r="D248" s="55" t="str">
        <f>VLOOKUP(VLOOKUP(Q248&amp;"_"&amp;R248,活动关卡!$A$4:$Z$27,2+5*S248,FALSE),'⚪设计'!$B$85:$H$114,2,FALSE)</f>
        <v>ResUnit_ZhongZi1</v>
      </c>
      <c r="E248" s="55">
        <f>VLOOKUP(VLOOKUP(Q248&amp;"_"&amp;R248,活动关卡!$A$4:$Z$27,2+5*S248,FALSE),'⚪设计'!$B$85:$H$114,6,FALSE)*VLOOKUP(Q248&amp;"_"&amp;R248,活动关卡!$A$4:$Z$27,5,FALSE)</f>
        <v>3</v>
      </c>
      <c r="F248">
        <v>400</v>
      </c>
      <c r="G248" t="b">
        <v>1</v>
      </c>
      <c r="H248">
        <v>1</v>
      </c>
      <c r="I248">
        <v>1</v>
      </c>
      <c r="J248">
        <v>0.25</v>
      </c>
      <c r="K248" s="55">
        <f>VLOOKUP(VLOOKUP(Q248&amp;"_"&amp;R248,活动关卡!$A$4:$Z$27,2+5*S248,FALSE),'⚪设计'!$B$85:$H$114,7,FALSE)</f>
        <v>1</v>
      </c>
      <c r="L248" s="57" t="s">
        <v>2318</v>
      </c>
      <c r="M248" t="s">
        <v>468</v>
      </c>
      <c r="N248" t="s">
        <v>469</v>
      </c>
      <c r="O248" t="s">
        <v>470</v>
      </c>
      <c r="P248" s="57" t="str">
        <f>IF(VLOOKUP(D248,'⚪设计'!$C$85:$I$113,7,FALSE)="","",VLOOKUP(D248,'⚪设计'!$C$85:$I$113,7,FALSE)&amp;",NormalAttack")</f>
        <v>Skill_Monster_Heal,NormalAttack</v>
      </c>
      <c r="Q248" s="110" t="str">
        <f t="shared" si="8"/>
        <v>3</v>
      </c>
      <c r="R248" s="110" t="str">
        <f t="shared" si="9"/>
        <v>1</v>
      </c>
      <c r="S248" s="110" t="str">
        <f t="shared" si="10"/>
        <v>1</v>
      </c>
    </row>
    <row r="249" spans="2:19" x14ac:dyDescent="0.2">
      <c r="B249" s="57" t="s">
        <v>2611</v>
      </c>
      <c r="C249" s="57" t="s">
        <v>2903</v>
      </c>
      <c r="D249" s="55" t="str">
        <f>VLOOKUP(VLOOKUP(Q249&amp;"_"&amp;R249,活动关卡!$A$4:$Z$27,2+5*S249,FALSE),'⚪设计'!$B$85:$H$114,2,FALSE)</f>
        <v>ResUnit_Niao2</v>
      </c>
      <c r="E249" s="55">
        <f>VLOOKUP(VLOOKUP(Q249&amp;"_"&amp;R249,活动关卡!$A$4:$Z$27,2+5*S249,FALSE),'⚪设计'!$B$85:$H$114,6,FALSE)*VLOOKUP(Q249&amp;"_"&amp;R249,活动关卡!$A$4:$Z$27,5,FALSE)</f>
        <v>3</v>
      </c>
      <c r="F249">
        <v>400</v>
      </c>
      <c r="G249" t="b">
        <v>1</v>
      </c>
      <c r="H249">
        <v>1</v>
      </c>
      <c r="I249">
        <v>1</v>
      </c>
      <c r="J249">
        <v>0.25</v>
      </c>
      <c r="K249" s="55">
        <f>VLOOKUP(VLOOKUP(Q249&amp;"_"&amp;R249,活动关卡!$A$4:$Z$27,2+5*S249,FALSE),'⚪设计'!$B$85:$H$114,7,FALSE)</f>
        <v>1.2</v>
      </c>
      <c r="L249" s="57" t="s">
        <v>2319</v>
      </c>
      <c r="M249" t="s">
        <v>468</v>
      </c>
      <c r="N249" t="s">
        <v>469</v>
      </c>
      <c r="O249" t="s">
        <v>470</v>
      </c>
      <c r="P249" s="57" t="str">
        <f>IF(VLOOKUP(D249,'⚪设计'!$C$85:$I$113,7,FALSE)="","",VLOOKUP(D249,'⚪设计'!$C$85:$I$113,7,FALSE)&amp;",NormalAttack")</f>
        <v/>
      </c>
      <c r="Q249" s="110" t="str">
        <f t="shared" si="8"/>
        <v>3</v>
      </c>
      <c r="R249" s="110" t="str">
        <f t="shared" si="9"/>
        <v>1</v>
      </c>
      <c r="S249" s="110" t="str">
        <f t="shared" si="10"/>
        <v>2</v>
      </c>
    </row>
    <row r="250" spans="2:19" x14ac:dyDescent="0.2">
      <c r="B250" s="57" t="s">
        <v>2612</v>
      </c>
      <c r="C250" s="57" t="s">
        <v>2904</v>
      </c>
      <c r="D250" s="55" t="str">
        <f>VLOOKUP(VLOOKUP(Q250&amp;"_"&amp;R250,活动关卡!$A$4:$Z$27,2+5*S250,FALSE),'⚪设计'!$B$85:$H$114,2,FALSE)</f>
        <v>ResUnit_ZhongZi1</v>
      </c>
      <c r="E250" s="55">
        <f>VLOOKUP(VLOOKUP(Q250&amp;"_"&amp;R250,活动关卡!$A$4:$Z$27,2+5*S250,FALSE),'⚪设计'!$B$85:$H$114,6,FALSE)*VLOOKUP(Q250&amp;"_"&amp;R250,活动关卡!$A$4:$Z$27,5,FALSE)</f>
        <v>3</v>
      </c>
      <c r="F250">
        <v>400</v>
      </c>
      <c r="G250" t="b">
        <v>1</v>
      </c>
      <c r="H250">
        <v>1</v>
      </c>
      <c r="I250">
        <v>1</v>
      </c>
      <c r="J250">
        <v>0.25</v>
      </c>
      <c r="K250" s="55">
        <f>VLOOKUP(VLOOKUP(Q250&amp;"_"&amp;R250,活动关卡!$A$4:$Z$27,2+5*S250,FALSE),'⚪设计'!$B$85:$H$114,7,FALSE)</f>
        <v>1</v>
      </c>
      <c r="L250" s="57" t="s">
        <v>2320</v>
      </c>
      <c r="M250" t="s">
        <v>468</v>
      </c>
      <c r="N250" t="s">
        <v>469</v>
      </c>
      <c r="O250" t="s">
        <v>470</v>
      </c>
      <c r="P250" s="57" t="str">
        <f>IF(VLOOKUP(D250,'⚪设计'!$C$85:$I$113,7,FALSE)="","",VLOOKUP(D250,'⚪设计'!$C$85:$I$113,7,FALSE)&amp;",NormalAttack")</f>
        <v>Skill_Monster_Heal,NormalAttack</v>
      </c>
      <c r="Q250" s="110" t="str">
        <f t="shared" si="8"/>
        <v>3</v>
      </c>
      <c r="R250" s="110" t="str">
        <f t="shared" si="9"/>
        <v>2</v>
      </c>
      <c r="S250" s="110" t="str">
        <f t="shared" si="10"/>
        <v>1</v>
      </c>
    </row>
    <row r="251" spans="2:19" x14ac:dyDescent="0.2">
      <c r="B251" s="57" t="s">
        <v>2613</v>
      </c>
      <c r="C251" s="57" t="s">
        <v>2905</v>
      </c>
      <c r="D251" s="55" t="str">
        <f>VLOOKUP(VLOOKUP(Q251&amp;"_"&amp;R251,活动关卡!$A$4:$Z$27,2+5*S251,FALSE),'⚪设计'!$B$85:$H$114,2,FALSE)</f>
        <v>ResUnit_MiFeng2</v>
      </c>
      <c r="E251" s="55">
        <f>VLOOKUP(VLOOKUP(Q251&amp;"_"&amp;R251,活动关卡!$A$4:$Z$27,2+5*S251,FALSE),'⚪设计'!$B$85:$H$114,6,FALSE)*VLOOKUP(Q251&amp;"_"&amp;R251,活动关卡!$A$4:$Z$27,5,FALSE)</f>
        <v>3</v>
      </c>
      <c r="F251">
        <v>400</v>
      </c>
      <c r="G251" t="b">
        <v>1</v>
      </c>
      <c r="H251">
        <v>1</v>
      </c>
      <c r="I251">
        <v>1</v>
      </c>
      <c r="J251">
        <v>0.25</v>
      </c>
      <c r="K251" s="55">
        <f>VLOOKUP(VLOOKUP(Q251&amp;"_"&amp;R251,活动关卡!$A$4:$Z$27,2+5*S251,FALSE),'⚪设计'!$B$85:$H$114,7,FALSE)</f>
        <v>0.8</v>
      </c>
      <c r="L251" s="57" t="s">
        <v>2321</v>
      </c>
      <c r="M251" t="s">
        <v>468</v>
      </c>
      <c r="N251" t="s">
        <v>469</v>
      </c>
      <c r="O251" t="s">
        <v>470</v>
      </c>
      <c r="P251" s="57" t="str">
        <f>IF(VLOOKUP(D251,'⚪设计'!$C$85:$I$113,7,FALSE)="","",VLOOKUP(D251,'⚪设计'!$C$85:$I$113,7,FALSE)&amp;",NormalAttack")</f>
        <v/>
      </c>
      <c r="Q251" s="110" t="str">
        <f t="shared" si="8"/>
        <v>3</v>
      </c>
      <c r="R251" s="110" t="str">
        <f t="shared" si="9"/>
        <v>2</v>
      </c>
      <c r="S251" s="110" t="str">
        <f t="shared" si="10"/>
        <v>2</v>
      </c>
    </row>
    <row r="252" spans="2:19" x14ac:dyDescent="0.2">
      <c r="B252" s="57" t="s">
        <v>2614</v>
      </c>
      <c r="C252" s="57" t="s">
        <v>2906</v>
      </c>
      <c r="D252" s="55" t="str">
        <f>VLOOKUP(VLOOKUP(Q252&amp;"_"&amp;R252,活动关卡!$A$4:$Z$27,2+5*S252,FALSE),'⚪设计'!$B$85:$H$114,2,FALSE)</f>
        <v>ResUnit_Niao2</v>
      </c>
      <c r="E252" s="55">
        <f>VLOOKUP(VLOOKUP(Q252&amp;"_"&amp;R252,活动关卡!$A$4:$Z$27,2+5*S252,FALSE),'⚪设计'!$B$85:$H$114,6,FALSE)*VLOOKUP(Q252&amp;"_"&amp;R252,活动关卡!$A$4:$Z$27,5,FALSE)</f>
        <v>3</v>
      </c>
      <c r="F252">
        <v>400</v>
      </c>
      <c r="G252" t="b">
        <v>1</v>
      </c>
      <c r="H252">
        <v>1</v>
      </c>
      <c r="I252">
        <v>1</v>
      </c>
      <c r="J252">
        <v>0.25</v>
      </c>
      <c r="K252" s="55">
        <f>VLOOKUP(VLOOKUP(Q252&amp;"_"&amp;R252,活动关卡!$A$4:$Z$27,2+5*S252,FALSE),'⚪设计'!$B$85:$H$114,7,FALSE)</f>
        <v>1.2</v>
      </c>
      <c r="L252" s="57" t="s">
        <v>2322</v>
      </c>
      <c r="M252" t="s">
        <v>468</v>
      </c>
      <c r="N252" t="s">
        <v>469</v>
      </c>
      <c r="O252" t="s">
        <v>470</v>
      </c>
      <c r="P252" s="57" t="str">
        <f>IF(VLOOKUP(D252,'⚪设计'!$C$85:$I$113,7,FALSE)="","",VLOOKUP(D252,'⚪设计'!$C$85:$I$113,7,FALSE)&amp;",NormalAttack")</f>
        <v/>
      </c>
      <c r="Q252" s="110" t="str">
        <f t="shared" si="8"/>
        <v>3</v>
      </c>
      <c r="R252" s="110" t="str">
        <f t="shared" si="9"/>
        <v>2</v>
      </c>
      <c r="S252" s="110" t="str">
        <f t="shared" si="10"/>
        <v>3</v>
      </c>
    </row>
    <row r="253" spans="2:19" x14ac:dyDescent="0.2">
      <c r="B253" s="57" t="s">
        <v>2615</v>
      </c>
      <c r="C253" s="57" t="s">
        <v>2907</v>
      </c>
      <c r="D253" s="55" t="str">
        <f>VLOOKUP(VLOOKUP(Q253&amp;"_"&amp;R253,活动关卡!$A$4:$Z$27,2+5*S253,FALSE),'⚪设计'!$B$85:$H$114,2,FALSE)</f>
        <v>ResUnit_ZhongZi1</v>
      </c>
      <c r="E253" s="55">
        <f>VLOOKUP(VLOOKUP(Q253&amp;"_"&amp;R253,活动关卡!$A$4:$Z$27,2+5*S253,FALSE),'⚪设计'!$B$85:$H$114,6,FALSE)*VLOOKUP(Q253&amp;"_"&amp;R253,活动关卡!$A$4:$Z$27,5,FALSE)</f>
        <v>3</v>
      </c>
      <c r="F253">
        <v>400</v>
      </c>
      <c r="G253" t="b">
        <v>1</v>
      </c>
      <c r="H253">
        <v>1</v>
      </c>
      <c r="I253">
        <v>1</v>
      </c>
      <c r="J253">
        <v>0.25</v>
      </c>
      <c r="K253" s="55">
        <f>VLOOKUP(VLOOKUP(Q253&amp;"_"&amp;R253,活动关卡!$A$4:$Z$27,2+5*S253,FALSE),'⚪设计'!$B$85:$H$114,7,FALSE)</f>
        <v>1</v>
      </c>
      <c r="L253" s="57" t="s">
        <v>2323</v>
      </c>
      <c r="M253" t="s">
        <v>468</v>
      </c>
      <c r="N253" t="s">
        <v>469</v>
      </c>
      <c r="O253" t="s">
        <v>470</v>
      </c>
      <c r="P253" s="57" t="str">
        <f>IF(VLOOKUP(D253,'⚪设计'!$C$85:$I$113,7,FALSE)="","",VLOOKUP(D253,'⚪设计'!$C$85:$I$113,7,FALSE)&amp;",NormalAttack")</f>
        <v>Skill_Monster_Heal,NormalAttack</v>
      </c>
      <c r="Q253" s="110" t="str">
        <f t="shared" si="8"/>
        <v>3</v>
      </c>
      <c r="R253" s="110" t="str">
        <f t="shared" si="9"/>
        <v>3</v>
      </c>
      <c r="S253" s="110" t="str">
        <f t="shared" si="10"/>
        <v>1</v>
      </c>
    </row>
    <row r="254" spans="2:19" x14ac:dyDescent="0.2">
      <c r="B254" s="57" t="s">
        <v>2616</v>
      </c>
      <c r="C254" s="57" t="s">
        <v>2908</v>
      </c>
      <c r="D254" s="55" t="str">
        <f>VLOOKUP(VLOOKUP(Q254&amp;"_"&amp;R254,活动关卡!$A$4:$Z$27,2+5*S254,FALSE),'⚪设计'!$B$85:$H$114,2,FALSE)</f>
        <v>ResUnit_BianFu1</v>
      </c>
      <c r="E254" s="55">
        <f>VLOOKUP(VLOOKUP(Q254&amp;"_"&amp;R254,活动关卡!$A$4:$Z$27,2+5*S254,FALSE),'⚪设计'!$B$85:$H$114,6,FALSE)*VLOOKUP(Q254&amp;"_"&amp;R254,活动关卡!$A$4:$Z$27,5,FALSE)</f>
        <v>3</v>
      </c>
      <c r="F254">
        <v>400</v>
      </c>
      <c r="G254" t="b">
        <v>1</v>
      </c>
      <c r="H254">
        <v>1</v>
      </c>
      <c r="I254">
        <v>1</v>
      </c>
      <c r="J254">
        <v>0.25</v>
      </c>
      <c r="K254" s="55">
        <f>VLOOKUP(VLOOKUP(Q254&amp;"_"&amp;R254,活动关卡!$A$4:$Z$27,2+5*S254,FALSE),'⚪设计'!$B$85:$H$114,7,FALSE)</f>
        <v>0.5</v>
      </c>
      <c r="L254" s="57" t="s">
        <v>2324</v>
      </c>
      <c r="M254" t="s">
        <v>468</v>
      </c>
      <c r="N254" t="s">
        <v>469</v>
      </c>
      <c r="O254" t="s">
        <v>470</v>
      </c>
      <c r="P254" s="57" t="str">
        <f>IF(VLOOKUP(D254,'⚪设计'!$C$85:$I$113,7,FALSE)="","",VLOOKUP(D254,'⚪设计'!$C$85:$I$113,7,FALSE)&amp;",NormalAttack")</f>
        <v/>
      </c>
      <c r="Q254" s="110" t="str">
        <f t="shared" si="8"/>
        <v>3</v>
      </c>
      <c r="R254" s="110" t="str">
        <f t="shared" si="9"/>
        <v>3</v>
      </c>
      <c r="S254" s="110" t="str">
        <f t="shared" si="10"/>
        <v>2</v>
      </c>
    </row>
    <row r="255" spans="2:19" x14ac:dyDescent="0.2">
      <c r="B255" s="57" t="s">
        <v>2617</v>
      </c>
      <c r="C255" s="57" t="s">
        <v>2909</v>
      </c>
      <c r="D255" s="55" t="str">
        <f>VLOOKUP(VLOOKUP(Q255&amp;"_"&amp;R255,活动关卡!$A$4:$Z$27,2+5*S255,FALSE),'⚪设计'!$B$85:$H$114,2,FALSE)</f>
        <v>ResUnit_Niao2</v>
      </c>
      <c r="E255" s="55">
        <f>VLOOKUP(VLOOKUP(Q255&amp;"_"&amp;R255,活动关卡!$A$4:$Z$27,2+5*S255,FALSE),'⚪设计'!$B$85:$H$114,6,FALSE)*VLOOKUP(Q255&amp;"_"&amp;R255,活动关卡!$A$4:$Z$27,5,FALSE)</f>
        <v>3</v>
      </c>
      <c r="F255">
        <v>400</v>
      </c>
      <c r="G255" t="b">
        <v>1</v>
      </c>
      <c r="H255">
        <v>1</v>
      </c>
      <c r="I255">
        <v>1</v>
      </c>
      <c r="J255">
        <v>0.25</v>
      </c>
      <c r="K255" s="55">
        <f>VLOOKUP(VLOOKUP(Q255&amp;"_"&amp;R255,活动关卡!$A$4:$Z$27,2+5*S255,FALSE),'⚪设计'!$B$85:$H$114,7,FALSE)</f>
        <v>1.2</v>
      </c>
      <c r="L255" s="57" t="s">
        <v>2325</v>
      </c>
      <c r="M255" t="s">
        <v>468</v>
      </c>
      <c r="N255" t="s">
        <v>469</v>
      </c>
      <c r="O255" t="s">
        <v>470</v>
      </c>
      <c r="P255" s="57" t="str">
        <f>IF(VLOOKUP(D255,'⚪设计'!$C$85:$I$113,7,FALSE)="","",VLOOKUP(D255,'⚪设计'!$C$85:$I$113,7,FALSE)&amp;",NormalAttack")</f>
        <v/>
      </c>
      <c r="Q255" s="110" t="str">
        <f t="shared" si="8"/>
        <v>3</v>
      </c>
      <c r="R255" s="110" t="str">
        <f t="shared" si="9"/>
        <v>3</v>
      </c>
      <c r="S255" s="110" t="str">
        <f t="shared" si="10"/>
        <v>3</v>
      </c>
    </row>
    <row r="256" spans="2:19" x14ac:dyDescent="0.2">
      <c r="B256" s="57" t="s">
        <v>2618</v>
      </c>
      <c r="C256" s="57" t="s">
        <v>2910</v>
      </c>
      <c r="D256" s="55" t="str">
        <f>VLOOKUP(VLOOKUP(Q256&amp;"_"&amp;R256,活动关卡!$A$4:$Z$27,2+5*S256,FALSE),'⚪设计'!$B$85:$H$114,2,FALSE)</f>
        <v>ResUnit_Gui1</v>
      </c>
      <c r="E256" s="55">
        <f>VLOOKUP(VLOOKUP(Q256&amp;"_"&amp;R256,活动关卡!$A$4:$Z$27,2+5*S256,FALSE),'⚪设计'!$B$85:$H$114,6,FALSE)*VLOOKUP(Q256&amp;"_"&amp;R256,活动关卡!$A$4:$Z$27,5,FALSE)</f>
        <v>3</v>
      </c>
      <c r="F256">
        <v>400</v>
      </c>
      <c r="G256" t="b">
        <v>1</v>
      </c>
      <c r="H256">
        <v>1</v>
      </c>
      <c r="I256">
        <v>1</v>
      </c>
      <c r="J256">
        <v>0.25</v>
      </c>
      <c r="K256" s="55">
        <f>VLOOKUP(VLOOKUP(Q256&amp;"_"&amp;R256,活动关卡!$A$4:$Z$27,2+5*S256,FALSE),'⚪设计'!$B$85:$H$114,7,FALSE)</f>
        <v>1</v>
      </c>
      <c r="L256" s="57" t="s">
        <v>2326</v>
      </c>
      <c r="M256" t="s">
        <v>468</v>
      </c>
      <c r="N256" t="s">
        <v>469</v>
      </c>
      <c r="O256" t="s">
        <v>470</v>
      </c>
      <c r="P256" s="57" t="str">
        <f>IF(VLOOKUP(D256,'⚪设计'!$C$85:$I$113,7,FALSE)="","",VLOOKUP(D256,'⚪设计'!$C$85:$I$113,7,FALSE)&amp;",NormalAttack")</f>
        <v>Skill_Monster_Invisible,NormalAttack</v>
      </c>
      <c r="Q256" s="110" t="str">
        <f t="shared" si="8"/>
        <v>4</v>
      </c>
      <c r="R256" s="110" t="str">
        <f t="shared" si="9"/>
        <v>1</v>
      </c>
      <c r="S256" s="110" t="str">
        <f t="shared" si="10"/>
        <v>1</v>
      </c>
    </row>
    <row r="257" spans="2:19" x14ac:dyDescent="0.2">
      <c r="B257" s="57" t="s">
        <v>2619</v>
      </c>
      <c r="C257" s="57" t="s">
        <v>2911</v>
      </c>
      <c r="D257" s="55" t="str">
        <f>VLOOKUP(VLOOKUP(Q257&amp;"_"&amp;R257,活动关卡!$A$4:$Z$27,2+5*S257,FALSE),'⚪设计'!$B$85:$H$114,2,FALSE)</f>
        <v>ResUnit_Niao2</v>
      </c>
      <c r="E257" s="55">
        <f>VLOOKUP(VLOOKUP(Q257&amp;"_"&amp;R257,活动关卡!$A$4:$Z$27,2+5*S257,FALSE),'⚪设计'!$B$85:$H$114,6,FALSE)*VLOOKUP(Q257&amp;"_"&amp;R257,活动关卡!$A$4:$Z$27,5,FALSE)</f>
        <v>3</v>
      </c>
      <c r="F257">
        <v>400</v>
      </c>
      <c r="G257" t="b">
        <v>1</v>
      </c>
      <c r="H257">
        <v>1</v>
      </c>
      <c r="I257">
        <v>1</v>
      </c>
      <c r="J257">
        <v>0.25</v>
      </c>
      <c r="K257" s="55">
        <f>VLOOKUP(VLOOKUP(Q257&amp;"_"&amp;R257,活动关卡!$A$4:$Z$27,2+5*S257,FALSE),'⚪设计'!$B$85:$H$114,7,FALSE)</f>
        <v>1.2</v>
      </c>
      <c r="L257" s="57" t="s">
        <v>2327</v>
      </c>
      <c r="M257" t="s">
        <v>468</v>
      </c>
      <c r="N257" t="s">
        <v>469</v>
      </c>
      <c r="O257" t="s">
        <v>470</v>
      </c>
      <c r="P257" s="57" t="str">
        <f>IF(VLOOKUP(D257,'⚪设计'!$C$85:$I$113,7,FALSE)="","",VLOOKUP(D257,'⚪设计'!$C$85:$I$113,7,FALSE)&amp;",NormalAttack")</f>
        <v/>
      </c>
      <c r="Q257" s="110" t="str">
        <f t="shared" si="8"/>
        <v>4</v>
      </c>
      <c r="R257" s="110" t="str">
        <f t="shared" si="9"/>
        <v>1</v>
      </c>
      <c r="S257" s="110" t="str">
        <f t="shared" si="10"/>
        <v>2</v>
      </c>
    </row>
    <row r="258" spans="2:19" x14ac:dyDescent="0.2">
      <c r="B258" s="57" t="s">
        <v>2620</v>
      </c>
      <c r="C258" s="57" t="s">
        <v>2912</v>
      </c>
      <c r="D258" s="55" t="str">
        <f>VLOOKUP(VLOOKUP(Q258&amp;"_"&amp;R258,活动关卡!$A$4:$Z$27,2+5*S258,FALSE),'⚪设计'!$B$85:$H$114,2,FALSE)</f>
        <v>ResUnit_Gui1</v>
      </c>
      <c r="E258" s="55">
        <f>VLOOKUP(VLOOKUP(Q258&amp;"_"&amp;R258,活动关卡!$A$4:$Z$27,2+5*S258,FALSE),'⚪设计'!$B$85:$H$114,6,FALSE)*VLOOKUP(Q258&amp;"_"&amp;R258,活动关卡!$A$4:$Z$27,5,FALSE)</f>
        <v>3</v>
      </c>
      <c r="F258">
        <v>400</v>
      </c>
      <c r="G258" t="b">
        <v>1</v>
      </c>
      <c r="H258">
        <v>1</v>
      </c>
      <c r="I258">
        <v>1</v>
      </c>
      <c r="J258">
        <v>0.25</v>
      </c>
      <c r="K258" s="55">
        <f>VLOOKUP(VLOOKUP(Q258&amp;"_"&amp;R258,活动关卡!$A$4:$Z$27,2+5*S258,FALSE),'⚪设计'!$B$85:$H$114,7,FALSE)</f>
        <v>1</v>
      </c>
      <c r="L258" s="57" t="s">
        <v>2328</v>
      </c>
      <c r="M258" t="s">
        <v>468</v>
      </c>
      <c r="N258" t="s">
        <v>469</v>
      </c>
      <c r="O258" t="s">
        <v>470</v>
      </c>
      <c r="P258" s="57" t="str">
        <f>IF(VLOOKUP(D258,'⚪设计'!$C$85:$I$113,7,FALSE)="","",VLOOKUP(D258,'⚪设计'!$C$85:$I$113,7,FALSE)&amp;",NormalAttack")</f>
        <v>Skill_Monster_Invisible,NormalAttack</v>
      </c>
      <c r="Q258" s="110" t="str">
        <f t="shared" si="8"/>
        <v>4</v>
      </c>
      <c r="R258" s="110" t="str">
        <f t="shared" si="9"/>
        <v>2</v>
      </c>
      <c r="S258" s="110" t="str">
        <f t="shared" si="10"/>
        <v>1</v>
      </c>
    </row>
    <row r="259" spans="2:19" x14ac:dyDescent="0.2">
      <c r="B259" s="57" t="s">
        <v>2621</v>
      </c>
      <c r="C259" s="57" t="s">
        <v>2913</v>
      </c>
      <c r="D259" s="55" t="str">
        <f>VLOOKUP(VLOOKUP(Q259&amp;"_"&amp;R259,活动关卡!$A$4:$Z$27,2+5*S259,FALSE),'⚪设计'!$B$85:$H$114,2,FALSE)</f>
        <v>ResUnit_MiFeng2</v>
      </c>
      <c r="E259" s="55">
        <f>VLOOKUP(VLOOKUP(Q259&amp;"_"&amp;R259,活动关卡!$A$4:$Z$27,2+5*S259,FALSE),'⚪设计'!$B$85:$H$114,6,FALSE)*VLOOKUP(Q259&amp;"_"&amp;R259,活动关卡!$A$4:$Z$27,5,FALSE)</f>
        <v>3</v>
      </c>
      <c r="F259">
        <v>400</v>
      </c>
      <c r="G259" t="b">
        <v>1</v>
      </c>
      <c r="H259">
        <v>1</v>
      </c>
      <c r="I259">
        <v>1</v>
      </c>
      <c r="J259">
        <v>0.25</v>
      </c>
      <c r="K259" s="55">
        <f>VLOOKUP(VLOOKUP(Q259&amp;"_"&amp;R259,活动关卡!$A$4:$Z$27,2+5*S259,FALSE),'⚪设计'!$B$85:$H$114,7,FALSE)</f>
        <v>0.8</v>
      </c>
      <c r="L259" s="57" t="s">
        <v>2329</v>
      </c>
      <c r="M259" t="s">
        <v>468</v>
      </c>
      <c r="N259" t="s">
        <v>469</v>
      </c>
      <c r="O259" t="s">
        <v>470</v>
      </c>
      <c r="P259" s="57" t="str">
        <f>IF(VLOOKUP(D259,'⚪设计'!$C$85:$I$113,7,FALSE)="","",VLOOKUP(D259,'⚪设计'!$C$85:$I$113,7,FALSE)&amp;",NormalAttack")</f>
        <v/>
      </c>
      <c r="Q259" s="110" t="str">
        <f t="shared" si="8"/>
        <v>4</v>
      </c>
      <c r="R259" s="110" t="str">
        <f t="shared" si="9"/>
        <v>2</v>
      </c>
      <c r="S259" s="110" t="str">
        <f t="shared" si="10"/>
        <v>2</v>
      </c>
    </row>
    <row r="260" spans="2:19" x14ac:dyDescent="0.2">
      <c r="B260" s="57" t="s">
        <v>2622</v>
      </c>
      <c r="C260" s="57" t="s">
        <v>2914</v>
      </c>
      <c r="D260" s="55" t="str">
        <f>VLOOKUP(VLOOKUP(Q260&amp;"_"&amp;R260,活动关卡!$A$4:$Z$27,2+5*S260,FALSE),'⚪设计'!$B$85:$H$114,2,FALSE)</f>
        <v>ResUnit_Niao2</v>
      </c>
      <c r="E260" s="55">
        <f>VLOOKUP(VLOOKUP(Q260&amp;"_"&amp;R260,活动关卡!$A$4:$Z$27,2+5*S260,FALSE),'⚪设计'!$B$85:$H$114,6,FALSE)*VLOOKUP(Q260&amp;"_"&amp;R260,活动关卡!$A$4:$Z$27,5,FALSE)</f>
        <v>3</v>
      </c>
      <c r="F260">
        <v>400</v>
      </c>
      <c r="G260" t="b">
        <v>1</v>
      </c>
      <c r="H260">
        <v>1</v>
      </c>
      <c r="I260">
        <v>1</v>
      </c>
      <c r="J260">
        <v>0.25</v>
      </c>
      <c r="K260" s="55">
        <f>VLOOKUP(VLOOKUP(Q260&amp;"_"&amp;R260,活动关卡!$A$4:$Z$27,2+5*S260,FALSE),'⚪设计'!$B$85:$H$114,7,FALSE)</f>
        <v>1.2</v>
      </c>
      <c r="L260" s="57" t="s">
        <v>2330</v>
      </c>
      <c r="M260" t="s">
        <v>468</v>
      </c>
      <c r="N260" t="s">
        <v>469</v>
      </c>
      <c r="O260" t="s">
        <v>470</v>
      </c>
      <c r="P260" s="57" t="str">
        <f>IF(VLOOKUP(D260,'⚪设计'!$C$85:$I$113,7,FALSE)="","",VLOOKUP(D260,'⚪设计'!$C$85:$I$113,7,FALSE)&amp;",NormalAttack")</f>
        <v/>
      </c>
      <c r="Q260" s="110" t="str">
        <f t="shared" si="8"/>
        <v>4</v>
      </c>
      <c r="R260" s="110" t="str">
        <f t="shared" si="9"/>
        <v>2</v>
      </c>
      <c r="S260" s="110" t="str">
        <f t="shared" si="10"/>
        <v>3</v>
      </c>
    </row>
    <row r="261" spans="2:19" x14ac:dyDescent="0.2">
      <c r="B261" s="57" t="s">
        <v>2623</v>
      </c>
      <c r="C261" s="57" t="s">
        <v>2915</v>
      </c>
      <c r="D261" s="55" t="str">
        <f>VLOOKUP(VLOOKUP(Q261&amp;"_"&amp;R261,活动关卡!$A$4:$Z$27,2+5*S261,FALSE),'⚪设计'!$B$85:$H$114,2,FALSE)</f>
        <v>ResUnit_Gui1</v>
      </c>
      <c r="E261" s="55">
        <f>VLOOKUP(VLOOKUP(Q261&amp;"_"&amp;R261,活动关卡!$A$4:$Z$27,2+5*S261,FALSE),'⚪设计'!$B$85:$H$114,6,FALSE)*VLOOKUP(Q261&amp;"_"&amp;R261,活动关卡!$A$4:$Z$27,5,FALSE)</f>
        <v>3</v>
      </c>
      <c r="F261">
        <v>400</v>
      </c>
      <c r="G261" t="b">
        <v>1</v>
      </c>
      <c r="H261">
        <v>1</v>
      </c>
      <c r="I261">
        <v>1</v>
      </c>
      <c r="J261">
        <v>0.25</v>
      </c>
      <c r="K261" s="55">
        <f>VLOOKUP(VLOOKUP(Q261&amp;"_"&amp;R261,活动关卡!$A$4:$Z$27,2+5*S261,FALSE),'⚪设计'!$B$85:$H$114,7,FALSE)</f>
        <v>1</v>
      </c>
      <c r="L261" s="57" t="s">
        <v>2331</v>
      </c>
      <c r="M261" t="s">
        <v>468</v>
      </c>
      <c r="N261" t="s">
        <v>469</v>
      </c>
      <c r="O261" t="s">
        <v>470</v>
      </c>
      <c r="P261" s="57" t="str">
        <f>IF(VLOOKUP(D261,'⚪设计'!$C$85:$I$113,7,FALSE)="","",VLOOKUP(D261,'⚪设计'!$C$85:$I$113,7,FALSE)&amp;",NormalAttack")</f>
        <v>Skill_Monster_Invisible,NormalAttack</v>
      </c>
      <c r="Q261" s="110" t="str">
        <f t="shared" si="8"/>
        <v>4</v>
      </c>
      <c r="R261" s="110" t="str">
        <f t="shared" si="9"/>
        <v>3</v>
      </c>
      <c r="S261" s="110" t="str">
        <f t="shared" si="10"/>
        <v>1</v>
      </c>
    </row>
    <row r="262" spans="2:19" x14ac:dyDescent="0.2">
      <c r="B262" s="57" t="s">
        <v>2624</v>
      </c>
      <c r="C262" s="57" t="s">
        <v>2916</v>
      </c>
      <c r="D262" s="55" t="str">
        <f>VLOOKUP(VLOOKUP(Q262&amp;"_"&amp;R262,活动关卡!$A$4:$Z$27,2+5*S262,FALSE),'⚪设计'!$B$85:$H$114,2,FALSE)</f>
        <v>ResUnit_BianFu1</v>
      </c>
      <c r="E262" s="55">
        <f>VLOOKUP(VLOOKUP(Q262&amp;"_"&amp;R262,活动关卡!$A$4:$Z$27,2+5*S262,FALSE),'⚪设计'!$B$85:$H$114,6,FALSE)*VLOOKUP(Q262&amp;"_"&amp;R262,活动关卡!$A$4:$Z$27,5,FALSE)</f>
        <v>3</v>
      </c>
      <c r="F262">
        <v>400</v>
      </c>
      <c r="G262" t="b">
        <v>1</v>
      </c>
      <c r="H262">
        <v>1</v>
      </c>
      <c r="I262">
        <v>1</v>
      </c>
      <c r="J262">
        <v>0.25</v>
      </c>
      <c r="K262" s="55">
        <f>VLOOKUP(VLOOKUP(Q262&amp;"_"&amp;R262,活动关卡!$A$4:$Z$27,2+5*S262,FALSE),'⚪设计'!$B$85:$H$114,7,FALSE)</f>
        <v>0.5</v>
      </c>
      <c r="L262" s="57" t="s">
        <v>2332</v>
      </c>
      <c r="M262" t="s">
        <v>468</v>
      </c>
      <c r="N262" t="s">
        <v>469</v>
      </c>
      <c r="O262" t="s">
        <v>470</v>
      </c>
      <c r="P262" s="57" t="str">
        <f>IF(VLOOKUP(D262,'⚪设计'!$C$85:$I$113,7,FALSE)="","",VLOOKUP(D262,'⚪设计'!$C$85:$I$113,7,FALSE)&amp;",NormalAttack")</f>
        <v/>
      </c>
      <c r="Q262" s="110" t="str">
        <f t="shared" si="8"/>
        <v>4</v>
      </c>
      <c r="R262" s="110" t="str">
        <f t="shared" si="9"/>
        <v>3</v>
      </c>
      <c r="S262" s="110" t="str">
        <f t="shared" si="10"/>
        <v>2</v>
      </c>
    </row>
    <row r="263" spans="2:19" x14ac:dyDescent="0.2">
      <c r="B263" s="57" t="s">
        <v>2625</v>
      </c>
      <c r="C263" s="57" t="s">
        <v>2917</v>
      </c>
      <c r="D263" s="55" t="str">
        <f>VLOOKUP(VLOOKUP(Q263&amp;"_"&amp;R263,活动关卡!$A$4:$Z$27,2+5*S263,FALSE),'⚪设计'!$B$85:$H$114,2,FALSE)</f>
        <v>ResUnit_Niao2</v>
      </c>
      <c r="E263" s="55">
        <f>VLOOKUP(VLOOKUP(Q263&amp;"_"&amp;R263,活动关卡!$A$4:$Z$27,2+5*S263,FALSE),'⚪设计'!$B$85:$H$114,6,FALSE)*VLOOKUP(Q263&amp;"_"&amp;R263,活动关卡!$A$4:$Z$27,5,FALSE)</f>
        <v>3</v>
      </c>
      <c r="F263">
        <v>400</v>
      </c>
      <c r="G263" t="b">
        <v>1</v>
      </c>
      <c r="H263">
        <v>1</v>
      </c>
      <c r="I263">
        <v>1</v>
      </c>
      <c r="J263">
        <v>0.25</v>
      </c>
      <c r="K263" s="55">
        <f>VLOOKUP(VLOOKUP(Q263&amp;"_"&amp;R263,活动关卡!$A$4:$Z$27,2+5*S263,FALSE),'⚪设计'!$B$85:$H$114,7,FALSE)</f>
        <v>1.2</v>
      </c>
      <c r="L263" s="57" t="s">
        <v>2333</v>
      </c>
      <c r="M263" t="s">
        <v>468</v>
      </c>
      <c r="N263" t="s">
        <v>469</v>
      </c>
      <c r="O263" t="s">
        <v>470</v>
      </c>
      <c r="P263" s="57" t="str">
        <f>IF(VLOOKUP(D263,'⚪设计'!$C$85:$I$113,7,FALSE)="","",VLOOKUP(D263,'⚪设计'!$C$85:$I$113,7,FALSE)&amp;",NormalAttack")</f>
        <v/>
      </c>
      <c r="Q263" s="110" t="str">
        <f t="shared" si="8"/>
        <v>4</v>
      </c>
      <c r="R263" s="110" t="str">
        <f t="shared" si="9"/>
        <v>3</v>
      </c>
      <c r="S263" s="110" t="str">
        <f t="shared" si="10"/>
        <v>3</v>
      </c>
    </row>
    <row r="264" spans="2:19" x14ac:dyDescent="0.2">
      <c r="B264" s="57" t="s">
        <v>2626</v>
      </c>
      <c r="C264" s="57" t="s">
        <v>2918</v>
      </c>
      <c r="D264" s="55" t="str">
        <f>VLOOKUP(VLOOKUP(Q264&amp;"_"&amp;R264,活动关卡!$A$4:$Z$27,2+5*S264,FALSE),'⚪设计'!$B$85:$H$114,2,FALSE)</f>
        <v>ResUnit_Gui1</v>
      </c>
      <c r="E264" s="55">
        <f>VLOOKUP(VLOOKUP(Q264&amp;"_"&amp;R264,活动关卡!$A$4:$Z$27,2+5*S264,FALSE),'⚪设计'!$B$85:$H$114,6,FALSE)*VLOOKUP(Q264&amp;"_"&amp;R264,活动关卡!$A$4:$Z$27,5,FALSE)</f>
        <v>3</v>
      </c>
      <c r="F264">
        <v>400</v>
      </c>
      <c r="G264" t="b">
        <v>1</v>
      </c>
      <c r="H264">
        <v>1</v>
      </c>
      <c r="I264">
        <v>1</v>
      </c>
      <c r="J264">
        <v>0.25</v>
      </c>
      <c r="K264" s="55">
        <f>VLOOKUP(VLOOKUP(Q264&amp;"_"&amp;R264,活动关卡!$A$4:$Z$27,2+5*S264,FALSE),'⚪设计'!$B$85:$H$114,7,FALSE)</f>
        <v>1</v>
      </c>
      <c r="L264" s="57" t="s">
        <v>2334</v>
      </c>
      <c r="M264" t="s">
        <v>468</v>
      </c>
      <c r="N264" t="s">
        <v>469</v>
      </c>
      <c r="O264" t="s">
        <v>470</v>
      </c>
      <c r="P264" s="57" t="str">
        <f>IF(VLOOKUP(D264,'⚪设计'!$C$85:$I$113,7,FALSE)="","",VLOOKUP(D264,'⚪设计'!$C$85:$I$113,7,FALSE)&amp;",NormalAttack")</f>
        <v>Skill_Monster_Invisible,NormalAttack</v>
      </c>
      <c r="Q264" s="110" t="str">
        <f t="shared" si="8"/>
        <v>4</v>
      </c>
      <c r="R264" s="110" t="str">
        <f t="shared" si="9"/>
        <v>4</v>
      </c>
      <c r="S264" s="110" t="str">
        <f t="shared" si="10"/>
        <v>1</v>
      </c>
    </row>
    <row r="265" spans="2:19" x14ac:dyDescent="0.2">
      <c r="B265" s="57" t="s">
        <v>2627</v>
      </c>
      <c r="C265" s="57" t="s">
        <v>2919</v>
      </c>
      <c r="D265" s="55" t="str">
        <f>VLOOKUP(VLOOKUP(Q265&amp;"_"&amp;R265,活动关卡!$A$4:$Z$27,2+5*S265,FALSE),'⚪设计'!$B$85:$H$114,2,FALSE)</f>
        <v>ResUnit_ZhiZhu1</v>
      </c>
      <c r="E265" s="55">
        <f>VLOOKUP(VLOOKUP(Q265&amp;"_"&amp;R265,活动关卡!$A$4:$Z$27,2+5*S265,FALSE),'⚪设计'!$B$85:$H$114,6,FALSE)*VLOOKUP(Q265&amp;"_"&amp;R265,活动关卡!$A$4:$Z$27,5,FALSE)</f>
        <v>4.5</v>
      </c>
      <c r="F265">
        <v>400</v>
      </c>
      <c r="G265" t="b">
        <v>1</v>
      </c>
      <c r="H265">
        <v>1</v>
      </c>
      <c r="I265">
        <v>1</v>
      </c>
      <c r="J265">
        <v>0.25</v>
      </c>
      <c r="K265" s="55">
        <f>VLOOKUP(VLOOKUP(Q265&amp;"_"&amp;R265,活动关卡!$A$4:$Z$27,2+5*S265,FALSE),'⚪设计'!$B$85:$H$114,7,FALSE)</f>
        <v>1</v>
      </c>
      <c r="L265" s="57" t="s">
        <v>2335</v>
      </c>
      <c r="M265" t="s">
        <v>468</v>
      </c>
      <c r="N265" t="s">
        <v>469</v>
      </c>
      <c r="O265" t="s">
        <v>470</v>
      </c>
      <c r="P265" s="57" t="str">
        <f>IF(VLOOKUP(D265,'⚪设计'!$C$85:$I$113,7,FALSE)="","",VLOOKUP(D265,'⚪设计'!$C$85:$I$113,7,FALSE)&amp;",NormalAttack")</f>
        <v/>
      </c>
      <c r="Q265" s="110" t="str">
        <f t="shared" si="8"/>
        <v>4</v>
      </c>
      <c r="R265" s="110" t="str">
        <f t="shared" si="9"/>
        <v>4</v>
      </c>
      <c r="S265" s="110" t="str">
        <f t="shared" si="10"/>
        <v>2</v>
      </c>
    </row>
    <row r="266" spans="2:19" x14ac:dyDescent="0.2">
      <c r="B266" s="57" t="s">
        <v>2628</v>
      </c>
      <c r="C266" s="57" t="s">
        <v>2920</v>
      </c>
      <c r="D266" s="55" t="str">
        <f>VLOOKUP(VLOOKUP(Q266&amp;"_"&amp;R266,活动关卡!$A$4:$Z$27,2+5*S266,FALSE),'⚪设计'!$B$85:$H$114,2,FALSE)</f>
        <v>ResUnit_Niao2</v>
      </c>
      <c r="E266" s="55">
        <f>VLOOKUP(VLOOKUP(Q266&amp;"_"&amp;R266,活动关卡!$A$4:$Z$27,2+5*S266,FALSE),'⚪设计'!$B$85:$H$114,6,FALSE)*VLOOKUP(Q266&amp;"_"&amp;R266,活动关卡!$A$4:$Z$27,5,FALSE)</f>
        <v>3</v>
      </c>
      <c r="F266">
        <v>400</v>
      </c>
      <c r="G266" t="b">
        <v>1</v>
      </c>
      <c r="H266">
        <v>1</v>
      </c>
      <c r="I266">
        <v>1</v>
      </c>
      <c r="J266">
        <v>0.25</v>
      </c>
      <c r="K266" s="55">
        <f>VLOOKUP(VLOOKUP(Q266&amp;"_"&amp;R266,活动关卡!$A$4:$Z$27,2+5*S266,FALSE),'⚪设计'!$B$85:$H$114,7,FALSE)</f>
        <v>1.2</v>
      </c>
      <c r="L266" s="57" t="s">
        <v>2336</v>
      </c>
      <c r="M266" t="s">
        <v>468</v>
      </c>
      <c r="N266" t="s">
        <v>469</v>
      </c>
      <c r="O266" t="s">
        <v>470</v>
      </c>
      <c r="P266" s="57" t="str">
        <f>IF(VLOOKUP(D266,'⚪设计'!$C$85:$I$113,7,FALSE)="","",VLOOKUP(D266,'⚪设计'!$C$85:$I$113,7,FALSE)&amp;",NormalAttack")</f>
        <v/>
      </c>
      <c r="Q266" s="110" t="str">
        <f t="shared" si="8"/>
        <v>4</v>
      </c>
      <c r="R266" s="110" t="str">
        <f t="shared" si="9"/>
        <v>4</v>
      </c>
      <c r="S266" s="110" t="str">
        <f t="shared" si="10"/>
        <v>3</v>
      </c>
    </row>
    <row r="267" spans="2:19" x14ac:dyDescent="0.2">
      <c r="B267" s="57" t="s">
        <v>2629</v>
      </c>
      <c r="C267" s="57" t="s">
        <v>2921</v>
      </c>
      <c r="D267" s="55" t="str">
        <f>VLOOKUP(VLOOKUP(Q267&amp;"_"&amp;R267,活动关卡!$A$4:$Z$27,2+5*S267,FALSE),'⚪设计'!$B$85:$H$114,2,FALSE)</f>
        <v>ResUnit_Gui1</v>
      </c>
      <c r="E267" s="55">
        <f>VLOOKUP(VLOOKUP(Q267&amp;"_"&amp;R267,活动关卡!$A$4:$Z$27,2+5*S267,FALSE),'⚪设计'!$B$85:$H$114,6,FALSE)*VLOOKUP(Q267&amp;"_"&amp;R267,活动关卡!$A$4:$Z$27,5,FALSE)</f>
        <v>3</v>
      </c>
      <c r="F267">
        <v>400</v>
      </c>
      <c r="G267" t="b">
        <v>1</v>
      </c>
      <c r="H267">
        <v>1</v>
      </c>
      <c r="I267">
        <v>1</v>
      </c>
      <c r="J267">
        <v>0.25</v>
      </c>
      <c r="K267" s="55">
        <f>VLOOKUP(VLOOKUP(Q267&amp;"_"&amp;R267,活动关卡!$A$4:$Z$27,2+5*S267,FALSE),'⚪设计'!$B$85:$H$114,7,FALSE)</f>
        <v>1</v>
      </c>
      <c r="L267" s="57" t="s">
        <v>2337</v>
      </c>
      <c r="M267" t="s">
        <v>468</v>
      </c>
      <c r="N267" t="s">
        <v>469</v>
      </c>
      <c r="O267" t="s">
        <v>470</v>
      </c>
      <c r="P267" s="57" t="str">
        <f>IF(VLOOKUP(D267,'⚪设计'!$C$85:$I$113,7,FALSE)="","",VLOOKUP(D267,'⚪设计'!$C$85:$I$113,7,FALSE)&amp;",NormalAttack")</f>
        <v>Skill_Monster_Invisible,NormalAttack</v>
      </c>
      <c r="Q267" s="110" t="str">
        <f t="shared" si="8"/>
        <v>4</v>
      </c>
      <c r="R267" s="110" t="str">
        <f t="shared" si="9"/>
        <v>5</v>
      </c>
      <c r="S267" s="110" t="str">
        <f t="shared" si="10"/>
        <v>1</v>
      </c>
    </row>
    <row r="268" spans="2:19" x14ac:dyDescent="0.2">
      <c r="B268" s="57" t="s">
        <v>2630</v>
      </c>
      <c r="C268" s="57" t="s">
        <v>2922</v>
      </c>
      <c r="D268" s="55" t="str">
        <f>VLOOKUP(VLOOKUP(Q268&amp;"_"&amp;R268,活动关卡!$A$4:$Z$27,2+5*S268,FALSE),'⚪设计'!$B$85:$H$114,2,FALSE)</f>
        <v>ResUnit_ZhongZi1</v>
      </c>
      <c r="E268" s="55">
        <f>VLOOKUP(VLOOKUP(Q268&amp;"_"&amp;R268,活动关卡!$A$4:$Z$27,2+5*S268,FALSE),'⚪设计'!$B$85:$H$114,6,FALSE)*VLOOKUP(Q268&amp;"_"&amp;R268,活动关卡!$A$4:$Z$27,5,FALSE)</f>
        <v>3</v>
      </c>
      <c r="F268">
        <v>400</v>
      </c>
      <c r="G268" t="b">
        <v>1</v>
      </c>
      <c r="H268">
        <v>1</v>
      </c>
      <c r="I268">
        <v>1</v>
      </c>
      <c r="J268">
        <v>0.25</v>
      </c>
      <c r="K268" s="55">
        <f>VLOOKUP(VLOOKUP(Q268&amp;"_"&amp;R268,活动关卡!$A$4:$Z$27,2+5*S268,FALSE),'⚪设计'!$B$85:$H$114,7,FALSE)</f>
        <v>1</v>
      </c>
      <c r="L268" s="57" t="s">
        <v>2338</v>
      </c>
      <c r="M268" t="s">
        <v>468</v>
      </c>
      <c r="N268" t="s">
        <v>469</v>
      </c>
      <c r="O268" t="s">
        <v>470</v>
      </c>
      <c r="P268" s="57" t="str">
        <f>IF(VLOOKUP(D268,'⚪设计'!$C$85:$I$113,7,FALSE)="","",VLOOKUP(D268,'⚪设计'!$C$85:$I$113,7,FALSE)&amp;",NormalAttack")</f>
        <v>Skill_Monster_Heal,NormalAttack</v>
      </c>
      <c r="Q268" s="110" t="str">
        <f t="shared" si="8"/>
        <v>4</v>
      </c>
      <c r="R268" s="110" t="str">
        <f t="shared" si="9"/>
        <v>5</v>
      </c>
      <c r="S268" s="110" t="str">
        <f t="shared" si="10"/>
        <v>2</v>
      </c>
    </row>
    <row r="269" spans="2:19" x14ac:dyDescent="0.2">
      <c r="B269" s="57" t="s">
        <v>2631</v>
      </c>
      <c r="C269" s="57" t="s">
        <v>2923</v>
      </c>
      <c r="D269" s="55" t="str">
        <f>VLOOKUP(VLOOKUP(Q269&amp;"_"&amp;R269,活动关卡!$A$4:$Z$27,2+5*S269,FALSE),'⚪设计'!$B$85:$H$114,2,FALSE)</f>
        <v>ResUnit_Niao2</v>
      </c>
      <c r="E269" s="55">
        <f>VLOOKUP(VLOOKUP(Q269&amp;"_"&amp;R269,活动关卡!$A$4:$Z$27,2+5*S269,FALSE),'⚪设计'!$B$85:$H$114,6,FALSE)*VLOOKUP(Q269&amp;"_"&amp;R269,活动关卡!$A$4:$Z$27,5,FALSE)</f>
        <v>3</v>
      </c>
      <c r="F269">
        <v>400</v>
      </c>
      <c r="G269" t="b">
        <v>1</v>
      </c>
      <c r="H269">
        <v>1</v>
      </c>
      <c r="I269">
        <v>1</v>
      </c>
      <c r="J269">
        <v>0.25</v>
      </c>
      <c r="K269" s="55">
        <f>VLOOKUP(VLOOKUP(Q269&amp;"_"&amp;R269,活动关卡!$A$4:$Z$27,2+5*S269,FALSE),'⚪设计'!$B$85:$H$114,7,FALSE)</f>
        <v>1.2</v>
      </c>
      <c r="L269" s="57" t="s">
        <v>2339</v>
      </c>
      <c r="M269" t="s">
        <v>468</v>
      </c>
      <c r="N269" t="s">
        <v>469</v>
      </c>
      <c r="O269" t="s">
        <v>470</v>
      </c>
      <c r="P269" s="57" t="str">
        <f>IF(VLOOKUP(D269,'⚪设计'!$C$85:$I$113,7,FALSE)="","",VLOOKUP(D269,'⚪设计'!$C$85:$I$113,7,FALSE)&amp;",NormalAttack")</f>
        <v/>
      </c>
      <c r="Q269" s="110" t="str">
        <f t="shared" si="8"/>
        <v>4</v>
      </c>
      <c r="R269" s="110" t="str">
        <f t="shared" si="9"/>
        <v>5</v>
      </c>
      <c r="S269" s="110" t="str">
        <f t="shared" si="10"/>
        <v>3</v>
      </c>
    </row>
    <row r="270" spans="2:19" x14ac:dyDescent="0.2">
      <c r="B270" s="57" t="s">
        <v>2632</v>
      </c>
      <c r="C270" s="57" t="s">
        <v>2924</v>
      </c>
      <c r="D270" s="55" t="str">
        <f>VLOOKUP(VLOOKUP(Q270&amp;"_"&amp;R270,活动关卡!$A$4:$Z$27,2+5*S270,FALSE),'⚪设计'!$B$85:$H$114,2,FALSE)</f>
        <v>ResUnit_Dan2</v>
      </c>
      <c r="E270" s="55">
        <f>VLOOKUP(VLOOKUP(Q270&amp;"_"&amp;R270,活动关卡!$A$4:$Z$27,2+5*S270,FALSE),'⚪设计'!$B$85:$H$114,6,FALSE)*VLOOKUP(Q270&amp;"_"&amp;R270,活动关卡!$A$4:$Z$27,5,FALSE)</f>
        <v>3</v>
      </c>
      <c r="F270">
        <v>400</v>
      </c>
      <c r="G270" t="b">
        <v>1</v>
      </c>
      <c r="H270">
        <v>1</v>
      </c>
      <c r="I270">
        <v>1</v>
      </c>
      <c r="J270">
        <v>0.25</v>
      </c>
      <c r="K270" s="55">
        <f>VLOOKUP(VLOOKUP(Q270&amp;"_"&amp;R270,活动关卡!$A$4:$Z$27,2+5*S270,FALSE),'⚪设计'!$B$85:$H$114,7,FALSE)</f>
        <v>1.3</v>
      </c>
      <c r="L270" s="57" t="s">
        <v>2340</v>
      </c>
      <c r="M270" t="s">
        <v>468</v>
      </c>
      <c r="N270" t="s">
        <v>469</v>
      </c>
      <c r="O270" t="s">
        <v>470</v>
      </c>
      <c r="P270" s="57" t="str">
        <f>IF(VLOOKUP(D270,'⚪设计'!$C$85:$I$113,7,FALSE)="","",VLOOKUP(D270,'⚪设计'!$C$85:$I$113,7,FALSE)&amp;",NormalAttack")</f>
        <v>Skill_Monster_Weaken,NormalAttack</v>
      </c>
      <c r="Q270" s="110" t="str">
        <f t="shared" si="8"/>
        <v>5</v>
      </c>
      <c r="R270" s="110" t="str">
        <f t="shared" si="9"/>
        <v>1</v>
      </c>
      <c r="S270" s="110" t="str">
        <f t="shared" si="10"/>
        <v>1</v>
      </c>
    </row>
    <row r="271" spans="2:19" x14ac:dyDescent="0.2">
      <c r="B271" s="57" t="s">
        <v>2633</v>
      </c>
      <c r="C271" s="57" t="s">
        <v>2925</v>
      </c>
      <c r="D271" s="55" t="str">
        <f>VLOOKUP(VLOOKUP(Q271&amp;"_"&amp;R271,活动关卡!$A$4:$Z$27,2+5*S271,FALSE),'⚪设计'!$B$85:$H$114,2,FALSE)</f>
        <v>ResUnit_Niao2</v>
      </c>
      <c r="E271" s="55">
        <f>VLOOKUP(VLOOKUP(Q271&amp;"_"&amp;R271,活动关卡!$A$4:$Z$27,2+5*S271,FALSE),'⚪设计'!$B$85:$H$114,6,FALSE)*VLOOKUP(Q271&amp;"_"&amp;R271,活动关卡!$A$4:$Z$27,5,FALSE)</f>
        <v>3</v>
      </c>
      <c r="F271">
        <v>400</v>
      </c>
      <c r="G271" t="b">
        <v>1</v>
      </c>
      <c r="H271">
        <v>1</v>
      </c>
      <c r="I271">
        <v>1</v>
      </c>
      <c r="J271">
        <v>0.25</v>
      </c>
      <c r="K271" s="55">
        <f>VLOOKUP(VLOOKUP(Q271&amp;"_"&amp;R271,活动关卡!$A$4:$Z$27,2+5*S271,FALSE),'⚪设计'!$B$85:$H$114,7,FALSE)</f>
        <v>1.2</v>
      </c>
      <c r="L271" s="57" t="s">
        <v>2341</v>
      </c>
      <c r="M271" t="s">
        <v>468</v>
      </c>
      <c r="N271" t="s">
        <v>469</v>
      </c>
      <c r="O271" t="s">
        <v>470</v>
      </c>
      <c r="P271" s="57" t="str">
        <f>IF(VLOOKUP(D271,'⚪设计'!$C$85:$I$113,7,FALSE)="","",VLOOKUP(D271,'⚪设计'!$C$85:$I$113,7,FALSE)&amp;",NormalAttack")</f>
        <v/>
      </c>
      <c r="Q271" s="110" t="str">
        <f t="shared" si="8"/>
        <v>5</v>
      </c>
      <c r="R271" s="110" t="str">
        <f t="shared" si="9"/>
        <v>1</v>
      </c>
      <c r="S271" s="110" t="str">
        <f t="shared" si="10"/>
        <v>2</v>
      </c>
    </row>
    <row r="272" spans="2:19" x14ac:dyDescent="0.2">
      <c r="B272" s="57" t="s">
        <v>2634</v>
      </c>
      <c r="C272" s="57" t="s">
        <v>2926</v>
      </c>
      <c r="D272" s="55" t="str">
        <f>VLOOKUP(VLOOKUP(Q272&amp;"_"&amp;R272,活动关卡!$A$4:$Z$27,2+5*S272,FALSE),'⚪设计'!$B$85:$H$114,2,FALSE)</f>
        <v>ResUnit_Dan2</v>
      </c>
      <c r="E272" s="55">
        <f>VLOOKUP(VLOOKUP(Q272&amp;"_"&amp;R272,活动关卡!$A$4:$Z$27,2+5*S272,FALSE),'⚪设计'!$B$85:$H$114,6,FALSE)*VLOOKUP(Q272&amp;"_"&amp;R272,活动关卡!$A$4:$Z$27,5,FALSE)</f>
        <v>3</v>
      </c>
      <c r="F272">
        <v>400</v>
      </c>
      <c r="G272" t="b">
        <v>1</v>
      </c>
      <c r="H272">
        <v>1</v>
      </c>
      <c r="I272">
        <v>1</v>
      </c>
      <c r="J272">
        <v>0.25</v>
      </c>
      <c r="K272" s="55">
        <f>VLOOKUP(VLOOKUP(Q272&amp;"_"&amp;R272,活动关卡!$A$4:$Z$27,2+5*S272,FALSE),'⚪设计'!$B$85:$H$114,7,FALSE)</f>
        <v>1.3</v>
      </c>
      <c r="L272" s="57" t="s">
        <v>2342</v>
      </c>
      <c r="M272" t="s">
        <v>468</v>
      </c>
      <c r="N272" t="s">
        <v>469</v>
      </c>
      <c r="O272" t="s">
        <v>470</v>
      </c>
      <c r="P272" s="57" t="str">
        <f>IF(VLOOKUP(D272,'⚪设计'!$C$85:$I$113,7,FALSE)="","",VLOOKUP(D272,'⚪设计'!$C$85:$I$113,7,FALSE)&amp;",NormalAttack")</f>
        <v>Skill_Monster_Weaken,NormalAttack</v>
      </c>
      <c r="Q272" s="110" t="str">
        <f t="shared" si="8"/>
        <v>5</v>
      </c>
      <c r="R272" s="110" t="str">
        <f t="shared" si="9"/>
        <v>2</v>
      </c>
      <c r="S272" s="110" t="str">
        <f t="shared" si="10"/>
        <v>1</v>
      </c>
    </row>
    <row r="273" spans="2:19" x14ac:dyDescent="0.2">
      <c r="B273" s="57" t="s">
        <v>2635</v>
      </c>
      <c r="C273" s="57" t="s">
        <v>2927</v>
      </c>
      <c r="D273" s="55" t="str">
        <f>VLOOKUP(VLOOKUP(Q273&amp;"_"&amp;R273,活动关卡!$A$4:$Z$27,2+5*S273,FALSE),'⚪设计'!$B$85:$H$114,2,FALSE)</f>
        <v>ResUnit_BianFu1</v>
      </c>
      <c r="E273" s="55">
        <f>VLOOKUP(VLOOKUP(Q273&amp;"_"&amp;R273,活动关卡!$A$4:$Z$27,2+5*S273,FALSE),'⚪设计'!$B$85:$H$114,6,FALSE)*VLOOKUP(Q273&amp;"_"&amp;R273,活动关卡!$A$4:$Z$27,5,FALSE)</f>
        <v>3</v>
      </c>
      <c r="F273">
        <v>400</v>
      </c>
      <c r="G273" t="b">
        <v>1</v>
      </c>
      <c r="H273">
        <v>1</v>
      </c>
      <c r="I273">
        <v>1</v>
      </c>
      <c r="J273">
        <v>0.25</v>
      </c>
      <c r="K273" s="55">
        <f>VLOOKUP(VLOOKUP(Q273&amp;"_"&amp;R273,活动关卡!$A$4:$Z$27,2+5*S273,FALSE),'⚪设计'!$B$85:$H$114,7,FALSE)</f>
        <v>0.5</v>
      </c>
      <c r="L273" s="57" t="s">
        <v>2343</v>
      </c>
      <c r="M273" t="s">
        <v>468</v>
      </c>
      <c r="N273" t="s">
        <v>469</v>
      </c>
      <c r="O273" t="s">
        <v>470</v>
      </c>
      <c r="P273" s="57" t="str">
        <f>IF(VLOOKUP(D273,'⚪设计'!$C$85:$I$113,7,FALSE)="","",VLOOKUP(D273,'⚪设计'!$C$85:$I$113,7,FALSE)&amp;",NormalAttack")</f>
        <v/>
      </c>
      <c r="Q273" s="110" t="str">
        <f t="shared" si="8"/>
        <v>5</v>
      </c>
      <c r="R273" s="110" t="str">
        <f t="shared" si="9"/>
        <v>2</v>
      </c>
      <c r="S273" s="110" t="str">
        <f t="shared" si="10"/>
        <v>2</v>
      </c>
    </row>
    <row r="274" spans="2:19" x14ac:dyDescent="0.2">
      <c r="B274" s="57" t="s">
        <v>2636</v>
      </c>
      <c r="C274" s="57" t="s">
        <v>2928</v>
      </c>
      <c r="D274" s="55" t="str">
        <f>VLOOKUP(VLOOKUP(Q274&amp;"_"&amp;R274,活动关卡!$A$4:$Z$27,2+5*S274,FALSE),'⚪设计'!$B$85:$H$114,2,FALSE)</f>
        <v>ResUnit_Niao2</v>
      </c>
      <c r="E274" s="55">
        <f>VLOOKUP(VLOOKUP(Q274&amp;"_"&amp;R274,活动关卡!$A$4:$Z$27,2+5*S274,FALSE),'⚪设计'!$B$85:$H$114,6,FALSE)*VLOOKUP(Q274&amp;"_"&amp;R274,活动关卡!$A$4:$Z$27,5,FALSE)</f>
        <v>3</v>
      </c>
      <c r="F274">
        <v>400</v>
      </c>
      <c r="G274" t="b">
        <v>1</v>
      </c>
      <c r="H274">
        <v>1</v>
      </c>
      <c r="I274">
        <v>1</v>
      </c>
      <c r="J274">
        <v>0.25</v>
      </c>
      <c r="K274" s="55">
        <f>VLOOKUP(VLOOKUP(Q274&amp;"_"&amp;R274,活动关卡!$A$4:$Z$27,2+5*S274,FALSE),'⚪设计'!$B$85:$H$114,7,FALSE)</f>
        <v>1.2</v>
      </c>
      <c r="L274" s="57" t="s">
        <v>2344</v>
      </c>
      <c r="M274" t="s">
        <v>468</v>
      </c>
      <c r="N274" t="s">
        <v>469</v>
      </c>
      <c r="O274" t="s">
        <v>470</v>
      </c>
      <c r="P274" s="57" t="str">
        <f>IF(VLOOKUP(D274,'⚪设计'!$C$85:$I$113,7,FALSE)="","",VLOOKUP(D274,'⚪设计'!$C$85:$I$113,7,FALSE)&amp;",NormalAttack")</f>
        <v/>
      </c>
      <c r="Q274" s="110" t="str">
        <f t="shared" si="8"/>
        <v>5</v>
      </c>
      <c r="R274" s="110" t="str">
        <f t="shared" si="9"/>
        <v>2</v>
      </c>
      <c r="S274" s="110" t="str">
        <f t="shared" si="10"/>
        <v>3</v>
      </c>
    </row>
    <row r="275" spans="2:19" x14ac:dyDescent="0.2">
      <c r="B275" s="57" t="s">
        <v>2637</v>
      </c>
      <c r="C275" s="57" t="s">
        <v>2929</v>
      </c>
      <c r="D275" s="55" t="str">
        <f>VLOOKUP(VLOOKUP(Q275&amp;"_"&amp;R275,活动关卡!$A$4:$Z$27,2+5*S275,FALSE),'⚪设计'!$B$85:$H$114,2,FALSE)</f>
        <v>ResUnit_Dan2</v>
      </c>
      <c r="E275" s="55">
        <f>VLOOKUP(VLOOKUP(Q275&amp;"_"&amp;R275,活动关卡!$A$4:$Z$27,2+5*S275,FALSE),'⚪设计'!$B$85:$H$114,6,FALSE)*VLOOKUP(Q275&amp;"_"&amp;R275,活动关卡!$A$4:$Z$27,5,FALSE)</f>
        <v>3</v>
      </c>
      <c r="F275">
        <v>400</v>
      </c>
      <c r="G275" t="b">
        <v>1</v>
      </c>
      <c r="H275">
        <v>1</v>
      </c>
      <c r="I275">
        <v>1</v>
      </c>
      <c r="J275">
        <v>0.25</v>
      </c>
      <c r="K275" s="55">
        <f>VLOOKUP(VLOOKUP(Q275&amp;"_"&amp;R275,活动关卡!$A$4:$Z$27,2+5*S275,FALSE),'⚪设计'!$B$85:$H$114,7,FALSE)</f>
        <v>1.3</v>
      </c>
      <c r="L275" s="57" t="s">
        <v>2345</v>
      </c>
      <c r="M275" t="s">
        <v>468</v>
      </c>
      <c r="N275" t="s">
        <v>469</v>
      </c>
      <c r="O275" t="s">
        <v>470</v>
      </c>
      <c r="P275" s="57" t="str">
        <f>IF(VLOOKUP(D275,'⚪设计'!$C$85:$I$113,7,FALSE)="","",VLOOKUP(D275,'⚪设计'!$C$85:$I$113,7,FALSE)&amp;",NormalAttack")</f>
        <v>Skill_Monster_Weaken,NormalAttack</v>
      </c>
      <c r="Q275" s="110" t="str">
        <f t="shared" si="8"/>
        <v>5</v>
      </c>
      <c r="R275" s="110" t="str">
        <f t="shared" si="9"/>
        <v>3</v>
      </c>
      <c r="S275" s="110" t="str">
        <f t="shared" si="10"/>
        <v>1</v>
      </c>
    </row>
    <row r="276" spans="2:19" x14ac:dyDescent="0.2">
      <c r="B276" s="57" t="s">
        <v>2638</v>
      </c>
      <c r="C276" s="57" t="s">
        <v>2930</v>
      </c>
      <c r="D276" s="55" t="str">
        <f>VLOOKUP(VLOOKUP(Q276&amp;"_"&amp;R276,活动关卡!$A$4:$Z$27,2+5*S276,FALSE),'⚪设计'!$B$85:$H$114,2,FALSE)</f>
        <v>ResUnit_ZhiZhu1</v>
      </c>
      <c r="E276" s="55">
        <f>VLOOKUP(VLOOKUP(Q276&amp;"_"&amp;R276,活动关卡!$A$4:$Z$27,2+5*S276,FALSE),'⚪设计'!$B$85:$H$114,6,FALSE)*VLOOKUP(Q276&amp;"_"&amp;R276,活动关卡!$A$4:$Z$27,5,FALSE)</f>
        <v>4.5</v>
      </c>
      <c r="F276">
        <v>400</v>
      </c>
      <c r="G276" t="b">
        <v>1</v>
      </c>
      <c r="H276">
        <v>1</v>
      </c>
      <c r="I276">
        <v>1</v>
      </c>
      <c r="J276">
        <v>0.25</v>
      </c>
      <c r="K276" s="55">
        <f>VLOOKUP(VLOOKUP(Q276&amp;"_"&amp;R276,活动关卡!$A$4:$Z$27,2+5*S276,FALSE),'⚪设计'!$B$85:$H$114,7,FALSE)</f>
        <v>1</v>
      </c>
      <c r="L276" s="57" t="s">
        <v>2346</v>
      </c>
      <c r="M276" t="s">
        <v>468</v>
      </c>
      <c r="N276" t="s">
        <v>469</v>
      </c>
      <c r="O276" t="s">
        <v>470</v>
      </c>
      <c r="P276" s="57" t="str">
        <f>IF(VLOOKUP(D276,'⚪设计'!$C$85:$I$113,7,FALSE)="","",VLOOKUP(D276,'⚪设计'!$C$85:$I$113,7,FALSE)&amp;",NormalAttack")</f>
        <v/>
      </c>
      <c r="Q276" s="110" t="str">
        <f t="shared" si="8"/>
        <v>5</v>
      </c>
      <c r="R276" s="110" t="str">
        <f t="shared" si="9"/>
        <v>3</v>
      </c>
      <c r="S276" s="110" t="str">
        <f t="shared" si="10"/>
        <v>2</v>
      </c>
    </row>
    <row r="277" spans="2:19" x14ac:dyDescent="0.2">
      <c r="B277" s="57" t="s">
        <v>2639</v>
      </c>
      <c r="C277" s="57" t="s">
        <v>2931</v>
      </c>
      <c r="D277" s="55" t="str">
        <f>VLOOKUP(VLOOKUP(Q277&amp;"_"&amp;R277,活动关卡!$A$4:$Z$27,2+5*S277,FALSE),'⚪设计'!$B$85:$H$114,2,FALSE)</f>
        <v>ResUnit_Gui1</v>
      </c>
      <c r="E277" s="55">
        <f>VLOOKUP(VLOOKUP(Q277&amp;"_"&amp;R277,活动关卡!$A$4:$Z$27,2+5*S277,FALSE),'⚪设计'!$B$85:$H$114,6,FALSE)*VLOOKUP(Q277&amp;"_"&amp;R277,活动关卡!$A$4:$Z$27,5,FALSE)</f>
        <v>3</v>
      </c>
      <c r="F277">
        <v>400</v>
      </c>
      <c r="G277" t="b">
        <v>1</v>
      </c>
      <c r="H277">
        <v>1</v>
      </c>
      <c r="I277">
        <v>1</v>
      </c>
      <c r="J277">
        <v>0.25</v>
      </c>
      <c r="K277" s="55">
        <f>VLOOKUP(VLOOKUP(Q277&amp;"_"&amp;R277,活动关卡!$A$4:$Z$27,2+5*S277,FALSE),'⚪设计'!$B$85:$H$114,7,FALSE)</f>
        <v>1</v>
      </c>
      <c r="L277" s="57" t="s">
        <v>2347</v>
      </c>
      <c r="M277" t="s">
        <v>468</v>
      </c>
      <c r="N277" t="s">
        <v>469</v>
      </c>
      <c r="O277" t="s">
        <v>470</v>
      </c>
      <c r="P277" s="57" t="str">
        <f>IF(VLOOKUP(D277,'⚪设计'!$C$85:$I$113,7,FALSE)="","",VLOOKUP(D277,'⚪设计'!$C$85:$I$113,7,FALSE)&amp;",NormalAttack")</f>
        <v>Skill_Monster_Invisible,NormalAttack</v>
      </c>
      <c r="Q277" s="110" t="str">
        <f t="shared" si="8"/>
        <v>5</v>
      </c>
      <c r="R277" s="110" t="str">
        <f t="shared" si="9"/>
        <v>3</v>
      </c>
      <c r="S277" s="110" t="str">
        <f t="shared" si="10"/>
        <v>3</v>
      </c>
    </row>
    <row r="278" spans="2:19" x14ac:dyDescent="0.2">
      <c r="B278" s="57" t="s">
        <v>2640</v>
      </c>
      <c r="C278" s="57" t="s">
        <v>2932</v>
      </c>
      <c r="D278" s="55" t="str">
        <f>VLOOKUP(VLOOKUP(Q278&amp;"_"&amp;R278,活动关卡!$A$4:$Z$27,2+5*S278,FALSE),'⚪设计'!$B$85:$H$114,2,FALSE)</f>
        <v>ResUnit_Niao2</v>
      </c>
      <c r="E278" s="55">
        <f>VLOOKUP(VLOOKUP(Q278&amp;"_"&amp;R278,活动关卡!$A$4:$Z$27,2+5*S278,FALSE),'⚪设计'!$B$85:$H$114,6,FALSE)*VLOOKUP(Q278&amp;"_"&amp;R278,活动关卡!$A$4:$Z$27,5,FALSE)</f>
        <v>3</v>
      </c>
      <c r="F278">
        <v>400</v>
      </c>
      <c r="G278" t="b">
        <v>1</v>
      </c>
      <c r="H278">
        <v>1</v>
      </c>
      <c r="I278">
        <v>1</v>
      </c>
      <c r="J278">
        <v>0.25</v>
      </c>
      <c r="K278" s="55">
        <f>VLOOKUP(VLOOKUP(Q278&amp;"_"&amp;R278,活动关卡!$A$4:$Z$27,2+5*S278,FALSE),'⚪设计'!$B$85:$H$114,7,FALSE)</f>
        <v>1.2</v>
      </c>
      <c r="L278" s="57" t="s">
        <v>2348</v>
      </c>
      <c r="M278" t="s">
        <v>468</v>
      </c>
      <c r="N278" t="s">
        <v>469</v>
      </c>
      <c r="O278" t="s">
        <v>470</v>
      </c>
      <c r="P278" s="57" t="str">
        <f>IF(VLOOKUP(D278,'⚪设计'!$C$85:$I$113,7,FALSE)="","",VLOOKUP(D278,'⚪设计'!$C$85:$I$113,7,FALSE)&amp;",NormalAttack")</f>
        <v/>
      </c>
      <c r="Q278" s="110" t="str">
        <f t="shared" si="8"/>
        <v>5</v>
      </c>
      <c r="R278" s="110" t="str">
        <f t="shared" si="9"/>
        <v>3</v>
      </c>
      <c r="S278" s="110" t="str">
        <f t="shared" si="10"/>
        <v>4</v>
      </c>
    </row>
    <row r="279" spans="2:19" x14ac:dyDescent="0.2">
      <c r="B279" s="57" t="s">
        <v>2641</v>
      </c>
      <c r="C279" s="57" t="s">
        <v>2933</v>
      </c>
      <c r="D279" s="55" t="str">
        <f>VLOOKUP(VLOOKUP(Q279&amp;"_"&amp;R279,活动关卡!$A$4:$Z$27,2+5*S279,FALSE),'⚪设计'!$B$85:$H$114,2,FALSE)</f>
        <v>ResUnit_Dan2</v>
      </c>
      <c r="E279" s="55">
        <f>VLOOKUP(VLOOKUP(Q279&amp;"_"&amp;R279,活动关卡!$A$4:$Z$27,2+5*S279,FALSE),'⚪设计'!$B$85:$H$114,6,FALSE)*VLOOKUP(Q279&amp;"_"&amp;R279,活动关卡!$A$4:$Z$27,5,FALSE)</f>
        <v>3</v>
      </c>
      <c r="F279">
        <v>400</v>
      </c>
      <c r="G279" t="b">
        <v>1</v>
      </c>
      <c r="H279">
        <v>1</v>
      </c>
      <c r="I279">
        <v>1</v>
      </c>
      <c r="J279">
        <v>0.25</v>
      </c>
      <c r="K279" s="55">
        <f>VLOOKUP(VLOOKUP(Q279&amp;"_"&amp;R279,活动关卡!$A$4:$Z$27,2+5*S279,FALSE),'⚪设计'!$B$85:$H$114,7,FALSE)</f>
        <v>1.3</v>
      </c>
      <c r="L279" s="57" t="s">
        <v>2349</v>
      </c>
      <c r="M279" t="s">
        <v>468</v>
      </c>
      <c r="N279" t="s">
        <v>469</v>
      </c>
      <c r="O279" t="s">
        <v>470</v>
      </c>
      <c r="P279" s="57" t="str">
        <f>IF(VLOOKUP(D279,'⚪设计'!$C$85:$I$113,7,FALSE)="","",VLOOKUP(D279,'⚪设计'!$C$85:$I$113,7,FALSE)&amp;",NormalAttack")</f>
        <v>Skill_Monster_Weaken,NormalAttack</v>
      </c>
      <c r="Q279" s="110" t="str">
        <f t="shared" si="8"/>
        <v>5</v>
      </c>
      <c r="R279" s="110" t="str">
        <f t="shared" si="9"/>
        <v>4</v>
      </c>
      <c r="S279" s="110" t="str">
        <f t="shared" si="10"/>
        <v>1</v>
      </c>
    </row>
    <row r="280" spans="2:19" x14ac:dyDescent="0.2">
      <c r="B280" s="57" t="s">
        <v>2642</v>
      </c>
      <c r="C280" s="57" t="s">
        <v>2934</v>
      </c>
      <c r="D280" s="55" t="str">
        <f>VLOOKUP(VLOOKUP(Q280&amp;"_"&amp;R280,活动关卡!$A$4:$Z$27,2+5*S280,FALSE),'⚪设计'!$B$85:$H$114,2,FALSE)</f>
        <v>ResUnit_Gui1</v>
      </c>
      <c r="E280" s="55">
        <f>VLOOKUP(VLOOKUP(Q280&amp;"_"&amp;R280,活动关卡!$A$4:$Z$27,2+5*S280,FALSE),'⚪设计'!$B$85:$H$114,6,FALSE)*VLOOKUP(Q280&amp;"_"&amp;R280,活动关卡!$A$4:$Z$27,5,FALSE)</f>
        <v>3</v>
      </c>
      <c r="F280">
        <v>400</v>
      </c>
      <c r="G280" t="b">
        <v>1</v>
      </c>
      <c r="H280">
        <v>1</v>
      </c>
      <c r="I280">
        <v>1</v>
      </c>
      <c r="J280">
        <v>0.25</v>
      </c>
      <c r="K280" s="55">
        <f>VLOOKUP(VLOOKUP(Q280&amp;"_"&amp;R280,活动关卡!$A$4:$Z$27,2+5*S280,FALSE),'⚪设计'!$B$85:$H$114,7,FALSE)</f>
        <v>1</v>
      </c>
      <c r="L280" s="57" t="s">
        <v>2350</v>
      </c>
      <c r="M280" t="s">
        <v>468</v>
      </c>
      <c r="N280" t="s">
        <v>469</v>
      </c>
      <c r="O280" t="s">
        <v>470</v>
      </c>
      <c r="P280" s="57" t="str">
        <f>IF(VLOOKUP(D280,'⚪设计'!$C$85:$I$113,7,FALSE)="","",VLOOKUP(D280,'⚪设计'!$C$85:$I$113,7,FALSE)&amp;",NormalAttack")</f>
        <v>Skill_Monster_Invisible,NormalAttack</v>
      </c>
      <c r="Q280" s="110" t="str">
        <f t="shared" si="8"/>
        <v>5</v>
      </c>
      <c r="R280" s="110" t="str">
        <f t="shared" si="9"/>
        <v>4</v>
      </c>
      <c r="S280" s="110" t="str">
        <f t="shared" si="10"/>
        <v>2</v>
      </c>
    </row>
    <row r="281" spans="2:19" x14ac:dyDescent="0.2">
      <c r="B281" s="57" t="s">
        <v>2643</v>
      </c>
      <c r="C281" s="57" t="s">
        <v>2935</v>
      </c>
      <c r="D281" s="55" t="str">
        <f>VLOOKUP(VLOOKUP(Q281&amp;"_"&amp;R281,活动关卡!$A$4:$Z$27,2+5*S281,FALSE),'⚪设计'!$B$85:$H$114,2,FALSE)</f>
        <v>ResUnit_Niao2</v>
      </c>
      <c r="E281" s="55">
        <f>VLOOKUP(VLOOKUP(Q281&amp;"_"&amp;R281,活动关卡!$A$4:$Z$27,2+5*S281,FALSE),'⚪设计'!$B$85:$H$114,6,FALSE)*VLOOKUP(Q281&amp;"_"&amp;R281,活动关卡!$A$4:$Z$27,5,FALSE)</f>
        <v>3</v>
      </c>
      <c r="F281">
        <v>400</v>
      </c>
      <c r="G281" t="b">
        <v>1</v>
      </c>
      <c r="H281">
        <v>1</v>
      </c>
      <c r="I281">
        <v>1</v>
      </c>
      <c r="J281">
        <v>0.25</v>
      </c>
      <c r="K281" s="55">
        <f>VLOOKUP(VLOOKUP(Q281&amp;"_"&amp;R281,活动关卡!$A$4:$Z$27,2+5*S281,FALSE),'⚪设计'!$B$85:$H$114,7,FALSE)</f>
        <v>1.2</v>
      </c>
      <c r="L281" s="57" t="s">
        <v>2351</v>
      </c>
      <c r="M281" t="s">
        <v>468</v>
      </c>
      <c r="N281" t="s">
        <v>469</v>
      </c>
      <c r="O281" t="s">
        <v>470</v>
      </c>
      <c r="P281" s="57" t="str">
        <f>IF(VLOOKUP(D281,'⚪设计'!$C$85:$I$113,7,FALSE)="","",VLOOKUP(D281,'⚪设计'!$C$85:$I$113,7,FALSE)&amp;",NormalAttack")</f>
        <v/>
      </c>
      <c r="Q281" s="110" t="str">
        <f t="shared" si="8"/>
        <v>5</v>
      </c>
      <c r="R281" s="110" t="str">
        <f t="shared" si="9"/>
        <v>4</v>
      </c>
      <c r="S281" s="110" t="str">
        <f t="shared" si="10"/>
        <v>3</v>
      </c>
    </row>
    <row r="282" spans="2:19" x14ac:dyDescent="0.2">
      <c r="B282" s="57" t="s">
        <v>2644</v>
      </c>
      <c r="C282" s="57" t="s">
        <v>2936</v>
      </c>
      <c r="D282" s="55" t="str">
        <f>VLOOKUP(VLOOKUP(Q282&amp;"_"&amp;R282,活动关卡!$A$4:$Z$27,2+5*S282,FALSE),'⚪设计'!$B$85:$H$114,2,FALSE)</f>
        <v>ResUnit_Dan2</v>
      </c>
      <c r="E282" s="55">
        <f>VLOOKUP(VLOOKUP(Q282&amp;"_"&amp;R282,活动关卡!$A$4:$Z$27,2+5*S282,FALSE),'⚪设计'!$B$85:$H$114,6,FALSE)*VLOOKUP(Q282&amp;"_"&amp;R282,活动关卡!$A$4:$Z$27,5,FALSE)</f>
        <v>3</v>
      </c>
      <c r="F282">
        <v>400</v>
      </c>
      <c r="G282" t="b">
        <v>1</v>
      </c>
      <c r="H282">
        <v>1</v>
      </c>
      <c r="I282">
        <v>1</v>
      </c>
      <c r="J282">
        <v>0.25</v>
      </c>
      <c r="K282" s="55">
        <f>VLOOKUP(VLOOKUP(Q282&amp;"_"&amp;R282,活动关卡!$A$4:$Z$27,2+5*S282,FALSE),'⚪设计'!$B$85:$H$114,7,FALSE)</f>
        <v>1.3</v>
      </c>
      <c r="L282" s="57" t="s">
        <v>2352</v>
      </c>
      <c r="M282" t="s">
        <v>468</v>
      </c>
      <c r="N282" t="s">
        <v>469</v>
      </c>
      <c r="O282" t="s">
        <v>470</v>
      </c>
      <c r="P282" s="57" t="str">
        <f>IF(VLOOKUP(D282,'⚪设计'!$C$85:$I$113,7,FALSE)="","",VLOOKUP(D282,'⚪设计'!$C$85:$I$113,7,FALSE)&amp;",NormalAttack")</f>
        <v>Skill_Monster_Weaken,NormalAttack</v>
      </c>
      <c r="Q282" s="110" t="str">
        <f t="shared" si="8"/>
        <v>5</v>
      </c>
      <c r="R282" s="110" t="str">
        <f t="shared" si="9"/>
        <v>5</v>
      </c>
      <c r="S282" s="110" t="str">
        <f t="shared" si="10"/>
        <v>1</v>
      </c>
    </row>
    <row r="283" spans="2:19" x14ac:dyDescent="0.2">
      <c r="B283" s="57" t="s">
        <v>2645</v>
      </c>
      <c r="C283" s="57" t="s">
        <v>2937</v>
      </c>
      <c r="D283" s="55" t="str">
        <f>VLOOKUP(VLOOKUP(Q283&amp;"_"&amp;R283,活动关卡!$A$4:$Z$27,2+5*S283,FALSE),'⚪设计'!$B$85:$H$114,2,FALSE)</f>
        <v>ResUnit_Gui1</v>
      </c>
      <c r="E283" s="55">
        <f>VLOOKUP(VLOOKUP(Q283&amp;"_"&amp;R283,活动关卡!$A$4:$Z$27,2+5*S283,FALSE),'⚪设计'!$B$85:$H$114,6,FALSE)*VLOOKUP(Q283&amp;"_"&amp;R283,活动关卡!$A$4:$Z$27,5,FALSE)</f>
        <v>3</v>
      </c>
      <c r="F283">
        <v>400</v>
      </c>
      <c r="G283" t="b">
        <v>1</v>
      </c>
      <c r="H283">
        <v>1</v>
      </c>
      <c r="I283">
        <v>1</v>
      </c>
      <c r="J283">
        <v>0.25</v>
      </c>
      <c r="K283" s="55">
        <f>VLOOKUP(VLOOKUP(Q283&amp;"_"&amp;R283,活动关卡!$A$4:$Z$27,2+5*S283,FALSE),'⚪设计'!$B$85:$H$114,7,FALSE)</f>
        <v>1</v>
      </c>
      <c r="L283" s="57" t="s">
        <v>2353</v>
      </c>
      <c r="M283" t="s">
        <v>468</v>
      </c>
      <c r="N283" t="s">
        <v>469</v>
      </c>
      <c r="O283" t="s">
        <v>470</v>
      </c>
      <c r="P283" s="57" t="str">
        <f>IF(VLOOKUP(D283,'⚪设计'!$C$85:$I$113,7,FALSE)="","",VLOOKUP(D283,'⚪设计'!$C$85:$I$113,7,FALSE)&amp;",NormalAttack")</f>
        <v>Skill_Monster_Invisible,NormalAttack</v>
      </c>
      <c r="Q283" s="110" t="str">
        <f t="shared" si="8"/>
        <v>5</v>
      </c>
      <c r="R283" s="110" t="str">
        <f t="shared" si="9"/>
        <v>5</v>
      </c>
      <c r="S283" s="110" t="str">
        <f t="shared" si="10"/>
        <v>2</v>
      </c>
    </row>
    <row r="284" spans="2:19" x14ac:dyDescent="0.2">
      <c r="B284" s="57" t="s">
        <v>2646</v>
      </c>
      <c r="C284" s="57" t="s">
        <v>2938</v>
      </c>
      <c r="D284" s="55" t="str">
        <f>VLOOKUP(VLOOKUP(Q284&amp;"_"&amp;R284,活动关卡!$A$4:$Z$27,2+5*S284,FALSE),'⚪设计'!$B$85:$H$114,2,FALSE)</f>
        <v>ResUnit_ZhongZi1</v>
      </c>
      <c r="E284" s="55">
        <f>VLOOKUP(VLOOKUP(Q284&amp;"_"&amp;R284,活动关卡!$A$4:$Z$27,2+5*S284,FALSE),'⚪设计'!$B$85:$H$114,6,FALSE)*VLOOKUP(Q284&amp;"_"&amp;R284,活动关卡!$A$4:$Z$27,5,FALSE)</f>
        <v>3</v>
      </c>
      <c r="F284">
        <v>400</v>
      </c>
      <c r="G284" t="b">
        <v>1</v>
      </c>
      <c r="H284">
        <v>1</v>
      </c>
      <c r="I284">
        <v>1</v>
      </c>
      <c r="J284">
        <v>0.25</v>
      </c>
      <c r="K284" s="55">
        <f>VLOOKUP(VLOOKUP(Q284&amp;"_"&amp;R284,活动关卡!$A$4:$Z$27,2+5*S284,FALSE),'⚪设计'!$B$85:$H$114,7,FALSE)</f>
        <v>1</v>
      </c>
      <c r="L284" s="57" t="s">
        <v>2354</v>
      </c>
      <c r="M284" t="s">
        <v>468</v>
      </c>
      <c r="N284" t="s">
        <v>469</v>
      </c>
      <c r="O284" t="s">
        <v>470</v>
      </c>
      <c r="P284" s="57" t="str">
        <f>IF(VLOOKUP(D284,'⚪设计'!$C$85:$I$113,7,FALSE)="","",VLOOKUP(D284,'⚪设计'!$C$85:$I$113,7,FALSE)&amp;",NormalAttack")</f>
        <v>Skill_Monster_Heal,NormalAttack</v>
      </c>
      <c r="Q284" s="110" t="str">
        <f t="shared" si="8"/>
        <v>5</v>
      </c>
      <c r="R284" s="110" t="str">
        <f t="shared" si="9"/>
        <v>5</v>
      </c>
      <c r="S284" s="110" t="str">
        <f t="shared" si="10"/>
        <v>3</v>
      </c>
    </row>
    <row r="285" spans="2:19" x14ac:dyDescent="0.2">
      <c r="B285" s="57" t="s">
        <v>2647</v>
      </c>
      <c r="C285" s="57" t="s">
        <v>2939</v>
      </c>
      <c r="D285" s="55" t="str">
        <f>VLOOKUP(VLOOKUP(Q285&amp;"_"&amp;R285,活动关卡!$A$4:$Z$27,2+5*S285,FALSE),'⚪设计'!$B$85:$H$114,2,FALSE)</f>
        <v>ResUnit_Niao2</v>
      </c>
      <c r="E285" s="55">
        <f>VLOOKUP(VLOOKUP(Q285&amp;"_"&amp;R285,活动关卡!$A$4:$Z$27,2+5*S285,FALSE),'⚪设计'!$B$85:$H$114,6,FALSE)*VLOOKUP(Q285&amp;"_"&amp;R285,活动关卡!$A$4:$Z$27,5,FALSE)</f>
        <v>3</v>
      </c>
      <c r="F285">
        <v>400</v>
      </c>
      <c r="G285" t="b">
        <v>1</v>
      </c>
      <c r="H285">
        <v>1</v>
      </c>
      <c r="I285">
        <v>1</v>
      </c>
      <c r="J285">
        <v>0.25</v>
      </c>
      <c r="K285" s="55">
        <f>VLOOKUP(VLOOKUP(Q285&amp;"_"&amp;R285,活动关卡!$A$4:$Z$27,2+5*S285,FALSE),'⚪设计'!$B$85:$H$114,7,FALSE)</f>
        <v>1.2</v>
      </c>
      <c r="L285" s="57" t="s">
        <v>2355</v>
      </c>
      <c r="M285" t="s">
        <v>468</v>
      </c>
      <c r="N285" t="s">
        <v>469</v>
      </c>
      <c r="O285" t="s">
        <v>470</v>
      </c>
      <c r="P285" s="57" t="str">
        <f>IF(VLOOKUP(D285,'⚪设计'!$C$85:$I$113,7,FALSE)="","",VLOOKUP(D285,'⚪设计'!$C$85:$I$113,7,FALSE)&amp;",NormalAttack")</f>
        <v/>
      </c>
      <c r="Q285" s="110" t="str">
        <f t="shared" si="8"/>
        <v>5</v>
      </c>
      <c r="R285" s="110" t="str">
        <f t="shared" si="9"/>
        <v>5</v>
      </c>
      <c r="S285" s="110" t="str">
        <f t="shared" si="10"/>
        <v>4</v>
      </c>
    </row>
    <row r="286" spans="2:19" x14ac:dyDescent="0.2">
      <c r="B286" s="57" t="s">
        <v>2648</v>
      </c>
      <c r="C286" s="57" t="s">
        <v>2940</v>
      </c>
      <c r="D286" s="55" t="str">
        <f>VLOOKUP(VLOOKUP(Q286&amp;"_"&amp;R286,活动关卡!$A$4:$Z$27,2+5*S286,FALSE),'⚪设计'!$B$85:$H$114,2,FALSE)</f>
        <v>ResUnit_Dan2</v>
      </c>
      <c r="E286" s="55">
        <f>VLOOKUP(VLOOKUP(Q286&amp;"_"&amp;R286,活动关卡!$A$4:$Z$27,2+5*S286,FALSE),'⚪设计'!$B$85:$H$114,6,FALSE)*VLOOKUP(Q286&amp;"_"&amp;R286,活动关卡!$A$4:$Z$27,5,FALSE)</f>
        <v>3</v>
      </c>
      <c r="F286">
        <v>400</v>
      </c>
      <c r="G286" t="b">
        <v>1</v>
      </c>
      <c r="H286">
        <v>1</v>
      </c>
      <c r="I286">
        <v>1</v>
      </c>
      <c r="J286">
        <v>0.25</v>
      </c>
      <c r="K286" s="55">
        <f>VLOOKUP(VLOOKUP(Q286&amp;"_"&amp;R286,活动关卡!$A$4:$Z$27,2+5*S286,FALSE),'⚪设计'!$B$85:$H$114,7,FALSE)</f>
        <v>1.3</v>
      </c>
      <c r="L286" s="57" t="s">
        <v>2356</v>
      </c>
      <c r="M286" t="s">
        <v>468</v>
      </c>
      <c r="N286" t="s">
        <v>469</v>
      </c>
      <c r="O286" t="s">
        <v>470</v>
      </c>
      <c r="P286" s="57" t="str">
        <f>IF(VLOOKUP(D286,'⚪设计'!$C$85:$I$113,7,FALSE)="","",VLOOKUP(D286,'⚪设计'!$C$85:$I$113,7,FALSE)&amp;",NormalAttack")</f>
        <v>Skill_Monster_Weaken,NormalAttack</v>
      </c>
      <c r="Q286" s="110" t="str">
        <f t="shared" si="8"/>
        <v>5</v>
      </c>
      <c r="R286" s="110" t="str">
        <f t="shared" si="9"/>
        <v>6</v>
      </c>
      <c r="S286" s="110" t="str">
        <f t="shared" si="10"/>
        <v>1</v>
      </c>
    </row>
    <row r="287" spans="2:19" x14ac:dyDescent="0.2">
      <c r="B287" s="57" t="s">
        <v>2649</v>
      </c>
      <c r="C287" s="57" t="s">
        <v>2941</v>
      </c>
      <c r="D287" s="55" t="str">
        <f>VLOOKUP(VLOOKUP(Q287&amp;"_"&amp;R287,活动关卡!$A$4:$Z$27,2+5*S287,FALSE),'⚪设计'!$B$85:$H$114,2,FALSE)</f>
        <v>ResUnit_ZhongZi2</v>
      </c>
      <c r="E287" s="55">
        <f>VLOOKUP(VLOOKUP(Q287&amp;"_"&amp;R287,活动关卡!$A$4:$Z$27,2+5*S287,FALSE),'⚪设计'!$B$85:$H$114,6,FALSE)*VLOOKUP(Q287&amp;"_"&amp;R287,活动关卡!$A$4:$Z$27,5,FALSE)</f>
        <v>3</v>
      </c>
      <c r="F287">
        <v>400</v>
      </c>
      <c r="G287" t="b">
        <v>1</v>
      </c>
      <c r="H287">
        <v>1</v>
      </c>
      <c r="I287">
        <v>1</v>
      </c>
      <c r="J287">
        <v>0.25</v>
      </c>
      <c r="K287" s="55">
        <f>VLOOKUP(VLOOKUP(Q287&amp;"_"&amp;R287,活动关卡!$A$4:$Z$27,2+5*S287,FALSE),'⚪设计'!$B$85:$H$114,7,FALSE)</f>
        <v>1.2</v>
      </c>
      <c r="L287" s="57" t="s">
        <v>2357</v>
      </c>
      <c r="M287" t="s">
        <v>468</v>
      </c>
      <c r="N287" t="s">
        <v>469</v>
      </c>
      <c r="O287" t="s">
        <v>470</v>
      </c>
      <c r="P287" s="57" t="str">
        <f>IF(VLOOKUP(D287,'⚪设计'!$C$85:$I$113,7,FALSE)="","",VLOOKUP(D287,'⚪设计'!$C$85:$I$113,7,FALSE)&amp;",NormalAttack")</f>
        <v>Skill_Monster_Heal,NormalAttack</v>
      </c>
      <c r="Q287" s="110" t="str">
        <f t="shared" si="8"/>
        <v>5</v>
      </c>
      <c r="R287" s="110" t="str">
        <f t="shared" si="9"/>
        <v>6</v>
      </c>
      <c r="S287" s="110" t="str">
        <f t="shared" si="10"/>
        <v>2</v>
      </c>
    </row>
    <row r="288" spans="2:19" x14ac:dyDescent="0.2">
      <c r="B288" s="57" t="s">
        <v>2650</v>
      </c>
      <c r="C288" s="57" t="s">
        <v>2942</v>
      </c>
      <c r="D288" s="55" t="str">
        <f>VLOOKUP(VLOOKUP(Q288&amp;"_"&amp;R288,活动关卡!$A$4:$Z$27,2+5*S288,FALSE),'⚪设计'!$B$85:$H$114,2,FALSE)</f>
        <v>ResUnit_ZhiZhu2</v>
      </c>
      <c r="E288" s="55">
        <f>VLOOKUP(VLOOKUP(Q288&amp;"_"&amp;R288,活动关卡!$A$4:$Z$27,2+5*S288,FALSE),'⚪设计'!$B$85:$H$114,6,FALSE)*VLOOKUP(Q288&amp;"_"&amp;R288,活动关卡!$A$4:$Z$27,5,FALSE)</f>
        <v>4.5</v>
      </c>
      <c r="F288">
        <v>400</v>
      </c>
      <c r="G288" t="b">
        <v>1</v>
      </c>
      <c r="H288">
        <v>1</v>
      </c>
      <c r="I288">
        <v>1</v>
      </c>
      <c r="J288">
        <v>0.25</v>
      </c>
      <c r="K288" s="55">
        <f>VLOOKUP(VLOOKUP(Q288&amp;"_"&amp;R288,活动关卡!$A$4:$Z$27,2+5*S288,FALSE),'⚪设计'!$B$85:$H$114,7,FALSE)</f>
        <v>1</v>
      </c>
      <c r="L288" s="57" t="s">
        <v>2358</v>
      </c>
      <c r="M288" t="s">
        <v>468</v>
      </c>
      <c r="N288" t="s">
        <v>469</v>
      </c>
      <c r="O288" t="s">
        <v>470</v>
      </c>
      <c r="P288" s="57" t="str">
        <f>IF(VLOOKUP(D288,'⚪设计'!$C$85:$I$113,7,FALSE)="","",VLOOKUP(D288,'⚪设计'!$C$85:$I$113,7,FALSE)&amp;",NormalAttack")</f>
        <v/>
      </c>
      <c r="Q288" s="110" t="str">
        <f t="shared" si="8"/>
        <v>5</v>
      </c>
      <c r="R288" s="110" t="str">
        <f t="shared" si="9"/>
        <v>6</v>
      </c>
      <c r="S288" s="110" t="str">
        <f t="shared" si="10"/>
        <v>3</v>
      </c>
    </row>
    <row r="289" spans="2:19" x14ac:dyDescent="0.2">
      <c r="B289" s="57" t="s">
        <v>2651</v>
      </c>
      <c r="C289" s="57" t="s">
        <v>2943</v>
      </c>
      <c r="D289" s="55" t="str">
        <f>VLOOKUP(VLOOKUP(Q289&amp;"_"&amp;R289,活动关卡!$A$4:$Z$27,2+5*S289,FALSE),'⚪设计'!$B$85:$H$114,2,FALSE)</f>
        <v>ResUnit_Niao2</v>
      </c>
      <c r="E289" s="55">
        <f>VLOOKUP(VLOOKUP(Q289&amp;"_"&amp;R289,活动关卡!$A$4:$Z$27,2+5*S289,FALSE),'⚪设计'!$B$85:$H$114,6,FALSE)*VLOOKUP(Q289&amp;"_"&amp;R289,活动关卡!$A$4:$Z$27,5,FALSE)</f>
        <v>3</v>
      </c>
      <c r="F289">
        <v>400</v>
      </c>
      <c r="G289" t="b">
        <v>1</v>
      </c>
      <c r="H289">
        <v>1</v>
      </c>
      <c r="I289">
        <v>1</v>
      </c>
      <c r="J289">
        <v>0.25</v>
      </c>
      <c r="K289" s="55">
        <f>VLOOKUP(VLOOKUP(Q289&amp;"_"&amp;R289,活动关卡!$A$4:$Z$27,2+5*S289,FALSE),'⚪设计'!$B$85:$H$114,7,FALSE)</f>
        <v>1.2</v>
      </c>
      <c r="L289" s="57" t="s">
        <v>2359</v>
      </c>
      <c r="M289" t="s">
        <v>468</v>
      </c>
      <c r="N289" t="s">
        <v>469</v>
      </c>
      <c r="O289" t="s">
        <v>470</v>
      </c>
      <c r="P289" s="57" t="str">
        <f>IF(VLOOKUP(D289,'⚪设计'!$C$85:$I$113,7,FALSE)="","",VLOOKUP(D289,'⚪设计'!$C$85:$I$113,7,FALSE)&amp;",NormalAttack")</f>
        <v/>
      </c>
      <c r="Q289" s="110" t="str">
        <f t="shared" si="8"/>
        <v>5</v>
      </c>
      <c r="R289" s="110" t="str">
        <f t="shared" si="9"/>
        <v>6</v>
      </c>
      <c r="S289" s="110" t="str">
        <f t="shared" si="10"/>
        <v>4</v>
      </c>
    </row>
    <row r="290" spans="2:19" x14ac:dyDescent="0.2">
      <c r="B290" s="57" t="s">
        <v>2652</v>
      </c>
      <c r="C290" s="57" t="s">
        <v>2944</v>
      </c>
      <c r="D290" s="55" t="str">
        <f>VLOOKUP(VLOOKUP(Q290&amp;"_"&amp;R290,活动关卡!$A$4:$Z$27,2+5*S290,FALSE),'⚪设计'!$B$85:$H$114,2,FALSE)</f>
        <v>ResUnit_Dan2</v>
      </c>
      <c r="E290" s="55">
        <f>VLOOKUP(VLOOKUP(Q290&amp;"_"&amp;R290,活动关卡!$A$4:$Z$27,2+5*S290,FALSE),'⚪设计'!$B$85:$H$114,6,FALSE)*VLOOKUP(Q290&amp;"_"&amp;R290,活动关卡!$A$4:$Z$27,5,FALSE)</f>
        <v>3</v>
      </c>
      <c r="F290">
        <v>400</v>
      </c>
      <c r="G290" t="b">
        <v>1</v>
      </c>
      <c r="H290">
        <v>1</v>
      </c>
      <c r="I290">
        <v>1</v>
      </c>
      <c r="J290">
        <v>0.25</v>
      </c>
      <c r="K290" s="55">
        <f>VLOOKUP(VLOOKUP(Q290&amp;"_"&amp;R290,活动关卡!$A$4:$Z$27,2+5*S290,FALSE),'⚪设计'!$B$85:$H$114,7,FALSE)</f>
        <v>1.3</v>
      </c>
      <c r="L290" s="57" t="s">
        <v>2360</v>
      </c>
      <c r="M290" t="s">
        <v>468</v>
      </c>
      <c r="N290" t="s">
        <v>469</v>
      </c>
      <c r="O290" t="s">
        <v>470</v>
      </c>
      <c r="P290" s="57" t="str">
        <f>IF(VLOOKUP(D290,'⚪设计'!$C$85:$I$113,7,FALSE)="","",VLOOKUP(D290,'⚪设计'!$C$85:$I$113,7,FALSE)&amp;",NormalAttack")</f>
        <v>Skill_Monster_Weaken,NormalAttack</v>
      </c>
      <c r="Q290" s="110" t="str">
        <f t="shared" ref="Q290:Q353" si="11">LEFT(RIGHT(C290,5),1)</f>
        <v>5</v>
      </c>
      <c r="R290" s="110" t="str">
        <f t="shared" ref="R290:R353" si="12">LEFT(RIGHT(C290,3),1)</f>
        <v>7</v>
      </c>
      <c r="S290" s="110" t="str">
        <f t="shared" ref="S290:S353" si="13">RIGHT(C290,1)</f>
        <v>1</v>
      </c>
    </row>
    <row r="291" spans="2:19" x14ac:dyDescent="0.2">
      <c r="B291" s="57" t="s">
        <v>2653</v>
      </c>
      <c r="C291" s="57" t="s">
        <v>2945</v>
      </c>
      <c r="D291" s="55" t="str">
        <f>VLOOKUP(VLOOKUP(Q291&amp;"_"&amp;R291,活动关卡!$A$4:$Z$27,2+5*S291,FALSE),'⚪设计'!$B$85:$H$114,2,FALSE)</f>
        <v>ResUnit_Gui2</v>
      </c>
      <c r="E291" s="55">
        <f>VLOOKUP(VLOOKUP(Q291&amp;"_"&amp;R291,活动关卡!$A$4:$Z$27,2+5*S291,FALSE),'⚪设计'!$B$85:$H$114,6,FALSE)*VLOOKUP(Q291&amp;"_"&amp;R291,活动关卡!$A$4:$Z$27,5,FALSE)</f>
        <v>3</v>
      </c>
      <c r="F291">
        <v>400</v>
      </c>
      <c r="G291" t="b">
        <v>1</v>
      </c>
      <c r="H291">
        <v>1</v>
      </c>
      <c r="I291">
        <v>1</v>
      </c>
      <c r="J291">
        <v>0.25</v>
      </c>
      <c r="K291" s="55">
        <f>VLOOKUP(VLOOKUP(Q291&amp;"_"&amp;R291,活动关卡!$A$4:$Z$27,2+5*S291,FALSE),'⚪设计'!$B$85:$H$114,7,FALSE)</f>
        <v>1</v>
      </c>
      <c r="L291" s="57" t="s">
        <v>2361</v>
      </c>
      <c r="M291" t="s">
        <v>468</v>
      </c>
      <c r="N291" t="s">
        <v>469</v>
      </c>
      <c r="O291" t="s">
        <v>470</v>
      </c>
      <c r="P291" s="57" t="str">
        <f>IF(VLOOKUP(D291,'⚪设计'!$C$85:$I$113,7,FALSE)="","",VLOOKUP(D291,'⚪设计'!$C$85:$I$113,7,FALSE)&amp;",NormalAttack")</f>
        <v>Skill_Monster_Invisible,NormalAttack</v>
      </c>
      <c r="Q291" s="110" t="str">
        <f t="shared" si="11"/>
        <v>5</v>
      </c>
      <c r="R291" s="110" t="str">
        <f t="shared" si="12"/>
        <v>7</v>
      </c>
      <c r="S291" s="110" t="str">
        <f t="shared" si="13"/>
        <v>2</v>
      </c>
    </row>
    <row r="292" spans="2:19" x14ac:dyDescent="0.2">
      <c r="B292" s="57" t="s">
        <v>2654</v>
      </c>
      <c r="C292" s="57" t="s">
        <v>2946</v>
      </c>
      <c r="D292" s="55" t="str">
        <f>VLOOKUP(VLOOKUP(Q292&amp;"_"&amp;R292,活动关卡!$A$4:$Z$27,2+5*S292,FALSE),'⚪设计'!$B$85:$H$114,2,FALSE)</f>
        <v>ResUnit_BianFu2</v>
      </c>
      <c r="E292" s="55">
        <f>VLOOKUP(VLOOKUP(Q292&amp;"_"&amp;R292,活动关卡!$A$4:$Z$27,2+5*S292,FALSE),'⚪设计'!$B$85:$H$114,6,FALSE)*VLOOKUP(Q292&amp;"_"&amp;R292,活动关卡!$A$4:$Z$27,5,FALSE)</f>
        <v>3</v>
      </c>
      <c r="F292">
        <v>400</v>
      </c>
      <c r="G292" t="b">
        <v>1</v>
      </c>
      <c r="H292">
        <v>1</v>
      </c>
      <c r="I292">
        <v>1</v>
      </c>
      <c r="J292">
        <v>0.25</v>
      </c>
      <c r="K292" s="55">
        <f>VLOOKUP(VLOOKUP(Q292&amp;"_"&amp;R292,活动关卡!$A$4:$Z$27,2+5*S292,FALSE),'⚪设计'!$B$85:$H$114,7,FALSE)</f>
        <v>0.5</v>
      </c>
      <c r="L292" s="57" t="s">
        <v>2362</v>
      </c>
      <c r="M292" t="s">
        <v>468</v>
      </c>
      <c r="N292" t="s">
        <v>469</v>
      </c>
      <c r="O292" t="s">
        <v>470</v>
      </c>
      <c r="P292" s="57" t="str">
        <f>IF(VLOOKUP(D292,'⚪设计'!$C$85:$I$113,7,FALSE)="","",VLOOKUP(D292,'⚪设计'!$C$85:$I$113,7,FALSE)&amp;",NormalAttack")</f>
        <v/>
      </c>
      <c r="Q292" s="110" t="str">
        <f t="shared" si="11"/>
        <v>5</v>
      </c>
      <c r="R292" s="110" t="str">
        <f t="shared" si="12"/>
        <v>7</v>
      </c>
      <c r="S292" s="110" t="str">
        <f t="shared" si="13"/>
        <v>3</v>
      </c>
    </row>
    <row r="293" spans="2:19" x14ac:dyDescent="0.2">
      <c r="B293" s="57" t="s">
        <v>2655</v>
      </c>
      <c r="C293" s="57" t="s">
        <v>2947</v>
      </c>
      <c r="D293" s="55" t="str">
        <f>VLOOKUP(VLOOKUP(Q293&amp;"_"&amp;R293,活动关卡!$A$4:$Z$27,2+5*S293,FALSE),'⚪设计'!$B$85:$H$114,2,FALSE)</f>
        <v>ResUnit_Niao2</v>
      </c>
      <c r="E293" s="55">
        <f>VLOOKUP(VLOOKUP(Q293&amp;"_"&amp;R293,活动关卡!$A$4:$Z$27,2+5*S293,FALSE),'⚪设计'!$B$85:$H$114,6,FALSE)*VLOOKUP(Q293&amp;"_"&amp;R293,活动关卡!$A$4:$Z$27,5,FALSE)</f>
        <v>3</v>
      </c>
      <c r="F293">
        <v>400</v>
      </c>
      <c r="G293" t="b">
        <v>1</v>
      </c>
      <c r="H293">
        <v>1</v>
      </c>
      <c r="I293">
        <v>1</v>
      </c>
      <c r="J293">
        <v>0.25</v>
      </c>
      <c r="K293" s="55">
        <f>VLOOKUP(VLOOKUP(Q293&amp;"_"&amp;R293,活动关卡!$A$4:$Z$27,2+5*S293,FALSE),'⚪设计'!$B$85:$H$114,7,FALSE)</f>
        <v>1.2</v>
      </c>
      <c r="L293" s="57" t="s">
        <v>2363</v>
      </c>
      <c r="M293" t="s">
        <v>468</v>
      </c>
      <c r="N293" t="s">
        <v>469</v>
      </c>
      <c r="O293" t="s">
        <v>470</v>
      </c>
      <c r="P293" s="57" t="str">
        <f>IF(VLOOKUP(D293,'⚪设计'!$C$85:$I$113,7,FALSE)="","",VLOOKUP(D293,'⚪设计'!$C$85:$I$113,7,FALSE)&amp;",NormalAttack")</f>
        <v/>
      </c>
      <c r="Q293" s="110" t="str">
        <f t="shared" si="11"/>
        <v>5</v>
      </c>
      <c r="R293" s="110" t="str">
        <f t="shared" si="12"/>
        <v>7</v>
      </c>
      <c r="S293" s="110" t="str">
        <f t="shared" si="13"/>
        <v>4</v>
      </c>
    </row>
    <row r="294" spans="2:19" x14ac:dyDescent="0.2">
      <c r="B294" s="57" t="s">
        <v>2656</v>
      </c>
      <c r="C294" s="57" t="s">
        <v>2948</v>
      </c>
      <c r="D294" s="55" t="str">
        <f>VLOOKUP(VLOOKUP(Q294&amp;"_"&amp;R294,活动关卡!$A$4:$Z$27,2+5*S294,FALSE),'⚪设计'!$B$85:$H$114,2,FALSE)</f>
        <v>ResUnit_Dan3</v>
      </c>
      <c r="E294" s="55">
        <f>VLOOKUP(VLOOKUP(Q294&amp;"_"&amp;R294,活动关卡!$A$4:$Z$27,2+5*S294,FALSE),'⚪设计'!$B$85:$H$114,6,FALSE)*VLOOKUP(Q294&amp;"_"&amp;R294,活动关卡!$A$4:$Z$27,5,FALSE)</f>
        <v>1.25</v>
      </c>
      <c r="F294">
        <v>400</v>
      </c>
      <c r="G294" t="b">
        <v>1</v>
      </c>
      <c r="H294">
        <v>1</v>
      </c>
      <c r="I294">
        <v>1</v>
      </c>
      <c r="J294">
        <v>0.25</v>
      </c>
      <c r="K294" s="55">
        <f>VLOOKUP(VLOOKUP(Q294&amp;"_"&amp;R294,活动关卡!$A$4:$Z$27,2+5*S294,FALSE),'⚪设计'!$B$85:$H$114,7,FALSE)</f>
        <v>2.5</v>
      </c>
      <c r="L294" s="57" t="s">
        <v>2364</v>
      </c>
      <c r="M294" t="s">
        <v>468</v>
      </c>
      <c r="N294" t="s">
        <v>469</v>
      </c>
      <c r="O294" t="s">
        <v>470</v>
      </c>
      <c r="P294" s="57" t="str">
        <f>IF(VLOOKUP(D294,'⚪设计'!$C$85:$I$113,7,FALSE)="","",VLOOKUP(D294,'⚪设计'!$C$85:$I$113,7,FALSE)&amp;",NormalAttack")</f>
        <v>Skill_Monster_Weaken,NormalAttack</v>
      </c>
      <c r="Q294" s="110" t="str">
        <f t="shared" si="11"/>
        <v>5</v>
      </c>
      <c r="R294" s="110" t="str">
        <f t="shared" si="12"/>
        <v>8</v>
      </c>
      <c r="S294" s="110" t="str">
        <f t="shared" si="13"/>
        <v>1</v>
      </c>
    </row>
    <row r="295" spans="2:19" x14ac:dyDescent="0.2">
      <c r="B295" s="57" t="s">
        <v>2657</v>
      </c>
      <c r="C295" s="57" t="s">
        <v>2949</v>
      </c>
      <c r="D295" s="55" t="str">
        <f>VLOOKUP(VLOOKUP(Q295&amp;"_"&amp;R295,活动关卡!$A$4:$Z$27,2+5*S295,FALSE),'⚪设计'!$B$85:$H$114,2,FALSE)</f>
        <v>ResUnit_Gui2</v>
      </c>
      <c r="E295" s="55">
        <f>VLOOKUP(VLOOKUP(Q295&amp;"_"&amp;R295,活动关卡!$A$4:$Z$27,2+5*S295,FALSE),'⚪设计'!$B$85:$H$114,6,FALSE)*VLOOKUP(Q295&amp;"_"&amp;R295,活动关卡!$A$4:$Z$27,5,FALSE)</f>
        <v>3</v>
      </c>
      <c r="F295">
        <v>400</v>
      </c>
      <c r="G295" t="b">
        <v>1</v>
      </c>
      <c r="H295">
        <v>1</v>
      </c>
      <c r="I295">
        <v>1</v>
      </c>
      <c r="J295">
        <v>0.25</v>
      </c>
      <c r="K295" s="55">
        <f>VLOOKUP(VLOOKUP(Q295&amp;"_"&amp;R295,活动关卡!$A$4:$Z$27,2+5*S295,FALSE),'⚪设计'!$B$85:$H$114,7,FALSE)</f>
        <v>1</v>
      </c>
      <c r="L295" s="57" t="s">
        <v>2365</v>
      </c>
      <c r="M295" t="s">
        <v>468</v>
      </c>
      <c r="N295" t="s">
        <v>469</v>
      </c>
      <c r="O295" t="s">
        <v>470</v>
      </c>
      <c r="P295" s="57" t="str">
        <f>IF(VLOOKUP(D295,'⚪设计'!$C$85:$I$113,7,FALSE)="","",VLOOKUP(D295,'⚪设计'!$C$85:$I$113,7,FALSE)&amp;",NormalAttack")</f>
        <v>Skill_Monster_Invisible,NormalAttack</v>
      </c>
      <c r="Q295" s="110" t="str">
        <f t="shared" si="11"/>
        <v>5</v>
      </c>
      <c r="R295" s="110" t="str">
        <f t="shared" si="12"/>
        <v>8</v>
      </c>
      <c r="S295" s="110" t="str">
        <f t="shared" si="13"/>
        <v>2</v>
      </c>
    </row>
    <row r="296" spans="2:19" x14ac:dyDescent="0.2">
      <c r="B296" s="57" t="s">
        <v>2658</v>
      </c>
      <c r="C296" s="57" t="s">
        <v>2950</v>
      </c>
      <c r="D296" s="55" t="str">
        <f>VLOOKUP(VLOOKUP(Q296&amp;"_"&amp;R296,活动关卡!$A$4:$Z$27,2+5*S296,FALSE),'⚪设计'!$B$85:$H$114,2,FALSE)</f>
        <v>ResUnit_ZhongZi2</v>
      </c>
      <c r="E296" s="55">
        <f>VLOOKUP(VLOOKUP(Q296&amp;"_"&amp;R296,活动关卡!$A$4:$Z$27,2+5*S296,FALSE),'⚪设计'!$B$85:$H$114,6,FALSE)*VLOOKUP(Q296&amp;"_"&amp;R296,活动关卡!$A$4:$Z$27,5,FALSE)</f>
        <v>3</v>
      </c>
      <c r="F296">
        <v>400</v>
      </c>
      <c r="G296" t="b">
        <v>1</v>
      </c>
      <c r="H296">
        <v>1</v>
      </c>
      <c r="I296">
        <v>1</v>
      </c>
      <c r="J296">
        <v>0.25</v>
      </c>
      <c r="K296" s="55">
        <f>VLOOKUP(VLOOKUP(Q296&amp;"_"&amp;R296,活动关卡!$A$4:$Z$27,2+5*S296,FALSE),'⚪设计'!$B$85:$H$114,7,FALSE)</f>
        <v>1.2</v>
      </c>
      <c r="L296" s="57" t="s">
        <v>2366</v>
      </c>
      <c r="M296" t="s">
        <v>468</v>
      </c>
      <c r="N296" t="s">
        <v>469</v>
      </c>
      <c r="O296" t="s">
        <v>470</v>
      </c>
      <c r="P296" s="57" t="str">
        <f>IF(VLOOKUP(D296,'⚪设计'!$C$85:$I$113,7,FALSE)="","",VLOOKUP(D296,'⚪设计'!$C$85:$I$113,7,FALSE)&amp;",NormalAttack")</f>
        <v>Skill_Monster_Heal,NormalAttack</v>
      </c>
      <c r="Q296" s="110" t="str">
        <f t="shared" si="11"/>
        <v>5</v>
      </c>
      <c r="R296" s="110" t="str">
        <f t="shared" si="12"/>
        <v>8</v>
      </c>
      <c r="S296" s="110" t="str">
        <f t="shared" si="13"/>
        <v>3</v>
      </c>
    </row>
    <row r="297" spans="2:19" x14ac:dyDescent="0.2">
      <c r="B297" s="57" t="s">
        <v>2659</v>
      </c>
      <c r="C297" s="57" t="s">
        <v>2951</v>
      </c>
      <c r="D297" s="55" t="str">
        <f>VLOOKUP(VLOOKUP(Q297&amp;"_"&amp;R297,活动关卡!$A$4:$Z$27,2+5*S297,FALSE),'⚪设计'!$B$85:$H$114,2,FALSE)</f>
        <v>ResUnit_Niao3</v>
      </c>
      <c r="E297" s="55">
        <f>VLOOKUP(VLOOKUP(Q297&amp;"_"&amp;R297,活动关卡!$A$4:$Z$27,2+5*S297,FALSE),'⚪设计'!$B$85:$H$114,6,FALSE)*VLOOKUP(Q297&amp;"_"&amp;R297,活动关卡!$A$4:$Z$27,5,FALSE)</f>
        <v>3</v>
      </c>
      <c r="F297">
        <v>400</v>
      </c>
      <c r="G297" t="b">
        <v>1</v>
      </c>
      <c r="H297">
        <v>1</v>
      </c>
      <c r="I297">
        <v>1</v>
      </c>
      <c r="J297">
        <v>0.25</v>
      </c>
      <c r="K297" s="55">
        <f>VLOOKUP(VLOOKUP(Q297&amp;"_"&amp;R297,活动关卡!$A$4:$Z$27,2+5*S297,FALSE),'⚪设计'!$B$85:$H$114,7,FALSE)</f>
        <v>1.8</v>
      </c>
      <c r="L297" s="57" t="s">
        <v>2367</v>
      </c>
      <c r="M297" t="s">
        <v>468</v>
      </c>
      <c r="N297" t="s">
        <v>469</v>
      </c>
      <c r="O297" t="s">
        <v>470</v>
      </c>
      <c r="P297" s="57" t="str">
        <f>IF(VLOOKUP(D297,'⚪设计'!$C$85:$I$113,7,FALSE)="","",VLOOKUP(D297,'⚪设计'!$C$85:$I$113,7,FALSE)&amp;",NormalAttack")</f>
        <v/>
      </c>
      <c r="Q297" s="110" t="str">
        <f t="shared" si="11"/>
        <v>5</v>
      </c>
      <c r="R297" s="110" t="str">
        <f t="shared" si="12"/>
        <v>8</v>
      </c>
      <c r="S297" s="110" t="str">
        <f t="shared" si="13"/>
        <v>4</v>
      </c>
    </row>
    <row r="298" spans="2:19" x14ac:dyDescent="0.2">
      <c r="B298" s="57"/>
      <c r="C298" s="57"/>
      <c r="D298" s="55"/>
      <c r="E298" s="55"/>
      <c r="K298" s="55"/>
      <c r="L298" s="57"/>
      <c r="P298" s="57"/>
      <c r="Q298" s="110"/>
      <c r="R298" s="110"/>
      <c r="S298" s="110"/>
    </row>
    <row r="299" spans="2:19" x14ac:dyDescent="0.2">
      <c r="B299" s="57" t="s">
        <v>2660</v>
      </c>
      <c r="C299" s="57" t="s">
        <v>2952</v>
      </c>
      <c r="D299" s="55" t="str">
        <f>VLOOKUP(VLOOKUP(Q299&amp;"_"&amp;R299,活动关卡!$A$32:$Z$55,2+5*S299,FALSE),'⚪设计'!$B$85:$H$114,2,FALSE)</f>
        <v>ResUnit_MiFeng1</v>
      </c>
      <c r="E299" s="55">
        <f>VLOOKUP(VLOOKUP(Q299&amp;"_"&amp;R299,活动关卡!$A$32:$Z$55,2+5*S299,FALSE),'⚪设计'!$B$85:$H$114,6,FALSE)*VLOOKUP(Q299&amp;"_"&amp;R299,活动关卡!$A$32:$Z$55,5,FALSE)</f>
        <v>3</v>
      </c>
      <c r="F299">
        <v>400</v>
      </c>
      <c r="G299" t="b">
        <v>1</v>
      </c>
      <c r="H299">
        <v>1</v>
      </c>
      <c r="I299">
        <v>1</v>
      </c>
      <c r="J299">
        <v>0.25</v>
      </c>
      <c r="K299" s="55">
        <f>VLOOKUP(VLOOKUP(Q299&amp;"_"&amp;R299,活动关卡!$A$32:$Z$55,2+5*S299,FALSE),'⚪设计'!$B$85:$H$114,7,FALSE)</f>
        <v>0.5</v>
      </c>
      <c r="L299" s="57" t="s">
        <v>2368</v>
      </c>
      <c r="M299" t="s">
        <v>468</v>
      </c>
      <c r="N299" t="s">
        <v>469</v>
      </c>
      <c r="O299" t="s">
        <v>470</v>
      </c>
      <c r="P299" s="57" t="str">
        <f>IF(VLOOKUP(D299,'⚪设计'!$C$85:$I$113,7,FALSE)="","",VLOOKUP(D299,'⚪设计'!$C$85:$I$113,7,FALSE)&amp;",NormalAttack")</f>
        <v/>
      </c>
      <c r="Q299" s="110" t="str">
        <f t="shared" si="11"/>
        <v>1</v>
      </c>
      <c r="R299" s="110" t="str">
        <f t="shared" si="12"/>
        <v>1</v>
      </c>
      <c r="S299" s="110" t="str">
        <f t="shared" si="13"/>
        <v>1</v>
      </c>
    </row>
    <row r="300" spans="2:19" x14ac:dyDescent="0.2">
      <c r="B300" s="57" t="s">
        <v>2661</v>
      </c>
      <c r="C300" s="57" t="s">
        <v>2953</v>
      </c>
      <c r="D300" s="55" t="str">
        <f>VLOOKUP(VLOOKUP(Q300&amp;"_"&amp;R300,活动关卡!$A$32:$Z$55,2+5*S300,FALSE),'⚪设计'!$B$85:$H$114,2,FALSE)</f>
        <v>ResUnit_Rou1</v>
      </c>
      <c r="E300" s="55">
        <f>VLOOKUP(VLOOKUP(Q300&amp;"_"&amp;R300,活动关卡!$A$32:$Z$55,2+5*S300,FALSE),'⚪设计'!$B$85:$H$114,6,FALSE)*VLOOKUP(Q300&amp;"_"&amp;R300,活动关卡!$A$32:$Z$55,5,FALSE)</f>
        <v>1.25</v>
      </c>
      <c r="F300">
        <v>400</v>
      </c>
      <c r="G300" t="b">
        <v>1</v>
      </c>
      <c r="H300">
        <v>1</v>
      </c>
      <c r="I300">
        <v>1</v>
      </c>
      <c r="J300">
        <v>0.25</v>
      </c>
      <c r="K300" s="55">
        <f>VLOOKUP(VLOOKUP(Q300&amp;"_"&amp;R300,活动关卡!$A$32:$Z$55,2+5*S300,FALSE),'⚪设计'!$B$85:$H$114,7,FALSE)</f>
        <v>1.25</v>
      </c>
      <c r="L300" s="57" t="s">
        <v>2369</v>
      </c>
      <c r="M300" t="s">
        <v>468</v>
      </c>
      <c r="N300" t="s">
        <v>469</v>
      </c>
      <c r="O300" t="s">
        <v>470</v>
      </c>
      <c r="P300" s="57" t="str">
        <f>IF(VLOOKUP(D300,'⚪设计'!$C$85:$I$113,7,FALSE)="","",VLOOKUP(D300,'⚪设计'!$C$85:$I$113,7,FALSE)&amp;",NormalAttack")</f>
        <v/>
      </c>
      <c r="Q300" s="110" t="str">
        <f t="shared" si="11"/>
        <v>1</v>
      </c>
      <c r="R300" s="110" t="str">
        <f t="shared" si="12"/>
        <v>1</v>
      </c>
      <c r="S300" s="110" t="str">
        <f t="shared" si="13"/>
        <v>2</v>
      </c>
    </row>
    <row r="301" spans="2:19" x14ac:dyDescent="0.2">
      <c r="B301" s="57" t="s">
        <v>2662</v>
      </c>
      <c r="C301" s="57" t="s">
        <v>2954</v>
      </c>
      <c r="D301" s="55" t="str">
        <f>VLOOKUP(VLOOKUP(Q301&amp;"_"&amp;R301,活动关卡!$A$32:$Z$55,2+5*S301,FALSE),'⚪设计'!$B$85:$H$114,2,FALSE)</f>
        <v>ResUnit_MiFeng1</v>
      </c>
      <c r="E301" s="55">
        <f>VLOOKUP(VLOOKUP(Q301&amp;"_"&amp;R301,活动关卡!$A$32:$Z$55,2+5*S301,FALSE),'⚪设计'!$B$85:$H$114,6,FALSE)*VLOOKUP(Q301&amp;"_"&amp;R301,活动关卡!$A$32:$Z$55,5,FALSE)</f>
        <v>3</v>
      </c>
      <c r="F301">
        <v>400</v>
      </c>
      <c r="G301" t="b">
        <v>1</v>
      </c>
      <c r="H301">
        <v>1</v>
      </c>
      <c r="I301">
        <v>1</v>
      </c>
      <c r="J301">
        <v>0.25</v>
      </c>
      <c r="K301" s="55">
        <f>VLOOKUP(VLOOKUP(Q301&amp;"_"&amp;R301,活动关卡!$A$32:$Z$55,2+5*S301,FALSE),'⚪设计'!$B$85:$H$114,7,FALSE)</f>
        <v>0.5</v>
      </c>
      <c r="L301" s="57" t="s">
        <v>2370</v>
      </c>
      <c r="M301" t="s">
        <v>468</v>
      </c>
      <c r="N301" t="s">
        <v>469</v>
      </c>
      <c r="O301" t="s">
        <v>470</v>
      </c>
      <c r="P301" s="57" t="str">
        <f>IF(VLOOKUP(D301,'⚪设计'!$C$85:$I$113,7,FALSE)="","",VLOOKUP(D301,'⚪设计'!$C$85:$I$113,7,FALSE)&amp;",NormalAttack")</f>
        <v/>
      </c>
      <c r="Q301" s="110" t="str">
        <f t="shared" si="11"/>
        <v>1</v>
      </c>
      <c r="R301" s="110" t="str">
        <f t="shared" si="12"/>
        <v>2</v>
      </c>
      <c r="S301" s="110" t="str">
        <f t="shared" si="13"/>
        <v>1</v>
      </c>
    </row>
    <row r="302" spans="2:19" x14ac:dyDescent="0.2">
      <c r="B302" s="57" t="s">
        <v>2663</v>
      </c>
      <c r="C302" s="57" t="s">
        <v>2955</v>
      </c>
      <c r="D302" s="55" t="str">
        <f>VLOOKUP(VLOOKUP(Q302&amp;"_"&amp;R302,活动关卡!$A$32:$Z$55,2+5*S302,FALSE),'⚪设计'!$B$85:$H$114,2,FALSE)</f>
        <v>ResUnit_Rou1</v>
      </c>
      <c r="E302" s="55">
        <f>VLOOKUP(VLOOKUP(Q302&amp;"_"&amp;R302,活动关卡!$A$32:$Z$55,2+5*S302,FALSE),'⚪设计'!$B$85:$H$114,6,FALSE)*VLOOKUP(Q302&amp;"_"&amp;R302,活动关卡!$A$32:$Z$55,5,FALSE)</f>
        <v>1.25</v>
      </c>
      <c r="F302">
        <v>400</v>
      </c>
      <c r="G302" t="b">
        <v>1</v>
      </c>
      <c r="H302">
        <v>1</v>
      </c>
      <c r="I302">
        <v>1</v>
      </c>
      <c r="J302">
        <v>0.25</v>
      </c>
      <c r="K302" s="55">
        <f>VLOOKUP(VLOOKUP(Q302&amp;"_"&amp;R302,活动关卡!$A$32:$Z$55,2+5*S302,FALSE),'⚪设计'!$B$85:$H$114,7,FALSE)</f>
        <v>1.25</v>
      </c>
      <c r="L302" s="57" t="s">
        <v>2371</v>
      </c>
      <c r="M302" t="s">
        <v>468</v>
      </c>
      <c r="N302" t="s">
        <v>469</v>
      </c>
      <c r="O302" t="s">
        <v>470</v>
      </c>
      <c r="P302" s="57" t="str">
        <f>IF(VLOOKUP(D302,'⚪设计'!$C$85:$I$113,7,FALSE)="","",VLOOKUP(D302,'⚪设计'!$C$85:$I$113,7,FALSE)&amp;",NormalAttack")</f>
        <v/>
      </c>
      <c r="Q302" s="110" t="str">
        <f t="shared" si="11"/>
        <v>1</v>
      </c>
      <c r="R302" s="110" t="str">
        <f t="shared" si="12"/>
        <v>2</v>
      </c>
      <c r="S302" s="110" t="str">
        <f t="shared" si="13"/>
        <v>2</v>
      </c>
    </row>
    <row r="303" spans="2:19" x14ac:dyDescent="0.2">
      <c r="B303" s="57" t="s">
        <v>2664</v>
      </c>
      <c r="C303" s="57" t="s">
        <v>2956</v>
      </c>
      <c r="D303" s="55" t="str">
        <f>VLOOKUP(VLOOKUP(Q303&amp;"_"&amp;R303,活动关卡!$A$32:$Z$55,2+5*S303,FALSE),'⚪设计'!$B$85:$H$114,2,FALSE)</f>
        <v>ResUnit_MiFeng1</v>
      </c>
      <c r="E303" s="55">
        <f>VLOOKUP(VLOOKUP(Q303&amp;"_"&amp;R303,活动关卡!$A$32:$Z$55,2+5*S303,FALSE),'⚪设计'!$B$85:$H$114,6,FALSE)*VLOOKUP(Q303&amp;"_"&amp;R303,活动关卡!$A$32:$Z$55,5,FALSE)</f>
        <v>3</v>
      </c>
      <c r="F303">
        <v>400</v>
      </c>
      <c r="G303" t="b">
        <v>1</v>
      </c>
      <c r="H303">
        <v>1</v>
      </c>
      <c r="I303">
        <v>1</v>
      </c>
      <c r="J303">
        <v>0.25</v>
      </c>
      <c r="K303" s="55">
        <f>VLOOKUP(VLOOKUP(Q303&amp;"_"&amp;R303,活动关卡!$A$32:$Z$55,2+5*S303,FALSE),'⚪设计'!$B$85:$H$114,7,FALSE)</f>
        <v>0.5</v>
      </c>
      <c r="L303" s="57" t="s">
        <v>2372</v>
      </c>
      <c r="M303" t="s">
        <v>468</v>
      </c>
      <c r="N303" t="s">
        <v>469</v>
      </c>
      <c r="O303" t="s">
        <v>470</v>
      </c>
      <c r="P303" s="57" t="str">
        <f>IF(VLOOKUP(D303,'⚪设计'!$C$85:$I$113,7,FALSE)="","",VLOOKUP(D303,'⚪设计'!$C$85:$I$113,7,FALSE)&amp;",NormalAttack")</f>
        <v/>
      </c>
      <c r="Q303" s="110" t="str">
        <f t="shared" si="11"/>
        <v>1</v>
      </c>
      <c r="R303" s="110" t="str">
        <f t="shared" si="12"/>
        <v>3</v>
      </c>
      <c r="S303" s="110" t="str">
        <f t="shared" si="13"/>
        <v>1</v>
      </c>
    </row>
    <row r="304" spans="2:19" x14ac:dyDescent="0.2">
      <c r="B304" s="57" t="s">
        <v>2665</v>
      </c>
      <c r="C304" s="57" t="s">
        <v>2957</v>
      </c>
      <c r="D304" s="55" t="str">
        <f>VLOOKUP(VLOOKUP(Q304&amp;"_"&amp;R304,活动关卡!$A$32:$Z$55,2+5*S304,FALSE),'⚪设计'!$B$85:$H$114,2,FALSE)</f>
        <v>ResUnit_MiFeng2</v>
      </c>
      <c r="E304" s="55">
        <f>VLOOKUP(VLOOKUP(Q304&amp;"_"&amp;R304,活动关卡!$A$32:$Z$55,2+5*S304,FALSE),'⚪设计'!$B$85:$H$114,6,FALSE)*VLOOKUP(Q304&amp;"_"&amp;R304,活动关卡!$A$32:$Z$55,5,FALSE)</f>
        <v>3</v>
      </c>
      <c r="F304">
        <v>400</v>
      </c>
      <c r="G304" t="b">
        <v>1</v>
      </c>
      <c r="H304">
        <v>1</v>
      </c>
      <c r="I304">
        <v>1</v>
      </c>
      <c r="J304">
        <v>0.25</v>
      </c>
      <c r="K304" s="55">
        <f>VLOOKUP(VLOOKUP(Q304&amp;"_"&amp;R304,活动关卡!$A$32:$Z$55,2+5*S304,FALSE),'⚪设计'!$B$85:$H$114,7,FALSE)</f>
        <v>0.8</v>
      </c>
      <c r="L304" s="57" t="s">
        <v>2373</v>
      </c>
      <c r="M304" t="s">
        <v>468</v>
      </c>
      <c r="N304" t="s">
        <v>469</v>
      </c>
      <c r="O304" t="s">
        <v>470</v>
      </c>
      <c r="P304" s="57" t="str">
        <f>IF(VLOOKUP(D304,'⚪设计'!$C$85:$I$113,7,FALSE)="","",VLOOKUP(D304,'⚪设计'!$C$85:$I$113,7,FALSE)&amp;",NormalAttack")</f>
        <v/>
      </c>
      <c r="Q304" s="110" t="str">
        <f t="shared" si="11"/>
        <v>1</v>
      </c>
      <c r="R304" s="110" t="str">
        <f t="shared" si="12"/>
        <v>3</v>
      </c>
      <c r="S304" s="110" t="str">
        <f t="shared" si="13"/>
        <v>2</v>
      </c>
    </row>
    <row r="305" spans="2:19" x14ac:dyDescent="0.2">
      <c r="B305" s="57" t="s">
        <v>2666</v>
      </c>
      <c r="C305" s="57" t="s">
        <v>2958</v>
      </c>
      <c r="D305" s="55" t="str">
        <f>VLOOKUP(VLOOKUP(Q305&amp;"_"&amp;R305,活动关卡!$A$32:$Z$55,2+5*S305,FALSE),'⚪设计'!$B$85:$H$114,2,FALSE)</f>
        <v>ResUnit_Rou1</v>
      </c>
      <c r="E305" s="55">
        <f>VLOOKUP(VLOOKUP(Q305&amp;"_"&amp;R305,活动关卡!$A$32:$Z$55,2+5*S305,FALSE),'⚪设计'!$B$85:$H$114,6,FALSE)*VLOOKUP(Q305&amp;"_"&amp;R305,活动关卡!$A$32:$Z$55,5,FALSE)</f>
        <v>1.25</v>
      </c>
      <c r="F305">
        <v>400</v>
      </c>
      <c r="G305" t="b">
        <v>1</v>
      </c>
      <c r="H305">
        <v>1</v>
      </c>
      <c r="I305">
        <v>1</v>
      </c>
      <c r="J305">
        <v>0.25</v>
      </c>
      <c r="K305" s="55">
        <f>VLOOKUP(VLOOKUP(Q305&amp;"_"&amp;R305,活动关卡!$A$32:$Z$55,2+5*S305,FALSE),'⚪设计'!$B$85:$H$114,7,FALSE)</f>
        <v>1.25</v>
      </c>
      <c r="L305" s="57" t="s">
        <v>2374</v>
      </c>
      <c r="M305" t="s">
        <v>468</v>
      </c>
      <c r="N305" t="s">
        <v>469</v>
      </c>
      <c r="O305" t="s">
        <v>470</v>
      </c>
      <c r="P305" s="57" t="str">
        <f>IF(VLOOKUP(D305,'⚪设计'!$C$85:$I$113,7,FALSE)="","",VLOOKUP(D305,'⚪设计'!$C$85:$I$113,7,FALSE)&amp;",NormalAttack")</f>
        <v/>
      </c>
      <c r="Q305" s="110" t="str">
        <f t="shared" si="11"/>
        <v>1</v>
      </c>
      <c r="R305" s="110" t="str">
        <f t="shared" si="12"/>
        <v>3</v>
      </c>
      <c r="S305" s="110" t="str">
        <f t="shared" si="13"/>
        <v>3</v>
      </c>
    </row>
    <row r="306" spans="2:19" x14ac:dyDescent="0.2">
      <c r="B306" s="57" t="s">
        <v>2667</v>
      </c>
      <c r="C306" s="57" t="s">
        <v>2959</v>
      </c>
      <c r="D306" s="55" t="str">
        <f>VLOOKUP(VLOOKUP(Q306&amp;"_"&amp;R306,活动关卡!$A$32:$Z$55,2+5*S306,FALSE),'⚪设计'!$B$85:$H$114,2,FALSE)</f>
        <v>ResUnit_ZhiZhu1</v>
      </c>
      <c r="E306" s="55">
        <f>VLOOKUP(VLOOKUP(Q306&amp;"_"&amp;R306,活动关卡!$A$32:$Z$55,2+5*S306,FALSE),'⚪设计'!$B$85:$H$114,6,FALSE)*VLOOKUP(Q306&amp;"_"&amp;R306,活动关卡!$A$32:$Z$55,5,FALSE)</f>
        <v>4.5</v>
      </c>
      <c r="F306">
        <v>400</v>
      </c>
      <c r="G306" t="b">
        <v>1</v>
      </c>
      <c r="H306">
        <v>1</v>
      </c>
      <c r="I306">
        <v>1</v>
      </c>
      <c r="J306">
        <v>0.25</v>
      </c>
      <c r="K306" s="55">
        <f>VLOOKUP(VLOOKUP(Q306&amp;"_"&amp;R306,活动关卡!$A$32:$Z$55,2+5*S306,FALSE),'⚪设计'!$B$85:$H$114,7,FALSE)</f>
        <v>1</v>
      </c>
      <c r="L306" s="57" t="s">
        <v>2375</v>
      </c>
      <c r="M306" t="s">
        <v>468</v>
      </c>
      <c r="N306" t="s">
        <v>469</v>
      </c>
      <c r="O306" t="s">
        <v>470</v>
      </c>
      <c r="P306" s="57" t="str">
        <f>IF(VLOOKUP(D306,'⚪设计'!$C$85:$I$113,7,FALSE)="","",VLOOKUP(D306,'⚪设计'!$C$85:$I$113,7,FALSE)&amp;",NormalAttack")</f>
        <v/>
      </c>
      <c r="Q306" s="110" t="str">
        <f t="shared" si="11"/>
        <v>2</v>
      </c>
      <c r="R306" s="110" t="str">
        <f t="shared" si="12"/>
        <v>1</v>
      </c>
      <c r="S306" s="110" t="str">
        <f t="shared" si="13"/>
        <v>1</v>
      </c>
    </row>
    <row r="307" spans="2:19" x14ac:dyDescent="0.2">
      <c r="B307" s="57" t="s">
        <v>2668</v>
      </c>
      <c r="C307" s="57" t="s">
        <v>2960</v>
      </c>
      <c r="D307" s="55" t="str">
        <f>VLOOKUP(VLOOKUP(Q307&amp;"_"&amp;R307,活动关卡!$A$32:$Z$55,2+5*S307,FALSE),'⚪设计'!$B$85:$H$114,2,FALSE)</f>
        <v>ResUnit_Rou1</v>
      </c>
      <c r="E307" s="55">
        <f>VLOOKUP(VLOOKUP(Q307&amp;"_"&amp;R307,活动关卡!$A$32:$Z$55,2+5*S307,FALSE),'⚪设计'!$B$85:$H$114,6,FALSE)*VLOOKUP(Q307&amp;"_"&amp;R307,活动关卡!$A$32:$Z$55,5,FALSE)</f>
        <v>1.25</v>
      </c>
      <c r="F307">
        <v>400</v>
      </c>
      <c r="G307" t="b">
        <v>1</v>
      </c>
      <c r="H307">
        <v>1</v>
      </c>
      <c r="I307">
        <v>1</v>
      </c>
      <c r="J307">
        <v>0.25</v>
      </c>
      <c r="K307" s="55">
        <f>VLOOKUP(VLOOKUP(Q307&amp;"_"&amp;R307,活动关卡!$A$32:$Z$55,2+5*S307,FALSE),'⚪设计'!$B$85:$H$114,7,FALSE)</f>
        <v>1.25</v>
      </c>
      <c r="L307" s="57" t="s">
        <v>2376</v>
      </c>
      <c r="M307" t="s">
        <v>468</v>
      </c>
      <c r="N307" t="s">
        <v>469</v>
      </c>
      <c r="O307" t="s">
        <v>470</v>
      </c>
      <c r="P307" s="57" t="str">
        <f>IF(VLOOKUP(D307,'⚪设计'!$C$85:$I$113,7,FALSE)="","",VLOOKUP(D307,'⚪设计'!$C$85:$I$113,7,FALSE)&amp;",NormalAttack")</f>
        <v/>
      </c>
      <c r="Q307" s="110" t="str">
        <f t="shared" si="11"/>
        <v>2</v>
      </c>
      <c r="R307" s="110" t="str">
        <f t="shared" si="12"/>
        <v>1</v>
      </c>
      <c r="S307" s="110" t="str">
        <f t="shared" si="13"/>
        <v>2</v>
      </c>
    </row>
    <row r="308" spans="2:19" x14ac:dyDescent="0.2">
      <c r="B308" s="57" t="s">
        <v>2669</v>
      </c>
      <c r="C308" s="57" t="s">
        <v>2961</v>
      </c>
      <c r="D308" s="55" t="str">
        <f>VLOOKUP(VLOOKUP(Q308&amp;"_"&amp;R308,活动关卡!$A$32:$Z$55,2+5*S308,FALSE),'⚪设计'!$B$85:$H$114,2,FALSE)</f>
        <v>ResUnit_ZhiZhu1</v>
      </c>
      <c r="E308" s="55">
        <f>VLOOKUP(VLOOKUP(Q308&amp;"_"&amp;R308,活动关卡!$A$32:$Z$55,2+5*S308,FALSE),'⚪设计'!$B$85:$H$114,6,FALSE)*VLOOKUP(Q308&amp;"_"&amp;R308,活动关卡!$A$32:$Z$55,5,FALSE)</f>
        <v>4.5</v>
      </c>
      <c r="F308">
        <v>400</v>
      </c>
      <c r="G308" t="b">
        <v>1</v>
      </c>
      <c r="H308">
        <v>1</v>
      </c>
      <c r="I308">
        <v>1</v>
      </c>
      <c r="J308">
        <v>0.25</v>
      </c>
      <c r="K308" s="55">
        <f>VLOOKUP(VLOOKUP(Q308&amp;"_"&amp;R308,活动关卡!$A$32:$Z$55,2+5*S308,FALSE),'⚪设计'!$B$85:$H$114,7,FALSE)</f>
        <v>1</v>
      </c>
      <c r="L308" s="57" t="s">
        <v>2377</v>
      </c>
      <c r="M308" t="s">
        <v>468</v>
      </c>
      <c r="N308" t="s">
        <v>469</v>
      </c>
      <c r="O308" t="s">
        <v>470</v>
      </c>
      <c r="P308" s="57" t="str">
        <f>IF(VLOOKUP(D308,'⚪设计'!$C$85:$I$113,7,FALSE)="","",VLOOKUP(D308,'⚪设计'!$C$85:$I$113,7,FALSE)&amp;",NormalAttack")</f>
        <v/>
      </c>
      <c r="Q308" s="110" t="str">
        <f t="shared" si="11"/>
        <v>2</v>
      </c>
      <c r="R308" s="110" t="str">
        <f t="shared" si="12"/>
        <v>2</v>
      </c>
      <c r="S308" s="110" t="str">
        <f t="shared" si="13"/>
        <v>1</v>
      </c>
    </row>
    <row r="309" spans="2:19" x14ac:dyDescent="0.2">
      <c r="B309" s="57" t="s">
        <v>2670</v>
      </c>
      <c r="C309" s="57" t="s">
        <v>2962</v>
      </c>
      <c r="D309" s="55" t="str">
        <f>VLOOKUP(VLOOKUP(Q309&amp;"_"&amp;R309,活动关卡!$A$32:$Z$55,2+5*S309,FALSE),'⚪设计'!$B$85:$H$114,2,FALSE)</f>
        <v>ResUnit_MiFeng2</v>
      </c>
      <c r="E309" s="55">
        <f>VLOOKUP(VLOOKUP(Q309&amp;"_"&amp;R309,活动关卡!$A$32:$Z$55,2+5*S309,FALSE),'⚪设计'!$B$85:$H$114,6,FALSE)*VLOOKUP(Q309&amp;"_"&amp;R309,活动关卡!$A$32:$Z$55,5,FALSE)</f>
        <v>3</v>
      </c>
      <c r="F309">
        <v>400</v>
      </c>
      <c r="G309" t="b">
        <v>1</v>
      </c>
      <c r="H309">
        <v>1</v>
      </c>
      <c r="I309">
        <v>1</v>
      </c>
      <c r="J309">
        <v>0.25</v>
      </c>
      <c r="K309" s="55">
        <f>VLOOKUP(VLOOKUP(Q309&amp;"_"&amp;R309,活动关卡!$A$32:$Z$55,2+5*S309,FALSE),'⚪设计'!$B$85:$H$114,7,FALSE)</f>
        <v>0.8</v>
      </c>
      <c r="L309" s="57" t="s">
        <v>2378</v>
      </c>
      <c r="M309" t="s">
        <v>468</v>
      </c>
      <c r="N309" t="s">
        <v>469</v>
      </c>
      <c r="O309" t="s">
        <v>470</v>
      </c>
      <c r="P309" s="57" t="str">
        <f>IF(VLOOKUP(D309,'⚪设计'!$C$85:$I$113,7,FALSE)="","",VLOOKUP(D309,'⚪设计'!$C$85:$I$113,7,FALSE)&amp;",NormalAttack")</f>
        <v/>
      </c>
      <c r="Q309" s="110" t="str">
        <f t="shared" si="11"/>
        <v>2</v>
      </c>
      <c r="R309" s="110" t="str">
        <f t="shared" si="12"/>
        <v>2</v>
      </c>
      <c r="S309" s="110" t="str">
        <f t="shared" si="13"/>
        <v>2</v>
      </c>
    </row>
    <row r="310" spans="2:19" x14ac:dyDescent="0.2">
      <c r="B310" s="57" t="s">
        <v>2671</v>
      </c>
      <c r="C310" s="57" t="s">
        <v>2963</v>
      </c>
      <c r="D310" s="55" t="str">
        <f>VLOOKUP(VLOOKUP(Q310&amp;"_"&amp;R310,活动关卡!$A$32:$Z$55,2+5*S310,FALSE),'⚪设计'!$B$85:$H$114,2,FALSE)</f>
        <v>ResUnit_Rou1</v>
      </c>
      <c r="E310" s="55">
        <f>VLOOKUP(VLOOKUP(Q310&amp;"_"&amp;R310,活动关卡!$A$32:$Z$55,2+5*S310,FALSE),'⚪设计'!$B$85:$H$114,6,FALSE)*VLOOKUP(Q310&amp;"_"&amp;R310,活动关卡!$A$32:$Z$55,5,FALSE)</f>
        <v>1.25</v>
      </c>
      <c r="F310">
        <v>400</v>
      </c>
      <c r="G310" t="b">
        <v>1</v>
      </c>
      <c r="H310">
        <v>1</v>
      </c>
      <c r="I310">
        <v>1</v>
      </c>
      <c r="J310">
        <v>0.25</v>
      </c>
      <c r="K310" s="55">
        <f>VLOOKUP(VLOOKUP(Q310&amp;"_"&amp;R310,活动关卡!$A$32:$Z$55,2+5*S310,FALSE),'⚪设计'!$B$85:$H$114,7,FALSE)</f>
        <v>1.25</v>
      </c>
      <c r="L310" s="57" t="s">
        <v>2379</v>
      </c>
      <c r="M310" t="s">
        <v>468</v>
      </c>
      <c r="N310" t="s">
        <v>469</v>
      </c>
      <c r="O310" t="s">
        <v>470</v>
      </c>
      <c r="P310" s="57" t="str">
        <f>IF(VLOOKUP(D310,'⚪设计'!$C$85:$I$113,7,FALSE)="","",VLOOKUP(D310,'⚪设计'!$C$85:$I$113,7,FALSE)&amp;",NormalAttack")</f>
        <v/>
      </c>
      <c r="Q310" s="110" t="str">
        <f t="shared" si="11"/>
        <v>2</v>
      </c>
      <c r="R310" s="110" t="str">
        <f t="shared" si="12"/>
        <v>2</v>
      </c>
      <c r="S310" s="110" t="str">
        <f t="shared" si="13"/>
        <v>3</v>
      </c>
    </row>
    <row r="311" spans="2:19" x14ac:dyDescent="0.2">
      <c r="B311" s="57" t="s">
        <v>2672</v>
      </c>
      <c r="C311" s="57" t="s">
        <v>2964</v>
      </c>
      <c r="D311" s="55" t="str">
        <f>VLOOKUP(VLOOKUP(Q311&amp;"_"&amp;R311,活动关卡!$A$32:$Z$55,2+5*S311,FALSE),'⚪设计'!$B$85:$H$114,2,FALSE)</f>
        <v>ResUnit_ZhiZhu1</v>
      </c>
      <c r="E311" s="55">
        <f>VLOOKUP(VLOOKUP(Q311&amp;"_"&amp;R311,活动关卡!$A$32:$Z$55,2+5*S311,FALSE),'⚪设计'!$B$85:$H$114,6,FALSE)*VLOOKUP(Q311&amp;"_"&amp;R311,活动关卡!$A$32:$Z$55,5,FALSE)</f>
        <v>4.5</v>
      </c>
      <c r="F311">
        <v>400</v>
      </c>
      <c r="G311" t="b">
        <v>1</v>
      </c>
      <c r="H311">
        <v>1</v>
      </c>
      <c r="I311">
        <v>1</v>
      </c>
      <c r="J311">
        <v>0.25</v>
      </c>
      <c r="K311" s="55">
        <f>VLOOKUP(VLOOKUP(Q311&amp;"_"&amp;R311,活动关卡!$A$32:$Z$55,2+5*S311,FALSE),'⚪设计'!$B$85:$H$114,7,FALSE)</f>
        <v>1</v>
      </c>
      <c r="L311" s="57" t="s">
        <v>2380</v>
      </c>
      <c r="M311" t="s">
        <v>468</v>
      </c>
      <c r="N311" t="s">
        <v>469</v>
      </c>
      <c r="O311" t="s">
        <v>470</v>
      </c>
      <c r="P311" s="57" t="str">
        <f>IF(VLOOKUP(D311,'⚪设计'!$C$85:$I$113,7,FALSE)="","",VLOOKUP(D311,'⚪设计'!$C$85:$I$113,7,FALSE)&amp;",NormalAttack")</f>
        <v/>
      </c>
      <c r="Q311" s="110" t="str">
        <f t="shared" si="11"/>
        <v>2</v>
      </c>
      <c r="R311" s="110" t="str">
        <f t="shared" si="12"/>
        <v>3</v>
      </c>
      <c r="S311" s="110" t="str">
        <f t="shared" si="13"/>
        <v>1</v>
      </c>
    </row>
    <row r="312" spans="2:19" x14ac:dyDescent="0.2">
      <c r="B312" s="57" t="s">
        <v>2673</v>
      </c>
      <c r="C312" s="57" t="s">
        <v>2965</v>
      </c>
      <c r="D312" s="55" t="str">
        <f>VLOOKUP(VLOOKUP(Q312&amp;"_"&amp;R312,活动关卡!$A$32:$Z$55,2+5*S312,FALSE),'⚪设计'!$B$85:$H$114,2,FALSE)</f>
        <v>ResUnit_BianFu1</v>
      </c>
      <c r="E312" s="55">
        <f>VLOOKUP(VLOOKUP(Q312&amp;"_"&amp;R312,活动关卡!$A$32:$Z$55,2+5*S312,FALSE),'⚪设计'!$B$85:$H$114,6,FALSE)*VLOOKUP(Q312&amp;"_"&amp;R312,活动关卡!$A$32:$Z$55,5,FALSE)</f>
        <v>3</v>
      </c>
      <c r="F312">
        <v>400</v>
      </c>
      <c r="G312" t="b">
        <v>1</v>
      </c>
      <c r="H312">
        <v>1</v>
      </c>
      <c r="I312">
        <v>1</v>
      </c>
      <c r="J312">
        <v>0.25</v>
      </c>
      <c r="K312" s="55">
        <f>VLOOKUP(VLOOKUP(Q312&amp;"_"&amp;R312,活动关卡!$A$32:$Z$55,2+5*S312,FALSE),'⚪设计'!$B$85:$H$114,7,FALSE)</f>
        <v>0.5</v>
      </c>
      <c r="L312" s="57" t="s">
        <v>2381</v>
      </c>
      <c r="M312" t="s">
        <v>468</v>
      </c>
      <c r="N312" t="s">
        <v>469</v>
      </c>
      <c r="O312" t="s">
        <v>470</v>
      </c>
      <c r="P312" s="57" t="str">
        <f>IF(VLOOKUP(D312,'⚪设计'!$C$85:$I$113,7,FALSE)="","",VLOOKUP(D312,'⚪设计'!$C$85:$I$113,7,FALSE)&amp;",NormalAttack")</f>
        <v/>
      </c>
      <c r="Q312" s="110" t="str">
        <f t="shared" si="11"/>
        <v>2</v>
      </c>
      <c r="R312" s="110" t="str">
        <f t="shared" si="12"/>
        <v>3</v>
      </c>
      <c r="S312" s="110" t="str">
        <f t="shared" si="13"/>
        <v>2</v>
      </c>
    </row>
    <row r="313" spans="2:19" x14ac:dyDescent="0.2">
      <c r="B313" s="57" t="s">
        <v>2674</v>
      </c>
      <c r="C313" s="57" t="s">
        <v>2966</v>
      </c>
      <c r="D313" s="55" t="str">
        <f>VLOOKUP(VLOOKUP(Q313&amp;"_"&amp;R313,活动关卡!$A$32:$Z$55,2+5*S313,FALSE),'⚪设计'!$B$85:$H$114,2,FALSE)</f>
        <v>ResUnit_Rou1</v>
      </c>
      <c r="E313" s="55">
        <f>VLOOKUP(VLOOKUP(Q313&amp;"_"&amp;R313,活动关卡!$A$32:$Z$55,2+5*S313,FALSE),'⚪设计'!$B$85:$H$114,6,FALSE)*VLOOKUP(Q313&amp;"_"&amp;R313,活动关卡!$A$32:$Z$55,5,FALSE)</f>
        <v>1.25</v>
      </c>
      <c r="F313">
        <v>400</v>
      </c>
      <c r="G313" t="b">
        <v>1</v>
      </c>
      <c r="H313">
        <v>1</v>
      </c>
      <c r="I313">
        <v>1</v>
      </c>
      <c r="J313">
        <v>0.25</v>
      </c>
      <c r="K313" s="55">
        <f>VLOOKUP(VLOOKUP(Q313&amp;"_"&amp;R313,活动关卡!$A$32:$Z$55,2+5*S313,FALSE),'⚪设计'!$B$85:$H$114,7,FALSE)</f>
        <v>1.25</v>
      </c>
      <c r="L313" s="57" t="s">
        <v>2382</v>
      </c>
      <c r="M313" t="s">
        <v>468</v>
      </c>
      <c r="N313" t="s">
        <v>469</v>
      </c>
      <c r="O313" t="s">
        <v>470</v>
      </c>
      <c r="P313" s="57" t="str">
        <f>IF(VLOOKUP(D313,'⚪设计'!$C$85:$I$113,7,FALSE)="","",VLOOKUP(D313,'⚪设计'!$C$85:$I$113,7,FALSE)&amp;",NormalAttack")</f>
        <v/>
      </c>
      <c r="Q313" s="110" t="str">
        <f t="shared" si="11"/>
        <v>2</v>
      </c>
      <c r="R313" s="110" t="str">
        <f t="shared" si="12"/>
        <v>3</v>
      </c>
      <c r="S313" s="110" t="str">
        <f t="shared" si="13"/>
        <v>3</v>
      </c>
    </row>
    <row r="314" spans="2:19" x14ac:dyDescent="0.2">
      <c r="B314" s="57" t="s">
        <v>2675</v>
      </c>
      <c r="C314" s="57" t="s">
        <v>2967</v>
      </c>
      <c r="D314" s="55" t="str">
        <f>VLOOKUP(VLOOKUP(Q314&amp;"_"&amp;R314,活动关卡!$A$32:$Z$55,2+5*S314,FALSE),'⚪设计'!$B$85:$H$114,2,FALSE)</f>
        <v>ResUnit_ZhiZhu1</v>
      </c>
      <c r="E314" s="55">
        <f>VLOOKUP(VLOOKUP(Q314&amp;"_"&amp;R314,活动关卡!$A$32:$Z$55,2+5*S314,FALSE),'⚪设计'!$B$85:$H$114,6,FALSE)*VLOOKUP(Q314&amp;"_"&amp;R314,活动关卡!$A$32:$Z$55,5,FALSE)</f>
        <v>4.5</v>
      </c>
      <c r="F314">
        <v>400</v>
      </c>
      <c r="G314" t="b">
        <v>1</v>
      </c>
      <c r="H314">
        <v>1</v>
      </c>
      <c r="I314">
        <v>1</v>
      </c>
      <c r="J314">
        <v>0.25</v>
      </c>
      <c r="K314" s="55">
        <f>VLOOKUP(VLOOKUP(Q314&amp;"_"&amp;R314,活动关卡!$A$32:$Z$55,2+5*S314,FALSE),'⚪设计'!$B$85:$H$114,7,FALSE)</f>
        <v>1</v>
      </c>
      <c r="L314" s="57" t="s">
        <v>2383</v>
      </c>
      <c r="M314" t="s">
        <v>468</v>
      </c>
      <c r="N314" t="s">
        <v>469</v>
      </c>
      <c r="O314" t="s">
        <v>470</v>
      </c>
      <c r="P314" s="57" t="str">
        <f>IF(VLOOKUP(D314,'⚪设计'!$C$85:$I$113,7,FALSE)="","",VLOOKUP(D314,'⚪设计'!$C$85:$I$113,7,FALSE)&amp;",NormalAttack")</f>
        <v/>
      </c>
      <c r="Q314" s="110" t="str">
        <f t="shared" si="11"/>
        <v>2</v>
      </c>
      <c r="R314" s="110" t="str">
        <f t="shared" si="12"/>
        <v>4</v>
      </c>
      <c r="S314" s="110" t="str">
        <f t="shared" si="13"/>
        <v>1</v>
      </c>
    </row>
    <row r="315" spans="2:19" x14ac:dyDescent="0.2">
      <c r="B315" s="57" t="s">
        <v>2676</v>
      </c>
      <c r="C315" s="57" t="s">
        <v>2968</v>
      </c>
      <c r="D315" s="55" t="str">
        <f>VLOOKUP(VLOOKUP(Q315&amp;"_"&amp;R315,活动关卡!$A$32:$Z$55,2+5*S315,FALSE),'⚪设计'!$B$85:$H$114,2,FALSE)</f>
        <v>ResUnit_BianFu1</v>
      </c>
      <c r="E315" s="55">
        <f>VLOOKUP(VLOOKUP(Q315&amp;"_"&amp;R315,活动关卡!$A$32:$Z$55,2+5*S315,FALSE),'⚪设计'!$B$85:$H$114,6,FALSE)*VLOOKUP(Q315&amp;"_"&amp;R315,活动关卡!$A$32:$Z$55,5,FALSE)</f>
        <v>3</v>
      </c>
      <c r="F315">
        <v>400</v>
      </c>
      <c r="G315" t="b">
        <v>1</v>
      </c>
      <c r="H315">
        <v>1</v>
      </c>
      <c r="I315">
        <v>1</v>
      </c>
      <c r="J315">
        <v>0.25</v>
      </c>
      <c r="K315" s="55">
        <f>VLOOKUP(VLOOKUP(Q315&amp;"_"&amp;R315,活动关卡!$A$32:$Z$55,2+5*S315,FALSE),'⚪设计'!$B$85:$H$114,7,FALSE)</f>
        <v>0.5</v>
      </c>
      <c r="L315" s="57" t="s">
        <v>2384</v>
      </c>
      <c r="M315" t="s">
        <v>468</v>
      </c>
      <c r="N315" t="s">
        <v>469</v>
      </c>
      <c r="O315" t="s">
        <v>470</v>
      </c>
      <c r="P315" s="57" t="str">
        <f>IF(VLOOKUP(D315,'⚪设计'!$C$85:$I$113,7,FALSE)="","",VLOOKUP(D315,'⚪设计'!$C$85:$I$113,7,FALSE)&amp;",NormalAttack")</f>
        <v/>
      </c>
      <c r="Q315" s="110" t="str">
        <f t="shared" si="11"/>
        <v>2</v>
      </c>
      <c r="R315" s="110" t="str">
        <f t="shared" si="12"/>
        <v>4</v>
      </c>
      <c r="S315" s="110" t="str">
        <f t="shared" si="13"/>
        <v>2</v>
      </c>
    </row>
    <row r="316" spans="2:19" x14ac:dyDescent="0.2">
      <c r="B316" s="57" t="s">
        <v>2677</v>
      </c>
      <c r="C316" s="57" t="s">
        <v>2969</v>
      </c>
      <c r="D316" s="55" t="str">
        <f>VLOOKUP(VLOOKUP(Q316&amp;"_"&amp;R316,活动关卡!$A$32:$Z$55,2+5*S316,FALSE),'⚪设计'!$B$85:$H$114,2,FALSE)</f>
        <v>ResUnit_MiFeng2</v>
      </c>
      <c r="E316" s="55">
        <f>VLOOKUP(VLOOKUP(Q316&amp;"_"&amp;R316,活动关卡!$A$32:$Z$55,2+5*S316,FALSE),'⚪设计'!$B$85:$H$114,6,FALSE)*VLOOKUP(Q316&amp;"_"&amp;R316,活动关卡!$A$32:$Z$55,5,FALSE)</f>
        <v>3</v>
      </c>
      <c r="F316">
        <v>400</v>
      </c>
      <c r="G316" t="b">
        <v>1</v>
      </c>
      <c r="H316">
        <v>1</v>
      </c>
      <c r="I316">
        <v>1</v>
      </c>
      <c r="J316">
        <v>0.25</v>
      </c>
      <c r="K316" s="55">
        <f>VLOOKUP(VLOOKUP(Q316&amp;"_"&amp;R316,活动关卡!$A$32:$Z$55,2+5*S316,FALSE),'⚪设计'!$B$85:$H$114,7,FALSE)</f>
        <v>0.8</v>
      </c>
      <c r="L316" s="57" t="s">
        <v>2385</v>
      </c>
      <c r="M316" t="s">
        <v>468</v>
      </c>
      <c r="N316" t="s">
        <v>469</v>
      </c>
      <c r="O316" t="s">
        <v>470</v>
      </c>
      <c r="P316" s="57" t="str">
        <f>IF(VLOOKUP(D316,'⚪设计'!$C$85:$I$113,7,FALSE)="","",VLOOKUP(D316,'⚪设计'!$C$85:$I$113,7,FALSE)&amp;",NormalAttack")</f>
        <v/>
      </c>
      <c r="Q316" s="110" t="str">
        <f t="shared" si="11"/>
        <v>2</v>
      </c>
      <c r="R316" s="110" t="str">
        <f t="shared" si="12"/>
        <v>4</v>
      </c>
      <c r="S316" s="110" t="str">
        <f t="shared" si="13"/>
        <v>3</v>
      </c>
    </row>
    <row r="317" spans="2:19" x14ac:dyDescent="0.2">
      <c r="B317" s="57" t="s">
        <v>2678</v>
      </c>
      <c r="C317" s="57" t="s">
        <v>2970</v>
      </c>
      <c r="D317" s="55" t="str">
        <f>VLOOKUP(VLOOKUP(Q317&amp;"_"&amp;R317,活动关卡!$A$32:$Z$55,2+5*S317,FALSE),'⚪设计'!$B$85:$H$114,2,FALSE)</f>
        <v>ResUnit_Rou1</v>
      </c>
      <c r="E317" s="55">
        <f>VLOOKUP(VLOOKUP(Q317&amp;"_"&amp;R317,活动关卡!$A$32:$Z$55,2+5*S317,FALSE),'⚪设计'!$B$85:$H$114,6,FALSE)*VLOOKUP(Q317&amp;"_"&amp;R317,活动关卡!$A$32:$Z$55,5,FALSE)</f>
        <v>1.25</v>
      </c>
      <c r="F317">
        <v>400</v>
      </c>
      <c r="G317" t="b">
        <v>1</v>
      </c>
      <c r="H317">
        <v>1</v>
      </c>
      <c r="I317">
        <v>1</v>
      </c>
      <c r="J317">
        <v>0.25</v>
      </c>
      <c r="K317" s="55">
        <f>VLOOKUP(VLOOKUP(Q317&amp;"_"&amp;R317,活动关卡!$A$32:$Z$55,2+5*S317,FALSE),'⚪设计'!$B$85:$H$114,7,FALSE)</f>
        <v>1.25</v>
      </c>
      <c r="L317" s="57" t="s">
        <v>2386</v>
      </c>
      <c r="M317" t="s">
        <v>468</v>
      </c>
      <c r="N317" t="s">
        <v>469</v>
      </c>
      <c r="O317" t="s">
        <v>470</v>
      </c>
      <c r="P317" s="57" t="str">
        <f>IF(VLOOKUP(D317,'⚪设计'!$C$85:$I$113,7,FALSE)="","",VLOOKUP(D317,'⚪设计'!$C$85:$I$113,7,FALSE)&amp;",NormalAttack")</f>
        <v/>
      </c>
      <c r="Q317" s="110" t="str">
        <f t="shared" si="11"/>
        <v>2</v>
      </c>
      <c r="R317" s="110" t="str">
        <f t="shared" si="12"/>
        <v>4</v>
      </c>
      <c r="S317" s="110" t="str">
        <f t="shared" si="13"/>
        <v>4</v>
      </c>
    </row>
    <row r="318" spans="2:19" x14ac:dyDescent="0.2">
      <c r="B318" s="57" t="s">
        <v>2679</v>
      </c>
      <c r="C318" s="57" t="s">
        <v>2971</v>
      </c>
      <c r="D318" s="55" t="str">
        <f>VLOOKUP(VLOOKUP(Q318&amp;"_"&amp;R318,活动关卡!$A$32:$Z$55,2+5*S318,FALSE),'⚪设计'!$B$85:$H$114,2,FALSE)</f>
        <v>ResUnit_ZhiZhu1</v>
      </c>
      <c r="E318" s="55">
        <f>VLOOKUP(VLOOKUP(Q318&amp;"_"&amp;R318,活动关卡!$A$32:$Z$55,2+5*S318,FALSE),'⚪设计'!$B$85:$H$114,6,FALSE)*VLOOKUP(Q318&amp;"_"&amp;R318,活动关卡!$A$32:$Z$55,5,FALSE)</f>
        <v>4.5</v>
      </c>
      <c r="F318">
        <v>400</v>
      </c>
      <c r="G318" t="b">
        <v>1</v>
      </c>
      <c r="H318">
        <v>1</v>
      </c>
      <c r="I318">
        <v>1</v>
      </c>
      <c r="J318">
        <v>0.25</v>
      </c>
      <c r="K318" s="55">
        <f>VLOOKUP(VLOOKUP(Q318&amp;"_"&amp;R318,活动关卡!$A$32:$Z$55,2+5*S318,FALSE),'⚪设计'!$B$85:$H$114,7,FALSE)</f>
        <v>1</v>
      </c>
      <c r="L318" s="57" t="s">
        <v>2387</v>
      </c>
      <c r="M318" t="s">
        <v>468</v>
      </c>
      <c r="N318" t="s">
        <v>469</v>
      </c>
      <c r="O318" t="s">
        <v>470</v>
      </c>
      <c r="P318" s="57" t="str">
        <f>IF(VLOOKUP(D318,'⚪设计'!$C$85:$I$113,7,FALSE)="","",VLOOKUP(D318,'⚪设计'!$C$85:$I$113,7,FALSE)&amp;",NormalAttack")</f>
        <v/>
      </c>
      <c r="Q318" s="110" t="str">
        <f t="shared" si="11"/>
        <v>2</v>
      </c>
      <c r="R318" s="110" t="str">
        <f t="shared" si="12"/>
        <v>5</v>
      </c>
      <c r="S318" s="110" t="str">
        <f t="shared" si="13"/>
        <v>1</v>
      </c>
    </row>
    <row r="319" spans="2:19" x14ac:dyDescent="0.2">
      <c r="B319" s="57" t="s">
        <v>2680</v>
      </c>
      <c r="C319" s="57" t="s">
        <v>2972</v>
      </c>
      <c r="D319" s="55" t="str">
        <f>VLOOKUP(VLOOKUP(Q319&amp;"_"&amp;R319,活动关卡!$A$32:$Z$55,2+5*S319,FALSE),'⚪设计'!$B$85:$H$114,2,FALSE)</f>
        <v>ResUnit_BianFu1</v>
      </c>
      <c r="E319" s="55">
        <f>VLOOKUP(VLOOKUP(Q319&amp;"_"&amp;R319,活动关卡!$A$32:$Z$55,2+5*S319,FALSE),'⚪设计'!$B$85:$H$114,6,FALSE)*VLOOKUP(Q319&amp;"_"&amp;R319,活动关卡!$A$32:$Z$55,5,FALSE)</f>
        <v>3</v>
      </c>
      <c r="F319">
        <v>400</v>
      </c>
      <c r="G319" t="b">
        <v>1</v>
      </c>
      <c r="H319">
        <v>1</v>
      </c>
      <c r="I319">
        <v>1</v>
      </c>
      <c r="J319">
        <v>0.25</v>
      </c>
      <c r="K319" s="55">
        <f>VLOOKUP(VLOOKUP(Q319&amp;"_"&amp;R319,活动关卡!$A$32:$Z$55,2+5*S319,FALSE),'⚪设计'!$B$85:$H$114,7,FALSE)</f>
        <v>0.5</v>
      </c>
      <c r="L319" s="57" t="s">
        <v>2388</v>
      </c>
      <c r="M319" t="s">
        <v>468</v>
      </c>
      <c r="N319" t="s">
        <v>469</v>
      </c>
      <c r="O319" t="s">
        <v>470</v>
      </c>
      <c r="P319" s="57" t="str">
        <f>IF(VLOOKUP(D319,'⚪设计'!$C$85:$I$113,7,FALSE)="","",VLOOKUP(D319,'⚪设计'!$C$85:$I$113,7,FALSE)&amp;",NormalAttack")</f>
        <v/>
      </c>
      <c r="Q319" s="110" t="str">
        <f t="shared" si="11"/>
        <v>2</v>
      </c>
      <c r="R319" s="110" t="str">
        <f t="shared" si="12"/>
        <v>5</v>
      </c>
      <c r="S319" s="110" t="str">
        <f t="shared" si="13"/>
        <v>2</v>
      </c>
    </row>
    <row r="320" spans="2:19" x14ac:dyDescent="0.2">
      <c r="B320" s="57" t="s">
        <v>2681</v>
      </c>
      <c r="C320" s="57" t="s">
        <v>2973</v>
      </c>
      <c r="D320" s="55" t="str">
        <f>VLOOKUP(VLOOKUP(Q320&amp;"_"&amp;R320,活动关卡!$A$32:$Z$55,2+5*S320,FALSE),'⚪设计'!$B$85:$H$114,2,FALSE)</f>
        <v>ResUnit_MiFeng2</v>
      </c>
      <c r="E320" s="55">
        <f>VLOOKUP(VLOOKUP(Q320&amp;"_"&amp;R320,活动关卡!$A$32:$Z$55,2+5*S320,FALSE),'⚪设计'!$B$85:$H$114,6,FALSE)*VLOOKUP(Q320&amp;"_"&amp;R320,活动关卡!$A$32:$Z$55,5,FALSE)</f>
        <v>3</v>
      </c>
      <c r="F320">
        <v>400</v>
      </c>
      <c r="G320" t="b">
        <v>1</v>
      </c>
      <c r="H320">
        <v>1</v>
      </c>
      <c r="I320">
        <v>1</v>
      </c>
      <c r="J320">
        <v>0.25</v>
      </c>
      <c r="K320" s="55">
        <f>VLOOKUP(VLOOKUP(Q320&amp;"_"&amp;R320,活动关卡!$A$32:$Z$55,2+5*S320,FALSE),'⚪设计'!$B$85:$H$114,7,FALSE)</f>
        <v>0.8</v>
      </c>
      <c r="L320" s="57" t="s">
        <v>2389</v>
      </c>
      <c r="M320" t="s">
        <v>468</v>
      </c>
      <c r="N320" t="s">
        <v>469</v>
      </c>
      <c r="O320" t="s">
        <v>470</v>
      </c>
      <c r="P320" s="57" t="str">
        <f>IF(VLOOKUP(D320,'⚪设计'!$C$85:$I$113,7,FALSE)="","",VLOOKUP(D320,'⚪设计'!$C$85:$I$113,7,FALSE)&amp;",NormalAttack")</f>
        <v/>
      </c>
      <c r="Q320" s="110" t="str">
        <f t="shared" si="11"/>
        <v>2</v>
      </c>
      <c r="R320" s="110" t="str">
        <f t="shared" si="12"/>
        <v>5</v>
      </c>
      <c r="S320" s="110" t="str">
        <f t="shared" si="13"/>
        <v>3</v>
      </c>
    </row>
    <row r="321" spans="2:19" x14ac:dyDescent="0.2">
      <c r="B321" s="57" t="s">
        <v>2682</v>
      </c>
      <c r="C321" s="57" t="s">
        <v>2974</v>
      </c>
      <c r="D321" s="55" t="str">
        <f>VLOOKUP(VLOOKUP(Q321&amp;"_"&amp;R321,活动关卡!$A$32:$Z$55,2+5*S321,FALSE),'⚪设计'!$B$85:$H$114,2,FALSE)</f>
        <v>ResUnit_Rou1</v>
      </c>
      <c r="E321" s="55">
        <f>VLOOKUP(VLOOKUP(Q321&amp;"_"&amp;R321,活动关卡!$A$32:$Z$55,2+5*S321,FALSE),'⚪设计'!$B$85:$H$114,6,FALSE)*VLOOKUP(Q321&amp;"_"&amp;R321,活动关卡!$A$32:$Z$55,5,FALSE)</f>
        <v>1.25</v>
      </c>
      <c r="F321">
        <v>400</v>
      </c>
      <c r="G321" t="b">
        <v>1</v>
      </c>
      <c r="H321">
        <v>1</v>
      </c>
      <c r="I321">
        <v>1</v>
      </c>
      <c r="J321">
        <v>0.25</v>
      </c>
      <c r="K321" s="55">
        <f>VLOOKUP(VLOOKUP(Q321&amp;"_"&amp;R321,活动关卡!$A$32:$Z$55,2+5*S321,FALSE),'⚪设计'!$B$85:$H$114,7,FALSE)</f>
        <v>1.25</v>
      </c>
      <c r="L321" s="57" t="s">
        <v>2390</v>
      </c>
      <c r="M321" t="s">
        <v>468</v>
      </c>
      <c r="N321" t="s">
        <v>469</v>
      </c>
      <c r="O321" t="s">
        <v>470</v>
      </c>
      <c r="P321" s="57" t="str">
        <f>IF(VLOOKUP(D321,'⚪设计'!$C$85:$I$113,7,FALSE)="","",VLOOKUP(D321,'⚪设计'!$C$85:$I$113,7,FALSE)&amp;",NormalAttack")</f>
        <v/>
      </c>
      <c r="Q321" s="110" t="str">
        <f t="shared" si="11"/>
        <v>2</v>
      </c>
      <c r="R321" s="110" t="str">
        <f t="shared" si="12"/>
        <v>5</v>
      </c>
      <c r="S321" s="110" t="str">
        <f t="shared" si="13"/>
        <v>4</v>
      </c>
    </row>
    <row r="322" spans="2:19" x14ac:dyDescent="0.2">
      <c r="B322" s="57" t="s">
        <v>2683</v>
      </c>
      <c r="C322" s="57" t="s">
        <v>2975</v>
      </c>
      <c r="D322" s="55" t="str">
        <f>VLOOKUP(VLOOKUP(Q322&amp;"_"&amp;R322,活动关卡!$A$32:$Z$55,2+5*S322,FALSE),'⚪设计'!$B$85:$H$114,2,FALSE)</f>
        <v>ResUnit_ZhongZi1</v>
      </c>
      <c r="E322" s="55">
        <f>VLOOKUP(VLOOKUP(Q322&amp;"_"&amp;R322,活动关卡!$A$32:$Z$55,2+5*S322,FALSE),'⚪设计'!$B$85:$H$114,6,FALSE)*VLOOKUP(Q322&amp;"_"&amp;R322,活动关卡!$A$32:$Z$55,5,FALSE)</f>
        <v>3</v>
      </c>
      <c r="F322">
        <v>400</v>
      </c>
      <c r="G322" t="b">
        <v>1</v>
      </c>
      <c r="H322">
        <v>1</v>
      </c>
      <c r="I322">
        <v>1</v>
      </c>
      <c r="J322">
        <v>0.25</v>
      </c>
      <c r="K322" s="55">
        <f>VLOOKUP(VLOOKUP(Q322&amp;"_"&amp;R322,活动关卡!$A$32:$Z$55,2+5*S322,FALSE),'⚪设计'!$B$85:$H$114,7,FALSE)</f>
        <v>1</v>
      </c>
      <c r="L322" s="57" t="s">
        <v>2391</v>
      </c>
      <c r="M322" t="s">
        <v>468</v>
      </c>
      <c r="N322" t="s">
        <v>469</v>
      </c>
      <c r="O322" t="s">
        <v>470</v>
      </c>
      <c r="P322" s="57" t="str">
        <f>IF(VLOOKUP(D322,'⚪设计'!$C$85:$I$113,7,FALSE)="","",VLOOKUP(D322,'⚪设计'!$C$85:$I$113,7,FALSE)&amp;",NormalAttack")</f>
        <v>Skill_Monster_Heal,NormalAttack</v>
      </c>
      <c r="Q322" s="110" t="str">
        <f t="shared" si="11"/>
        <v>3</v>
      </c>
      <c r="R322" s="110" t="str">
        <f t="shared" si="12"/>
        <v>1</v>
      </c>
      <c r="S322" s="110" t="str">
        <f t="shared" si="13"/>
        <v>1</v>
      </c>
    </row>
    <row r="323" spans="2:19" x14ac:dyDescent="0.2">
      <c r="B323" s="57" t="s">
        <v>2684</v>
      </c>
      <c r="C323" s="57" t="s">
        <v>2976</v>
      </c>
      <c r="D323" s="55" t="str">
        <f>VLOOKUP(VLOOKUP(Q323&amp;"_"&amp;R323,活动关卡!$A$32:$Z$55,2+5*S323,FALSE),'⚪设计'!$B$85:$H$114,2,FALSE)</f>
        <v>ResUnit_Rou2</v>
      </c>
      <c r="E323" s="55">
        <f>VLOOKUP(VLOOKUP(Q323&amp;"_"&amp;R323,活动关卡!$A$32:$Z$55,2+5*S323,FALSE),'⚪设计'!$B$85:$H$114,6,FALSE)*VLOOKUP(Q323&amp;"_"&amp;R323,活动关卡!$A$32:$Z$55,5,FALSE)</f>
        <v>1.25</v>
      </c>
      <c r="F323">
        <v>400</v>
      </c>
      <c r="G323" t="b">
        <v>1</v>
      </c>
      <c r="H323">
        <v>1</v>
      </c>
      <c r="I323">
        <v>1</v>
      </c>
      <c r="J323">
        <v>0.25</v>
      </c>
      <c r="K323" s="55">
        <f>VLOOKUP(VLOOKUP(Q323&amp;"_"&amp;R323,活动关卡!$A$32:$Z$55,2+5*S323,FALSE),'⚪设计'!$B$85:$H$114,7,FALSE)</f>
        <v>1.5</v>
      </c>
      <c r="L323" s="57" t="s">
        <v>2392</v>
      </c>
      <c r="M323" t="s">
        <v>468</v>
      </c>
      <c r="N323" t="s">
        <v>469</v>
      </c>
      <c r="O323" t="s">
        <v>470</v>
      </c>
      <c r="P323" s="57" t="str">
        <f>IF(VLOOKUP(D323,'⚪设计'!$C$85:$I$113,7,FALSE)="","",VLOOKUP(D323,'⚪设计'!$C$85:$I$113,7,FALSE)&amp;",NormalAttack")</f>
        <v/>
      </c>
      <c r="Q323" s="110" t="str">
        <f t="shared" si="11"/>
        <v>3</v>
      </c>
      <c r="R323" s="110" t="str">
        <f t="shared" si="12"/>
        <v>1</v>
      </c>
      <c r="S323" s="110" t="str">
        <f t="shared" si="13"/>
        <v>2</v>
      </c>
    </row>
    <row r="324" spans="2:19" x14ac:dyDescent="0.2">
      <c r="B324" s="57" t="s">
        <v>2685</v>
      </c>
      <c r="C324" s="57" t="s">
        <v>2977</v>
      </c>
      <c r="D324" s="55" t="str">
        <f>VLOOKUP(VLOOKUP(Q324&amp;"_"&amp;R324,活动关卡!$A$32:$Z$55,2+5*S324,FALSE),'⚪设计'!$B$85:$H$114,2,FALSE)</f>
        <v>ResUnit_ZhongZi1</v>
      </c>
      <c r="E324" s="55">
        <f>VLOOKUP(VLOOKUP(Q324&amp;"_"&amp;R324,活动关卡!$A$32:$Z$55,2+5*S324,FALSE),'⚪设计'!$B$85:$H$114,6,FALSE)*VLOOKUP(Q324&amp;"_"&amp;R324,活动关卡!$A$32:$Z$55,5,FALSE)</f>
        <v>3</v>
      </c>
      <c r="F324">
        <v>400</v>
      </c>
      <c r="G324" t="b">
        <v>1</v>
      </c>
      <c r="H324">
        <v>1</v>
      </c>
      <c r="I324">
        <v>1</v>
      </c>
      <c r="J324">
        <v>0.25</v>
      </c>
      <c r="K324" s="55">
        <f>VLOOKUP(VLOOKUP(Q324&amp;"_"&amp;R324,活动关卡!$A$32:$Z$55,2+5*S324,FALSE),'⚪设计'!$B$85:$H$114,7,FALSE)</f>
        <v>1</v>
      </c>
      <c r="L324" s="57" t="s">
        <v>2393</v>
      </c>
      <c r="M324" t="s">
        <v>468</v>
      </c>
      <c r="N324" t="s">
        <v>469</v>
      </c>
      <c r="O324" t="s">
        <v>470</v>
      </c>
      <c r="P324" s="57" t="str">
        <f>IF(VLOOKUP(D324,'⚪设计'!$C$85:$I$113,7,FALSE)="","",VLOOKUP(D324,'⚪设计'!$C$85:$I$113,7,FALSE)&amp;",NormalAttack")</f>
        <v>Skill_Monster_Heal,NormalAttack</v>
      </c>
      <c r="Q324" s="110" t="str">
        <f t="shared" si="11"/>
        <v>3</v>
      </c>
      <c r="R324" s="110" t="str">
        <f t="shared" si="12"/>
        <v>2</v>
      </c>
      <c r="S324" s="110" t="str">
        <f t="shared" si="13"/>
        <v>1</v>
      </c>
    </row>
    <row r="325" spans="2:19" x14ac:dyDescent="0.2">
      <c r="B325" s="57" t="s">
        <v>2686</v>
      </c>
      <c r="C325" s="57" t="s">
        <v>2978</v>
      </c>
      <c r="D325" s="55" t="str">
        <f>VLOOKUP(VLOOKUP(Q325&amp;"_"&amp;R325,活动关卡!$A$32:$Z$55,2+5*S325,FALSE),'⚪设计'!$B$85:$H$114,2,FALSE)</f>
        <v>ResUnit_MiFeng2</v>
      </c>
      <c r="E325" s="55">
        <f>VLOOKUP(VLOOKUP(Q325&amp;"_"&amp;R325,活动关卡!$A$32:$Z$55,2+5*S325,FALSE),'⚪设计'!$B$85:$H$114,6,FALSE)*VLOOKUP(Q325&amp;"_"&amp;R325,活动关卡!$A$32:$Z$55,5,FALSE)</f>
        <v>3</v>
      </c>
      <c r="F325">
        <v>400</v>
      </c>
      <c r="G325" t="b">
        <v>1</v>
      </c>
      <c r="H325">
        <v>1</v>
      </c>
      <c r="I325">
        <v>1</v>
      </c>
      <c r="J325">
        <v>0.25</v>
      </c>
      <c r="K325" s="55">
        <f>VLOOKUP(VLOOKUP(Q325&amp;"_"&amp;R325,活动关卡!$A$32:$Z$55,2+5*S325,FALSE),'⚪设计'!$B$85:$H$114,7,FALSE)</f>
        <v>0.8</v>
      </c>
      <c r="L325" s="57" t="s">
        <v>2394</v>
      </c>
      <c r="M325" t="s">
        <v>468</v>
      </c>
      <c r="N325" t="s">
        <v>469</v>
      </c>
      <c r="O325" t="s">
        <v>470</v>
      </c>
      <c r="P325" s="57" t="str">
        <f>IF(VLOOKUP(D325,'⚪设计'!$C$85:$I$113,7,FALSE)="","",VLOOKUP(D325,'⚪设计'!$C$85:$I$113,7,FALSE)&amp;",NormalAttack")</f>
        <v/>
      </c>
      <c r="Q325" s="110" t="str">
        <f t="shared" si="11"/>
        <v>3</v>
      </c>
      <c r="R325" s="110" t="str">
        <f t="shared" si="12"/>
        <v>2</v>
      </c>
      <c r="S325" s="110" t="str">
        <f t="shared" si="13"/>
        <v>2</v>
      </c>
    </row>
    <row r="326" spans="2:19" x14ac:dyDescent="0.2">
      <c r="B326" s="57" t="s">
        <v>2687</v>
      </c>
      <c r="C326" s="57" t="s">
        <v>2979</v>
      </c>
      <c r="D326" s="55" t="str">
        <f>VLOOKUP(VLOOKUP(Q326&amp;"_"&amp;R326,活动关卡!$A$32:$Z$55,2+5*S326,FALSE),'⚪设计'!$B$85:$H$114,2,FALSE)</f>
        <v>ResUnit_Rou2</v>
      </c>
      <c r="E326" s="55">
        <f>VLOOKUP(VLOOKUP(Q326&amp;"_"&amp;R326,活动关卡!$A$32:$Z$55,2+5*S326,FALSE),'⚪设计'!$B$85:$H$114,6,FALSE)*VLOOKUP(Q326&amp;"_"&amp;R326,活动关卡!$A$32:$Z$55,5,FALSE)</f>
        <v>1.25</v>
      </c>
      <c r="F326">
        <v>400</v>
      </c>
      <c r="G326" t="b">
        <v>1</v>
      </c>
      <c r="H326">
        <v>1</v>
      </c>
      <c r="I326">
        <v>1</v>
      </c>
      <c r="J326">
        <v>0.25</v>
      </c>
      <c r="K326" s="55">
        <f>VLOOKUP(VLOOKUP(Q326&amp;"_"&amp;R326,活动关卡!$A$32:$Z$55,2+5*S326,FALSE),'⚪设计'!$B$85:$H$114,7,FALSE)</f>
        <v>1.5</v>
      </c>
      <c r="L326" s="57" t="s">
        <v>2395</v>
      </c>
      <c r="M326" t="s">
        <v>468</v>
      </c>
      <c r="N326" t="s">
        <v>469</v>
      </c>
      <c r="O326" t="s">
        <v>470</v>
      </c>
      <c r="P326" s="57" t="str">
        <f>IF(VLOOKUP(D326,'⚪设计'!$C$85:$I$113,7,FALSE)="","",VLOOKUP(D326,'⚪设计'!$C$85:$I$113,7,FALSE)&amp;",NormalAttack")</f>
        <v/>
      </c>
      <c r="Q326" s="110" t="str">
        <f t="shared" si="11"/>
        <v>3</v>
      </c>
      <c r="R326" s="110" t="str">
        <f t="shared" si="12"/>
        <v>2</v>
      </c>
      <c r="S326" s="110" t="str">
        <f t="shared" si="13"/>
        <v>3</v>
      </c>
    </row>
    <row r="327" spans="2:19" x14ac:dyDescent="0.2">
      <c r="B327" s="57" t="s">
        <v>2688</v>
      </c>
      <c r="C327" s="57" t="s">
        <v>2980</v>
      </c>
      <c r="D327" s="55" t="str">
        <f>VLOOKUP(VLOOKUP(Q327&amp;"_"&amp;R327,活动关卡!$A$32:$Z$55,2+5*S327,FALSE),'⚪设计'!$B$85:$H$114,2,FALSE)</f>
        <v>ResUnit_ZhongZi1</v>
      </c>
      <c r="E327" s="55">
        <f>VLOOKUP(VLOOKUP(Q327&amp;"_"&amp;R327,活动关卡!$A$32:$Z$55,2+5*S327,FALSE),'⚪设计'!$B$85:$H$114,6,FALSE)*VLOOKUP(Q327&amp;"_"&amp;R327,活动关卡!$A$32:$Z$55,5,FALSE)</f>
        <v>3</v>
      </c>
      <c r="F327">
        <v>400</v>
      </c>
      <c r="G327" t="b">
        <v>1</v>
      </c>
      <c r="H327">
        <v>1</v>
      </c>
      <c r="I327">
        <v>1</v>
      </c>
      <c r="J327">
        <v>0.25</v>
      </c>
      <c r="K327" s="55">
        <f>VLOOKUP(VLOOKUP(Q327&amp;"_"&amp;R327,活动关卡!$A$32:$Z$55,2+5*S327,FALSE),'⚪设计'!$B$85:$H$114,7,FALSE)</f>
        <v>1</v>
      </c>
      <c r="L327" s="57" t="s">
        <v>2396</v>
      </c>
      <c r="M327" t="s">
        <v>468</v>
      </c>
      <c r="N327" t="s">
        <v>469</v>
      </c>
      <c r="O327" t="s">
        <v>470</v>
      </c>
      <c r="P327" s="57" t="str">
        <f>IF(VLOOKUP(D327,'⚪设计'!$C$85:$I$113,7,FALSE)="","",VLOOKUP(D327,'⚪设计'!$C$85:$I$113,7,FALSE)&amp;",NormalAttack")</f>
        <v>Skill_Monster_Heal,NormalAttack</v>
      </c>
      <c r="Q327" s="110" t="str">
        <f t="shared" si="11"/>
        <v>3</v>
      </c>
      <c r="R327" s="110" t="str">
        <f t="shared" si="12"/>
        <v>3</v>
      </c>
      <c r="S327" s="110" t="str">
        <f t="shared" si="13"/>
        <v>1</v>
      </c>
    </row>
    <row r="328" spans="2:19" x14ac:dyDescent="0.2">
      <c r="B328" s="57" t="s">
        <v>2689</v>
      </c>
      <c r="C328" s="57" t="s">
        <v>2981</v>
      </c>
      <c r="D328" s="55" t="str">
        <f>VLOOKUP(VLOOKUP(Q328&amp;"_"&amp;R328,活动关卡!$A$32:$Z$55,2+5*S328,FALSE),'⚪设计'!$B$85:$H$114,2,FALSE)</f>
        <v>ResUnit_BianFu1</v>
      </c>
      <c r="E328" s="55">
        <f>VLOOKUP(VLOOKUP(Q328&amp;"_"&amp;R328,活动关卡!$A$32:$Z$55,2+5*S328,FALSE),'⚪设计'!$B$85:$H$114,6,FALSE)*VLOOKUP(Q328&amp;"_"&amp;R328,活动关卡!$A$32:$Z$55,5,FALSE)</f>
        <v>3</v>
      </c>
      <c r="F328">
        <v>400</v>
      </c>
      <c r="G328" t="b">
        <v>1</v>
      </c>
      <c r="H328">
        <v>1</v>
      </c>
      <c r="I328">
        <v>1</v>
      </c>
      <c r="J328">
        <v>0.25</v>
      </c>
      <c r="K328" s="55">
        <f>VLOOKUP(VLOOKUP(Q328&amp;"_"&amp;R328,活动关卡!$A$32:$Z$55,2+5*S328,FALSE),'⚪设计'!$B$85:$H$114,7,FALSE)</f>
        <v>0.5</v>
      </c>
      <c r="L328" s="57" t="s">
        <v>2397</v>
      </c>
      <c r="M328" t="s">
        <v>468</v>
      </c>
      <c r="N328" t="s">
        <v>469</v>
      </c>
      <c r="O328" t="s">
        <v>470</v>
      </c>
      <c r="P328" s="57" t="str">
        <f>IF(VLOOKUP(D328,'⚪设计'!$C$85:$I$113,7,FALSE)="","",VLOOKUP(D328,'⚪设计'!$C$85:$I$113,7,FALSE)&amp;",NormalAttack")</f>
        <v/>
      </c>
      <c r="Q328" s="110" t="str">
        <f t="shared" si="11"/>
        <v>3</v>
      </c>
      <c r="R328" s="110" t="str">
        <f t="shared" si="12"/>
        <v>3</v>
      </c>
      <c r="S328" s="110" t="str">
        <f t="shared" si="13"/>
        <v>2</v>
      </c>
    </row>
    <row r="329" spans="2:19" x14ac:dyDescent="0.2">
      <c r="B329" s="57" t="s">
        <v>2690</v>
      </c>
      <c r="C329" s="57" t="s">
        <v>2982</v>
      </c>
      <c r="D329" s="55" t="str">
        <f>VLOOKUP(VLOOKUP(Q329&amp;"_"&amp;R329,活动关卡!$A$32:$Z$55,2+5*S329,FALSE),'⚪设计'!$B$85:$H$114,2,FALSE)</f>
        <v>ResUnit_Rou2</v>
      </c>
      <c r="E329" s="55">
        <f>VLOOKUP(VLOOKUP(Q329&amp;"_"&amp;R329,活动关卡!$A$32:$Z$55,2+5*S329,FALSE),'⚪设计'!$B$85:$H$114,6,FALSE)*VLOOKUP(Q329&amp;"_"&amp;R329,活动关卡!$A$32:$Z$55,5,FALSE)</f>
        <v>1.25</v>
      </c>
      <c r="F329">
        <v>400</v>
      </c>
      <c r="G329" t="b">
        <v>1</v>
      </c>
      <c r="H329">
        <v>1</v>
      </c>
      <c r="I329">
        <v>1</v>
      </c>
      <c r="J329">
        <v>0.25</v>
      </c>
      <c r="K329" s="55">
        <f>VLOOKUP(VLOOKUP(Q329&amp;"_"&amp;R329,活动关卡!$A$32:$Z$55,2+5*S329,FALSE),'⚪设计'!$B$85:$H$114,7,FALSE)</f>
        <v>1.5</v>
      </c>
      <c r="L329" s="57" t="s">
        <v>2398</v>
      </c>
      <c r="M329" t="s">
        <v>468</v>
      </c>
      <c r="N329" t="s">
        <v>469</v>
      </c>
      <c r="O329" t="s">
        <v>470</v>
      </c>
      <c r="P329" s="57" t="str">
        <f>IF(VLOOKUP(D329,'⚪设计'!$C$85:$I$113,7,FALSE)="","",VLOOKUP(D329,'⚪设计'!$C$85:$I$113,7,FALSE)&amp;",NormalAttack")</f>
        <v/>
      </c>
      <c r="Q329" s="110" t="str">
        <f t="shared" si="11"/>
        <v>3</v>
      </c>
      <c r="R329" s="110" t="str">
        <f t="shared" si="12"/>
        <v>3</v>
      </c>
      <c r="S329" s="110" t="str">
        <f t="shared" si="13"/>
        <v>3</v>
      </c>
    </row>
    <row r="330" spans="2:19" x14ac:dyDescent="0.2">
      <c r="B330" s="57" t="s">
        <v>2691</v>
      </c>
      <c r="C330" s="57" t="s">
        <v>2983</v>
      </c>
      <c r="D330" s="55" t="str">
        <f>VLOOKUP(VLOOKUP(Q330&amp;"_"&amp;R330,活动关卡!$A$32:$Z$55,2+5*S330,FALSE),'⚪设计'!$B$85:$H$114,2,FALSE)</f>
        <v>ResUnit_Gui1</v>
      </c>
      <c r="E330" s="55">
        <f>VLOOKUP(VLOOKUP(Q330&amp;"_"&amp;R330,活动关卡!$A$32:$Z$55,2+5*S330,FALSE),'⚪设计'!$B$85:$H$114,6,FALSE)*VLOOKUP(Q330&amp;"_"&amp;R330,活动关卡!$A$32:$Z$55,5,FALSE)</f>
        <v>3</v>
      </c>
      <c r="F330">
        <v>400</v>
      </c>
      <c r="G330" t="b">
        <v>1</v>
      </c>
      <c r="H330">
        <v>1</v>
      </c>
      <c r="I330">
        <v>1</v>
      </c>
      <c r="J330">
        <v>0.25</v>
      </c>
      <c r="K330" s="55">
        <f>VLOOKUP(VLOOKUP(Q330&amp;"_"&amp;R330,活动关卡!$A$32:$Z$55,2+5*S330,FALSE),'⚪设计'!$B$85:$H$114,7,FALSE)</f>
        <v>1</v>
      </c>
      <c r="L330" s="57" t="s">
        <v>2399</v>
      </c>
      <c r="M330" t="s">
        <v>468</v>
      </c>
      <c r="N330" t="s">
        <v>469</v>
      </c>
      <c r="O330" t="s">
        <v>470</v>
      </c>
      <c r="P330" s="57" t="str">
        <f>IF(VLOOKUP(D330,'⚪设计'!$C$85:$I$113,7,FALSE)="","",VLOOKUP(D330,'⚪设计'!$C$85:$I$113,7,FALSE)&amp;",NormalAttack")</f>
        <v>Skill_Monster_Invisible,NormalAttack</v>
      </c>
      <c r="Q330" s="110" t="str">
        <f t="shared" si="11"/>
        <v>4</v>
      </c>
      <c r="R330" s="110" t="str">
        <f t="shared" si="12"/>
        <v>1</v>
      </c>
      <c r="S330" s="110" t="str">
        <f t="shared" si="13"/>
        <v>1</v>
      </c>
    </row>
    <row r="331" spans="2:19" x14ac:dyDescent="0.2">
      <c r="B331" s="57" t="s">
        <v>2692</v>
      </c>
      <c r="C331" s="57" t="s">
        <v>2984</v>
      </c>
      <c r="D331" s="55" t="str">
        <f>VLOOKUP(VLOOKUP(Q331&amp;"_"&amp;R331,活动关卡!$A$32:$Z$55,2+5*S331,FALSE),'⚪设计'!$B$85:$H$114,2,FALSE)</f>
        <v>ResUnit_Rou2</v>
      </c>
      <c r="E331" s="55">
        <f>VLOOKUP(VLOOKUP(Q331&amp;"_"&amp;R331,活动关卡!$A$32:$Z$55,2+5*S331,FALSE),'⚪设计'!$B$85:$H$114,6,FALSE)*VLOOKUP(Q331&amp;"_"&amp;R331,活动关卡!$A$32:$Z$55,5,FALSE)</f>
        <v>1.25</v>
      </c>
      <c r="F331">
        <v>400</v>
      </c>
      <c r="G331" t="b">
        <v>1</v>
      </c>
      <c r="H331">
        <v>1</v>
      </c>
      <c r="I331">
        <v>1</v>
      </c>
      <c r="J331">
        <v>0.25</v>
      </c>
      <c r="K331" s="55">
        <f>VLOOKUP(VLOOKUP(Q331&amp;"_"&amp;R331,活动关卡!$A$32:$Z$55,2+5*S331,FALSE),'⚪设计'!$B$85:$H$114,7,FALSE)</f>
        <v>1.5</v>
      </c>
      <c r="L331" s="57" t="s">
        <v>2400</v>
      </c>
      <c r="M331" t="s">
        <v>468</v>
      </c>
      <c r="N331" t="s">
        <v>469</v>
      </c>
      <c r="O331" t="s">
        <v>470</v>
      </c>
      <c r="P331" s="57" t="str">
        <f>IF(VLOOKUP(D331,'⚪设计'!$C$85:$I$113,7,FALSE)="","",VLOOKUP(D331,'⚪设计'!$C$85:$I$113,7,FALSE)&amp;",NormalAttack")</f>
        <v/>
      </c>
      <c r="Q331" s="110" t="str">
        <f t="shared" si="11"/>
        <v>4</v>
      </c>
      <c r="R331" s="110" t="str">
        <f t="shared" si="12"/>
        <v>1</v>
      </c>
      <c r="S331" s="110" t="str">
        <f t="shared" si="13"/>
        <v>2</v>
      </c>
    </row>
    <row r="332" spans="2:19" x14ac:dyDescent="0.2">
      <c r="B332" s="57" t="s">
        <v>2693</v>
      </c>
      <c r="C332" s="57" t="s">
        <v>2985</v>
      </c>
      <c r="D332" s="55" t="str">
        <f>VLOOKUP(VLOOKUP(Q332&amp;"_"&amp;R332,活动关卡!$A$32:$Z$55,2+5*S332,FALSE),'⚪设计'!$B$85:$H$114,2,FALSE)</f>
        <v>ResUnit_Gui1</v>
      </c>
      <c r="E332" s="55">
        <f>VLOOKUP(VLOOKUP(Q332&amp;"_"&amp;R332,活动关卡!$A$32:$Z$55,2+5*S332,FALSE),'⚪设计'!$B$85:$H$114,6,FALSE)*VLOOKUP(Q332&amp;"_"&amp;R332,活动关卡!$A$32:$Z$55,5,FALSE)</f>
        <v>3</v>
      </c>
      <c r="F332">
        <v>400</v>
      </c>
      <c r="G332" t="b">
        <v>1</v>
      </c>
      <c r="H332">
        <v>1</v>
      </c>
      <c r="I332">
        <v>1</v>
      </c>
      <c r="J332">
        <v>0.25</v>
      </c>
      <c r="K332" s="55">
        <f>VLOOKUP(VLOOKUP(Q332&amp;"_"&amp;R332,活动关卡!$A$32:$Z$55,2+5*S332,FALSE),'⚪设计'!$B$85:$H$114,7,FALSE)</f>
        <v>1</v>
      </c>
      <c r="L332" s="57" t="s">
        <v>2401</v>
      </c>
      <c r="M332" t="s">
        <v>468</v>
      </c>
      <c r="N332" t="s">
        <v>469</v>
      </c>
      <c r="O332" t="s">
        <v>470</v>
      </c>
      <c r="P332" s="57" t="str">
        <f>IF(VLOOKUP(D332,'⚪设计'!$C$85:$I$113,7,FALSE)="","",VLOOKUP(D332,'⚪设计'!$C$85:$I$113,7,FALSE)&amp;",NormalAttack")</f>
        <v>Skill_Monster_Invisible,NormalAttack</v>
      </c>
      <c r="Q332" s="110" t="str">
        <f t="shared" si="11"/>
        <v>4</v>
      </c>
      <c r="R332" s="110" t="str">
        <f t="shared" si="12"/>
        <v>2</v>
      </c>
      <c r="S332" s="110" t="str">
        <f t="shared" si="13"/>
        <v>1</v>
      </c>
    </row>
    <row r="333" spans="2:19" x14ac:dyDescent="0.2">
      <c r="B333" s="57" t="s">
        <v>2694</v>
      </c>
      <c r="C333" s="57" t="s">
        <v>2986</v>
      </c>
      <c r="D333" s="55" t="str">
        <f>VLOOKUP(VLOOKUP(Q333&amp;"_"&amp;R333,活动关卡!$A$32:$Z$55,2+5*S333,FALSE),'⚪设计'!$B$85:$H$114,2,FALSE)</f>
        <v>ResUnit_MiFeng2</v>
      </c>
      <c r="E333" s="55">
        <f>VLOOKUP(VLOOKUP(Q333&amp;"_"&amp;R333,活动关卡!$A$32:$Z$55,2+5*S333,FALSE),'⚪设计'!$B$85:$H$114,6,FALSE)*VLOOKUP(Q333&amp;"_"&amp;R333,活动关卡!$A$32:$Z$55,5,FALSE)</f>
        <v>3</v>
      </c>
      <c r="F333">
        <v>400</v>
      </c>
      <c r="G333" t="b">
        <v>1</v>
      </c>
      <c r="H333">
        <v>1</v>
      </c>
      <c r="I333">
        <v>1</v>
      </c>
      <c r="J333">
        <v>0.25</v>
      </c>
      <c r="K333" s="55">
        <f>VLOOKUP(VLOOKUP(Q333&amp;"_"&amp;R333,活动关卡!$A$32:$Z$55,2+5*S333,FALSE),'⚪设计'!$B$85:$H$114,7,FALSE)</f>
        <v>0.8</v>
      </c>
      <c r="L333" s="57" t="s">
        <v>2402</v>
      </c>
      <c r="M333" t="s">
        <v>468</v>
      </c>
      <c r="N333" t="s">
        <v>469</v>
      </c>
      <c r="O333" t="s">
        <v>470</v>
      </c>
      <c r="P333" s="57" t="str">
        <f>IF(VLOOKUP(D333,'⚪设计'!$C$85:$I$113,7,FALSE)="","",VLOOKUP(D333,'⚪设计'!$C$85:$I$113,7,FALSE)&amp;",NormalAttack")</f>
        <v/>
      </c>
      <c r="Q333" s="110" t="str">
        <f t="shared" si="11"/>
        <v>4</v>
      </c>
      <c r="R333" s="110" t="str">
        <f t="shared" si="12"/>
        <v>2</v>
      </c>
      <c r="S333" s="110" t="str">
        <f t="shared" si="13"/>
        <v>2</v>
      </c>
    </row>
    <row r="334" spans="2:19" x14ac:dyDescent="0.2">
      <c r="B334" s="57" t="s">
        <v>2695</v>
      </c>
      <c r="C334" s="57" t="s">
        <v>2987</v>
      </c>
      <c r="D334" s="55" t="str">
        <f>VLOOKUP(VLOOKUP(Q334&amp;"_"&amp;R334,活动关卡!$A$32:$Z$55,2+5*S334,FALSE),'⚪设计'!$B$85:$H$114,2,FALSE)</f>
        <v>ResUnit_Rou2</v>
      </c>
      <c r="E334" s="55">
        <f>VLOOKUP(VLOOKUP(Q334&amp;"_"&amp;R334,活动关卡!$A$32:$Z$55,2+5*S334,FALSE),'⚪设计'!$B$85:$H$114,6,FALSE)*VLOOKUP(Q334&amp;"_"&amp;R334,活动关卡!$A$32:$Z$55,5,FALSE)</f>
        <v>1.25</v>
      </c>
      <c r="F334">
        <v>400</v>
      </c>
      <c r="G334" t="b">
        <v>1</v>
      </c>
      <c r="H334">
        <v>1</v>
      </c>
      <c r="I334">
        <v>1</v>
      </c>
      <c r="J334">
        <v>0.25</v>
      </c>
      <c r="K334" s="55">
        <f>VLOOKUP(VLOOKUP(Q334&amp;"_"&amp;R334,活动关卡!$A$32:$Z$55,2+5*S334,FALSE),'⚪设计'!$B$85:$H$114,7,FALSE)</f>
        <v>1.5</v>
      </c>
      <c r="L334" s="57" t="s">
        <v>2403</v>
      </c>
      <c r="M334" t="s">
        <v>468</v>
      </c>
      <c r="N334" t="s">
        <v>469</v>
      </c>
      <c r="O334" t="s">
        <v>470</v>
      </c>
      <c r="P334" s="57" t="str">
        <f>IF(VLOOKUP(D334,'⚪设计'!$C$85:$I$113,7,FALSE)="","",VLOOKUP(D334,'⚪设计'!$C$85:$I$113,7,FALSE)&amp;",NormalAttack")</f>
        <v/>
      </c>
      <c r="Q334" s="110" t="str">
        <f t="shared" si="11"/>
        <v>4</v>
      </c>
      <c r="R334" s="110" t="str">
        <f t="shared" si="12"/>
        <v>2</v>
      </c>
      <c r="S334" s="110" t="str">
        <f t="shared" si="13"/>
        <v>3</v>
      </c>
    </row>
    <row r="335" spans="2:19" x14ac:dyDescent="0.2">
      <c r="B335" s="57" t="s">
        <v>2696</v>
      </c>
      <c r="C335" s="57" t="s">
        <v>2988</v>
      </c>
      <c r="D335" s="55" t="str">
        <f>VLOOKUP(VLOOKUP(Q335&amp;"_"&amp;R335,活动关卡!$A$32:$Z$55,2+5*S335,FALSE),'⚪设计'!$B$85:$H$114,2,FALSE)</f>
        <v>ResUnit_Gui1</v>
      </c>
      <c r="E335" s="55">
        <f>VLOOKUP(VLOOKUP(Q335&amp;"_"&amp;R335,活动关卡!$A$32:$Z$55,2+5*S335,FALSE),'⚪设计'!$B$85:$H$114,6,FALSE)*VLOOKUP(Q335&amp;"_"&amp;R335,活动关卡!$A$32:$Z$55,5,FALSE)</f>
        <v>3</v>
      </c>
      <c r="F335">
        <v>400</v>
      </c>
      <c r="G335" t="b">
        <v>1</v>
      </c>
      <c r="H335">
        <v>1</v>
      </c>
      <c r="I335">
        <v>1</v>
      </c>
      <c r="J335">
        <v>0.25</v>
      </c>
      <c r="K335" s="55">
        <f>VLOOKUP(VLOOKUP(Q335&amp;"_"&amp;R335,活动关卡!$A$32:$Z$55,2+5*S335,FALSE),'⚪设计'!$B$85:$H$114,7,FALSE)</f>
        <v>1</v>
      </c>
      <c r="L335" s="57" t="s">
        <v>2404</v>
      </c>
      <c r="M335" t="s">
        <v>468</v>
      </c>
      <c r="N335" t="s">
        <v>469</v>
      </c>
      <c r="O335" t="s">
        <v>470</v>
      </c>
      <c r="P335" s="57" t="str">
        <f>IF(VLOOKUP(D335,'⚪设计'!$C$85:$I$113,7,FALSE)="","",VLOOKUP(D335,'⚪设计'!$C$85:$I$113,7,FALSE)&amp;",NormalAttack")</f>
        <v>Skill_Monster_Invisible,NormalAttack</v>
      </c>
      <c r="Q335" s="110" t="str">
        <f t="shared" si="11"/>
        <v>4</v>
      </c>
      <c r="R335" s="110" t="str">
        <f t="shared" si="12"/>
        <v>3</v>
      </c>
      <c r="S335" s="110" t="str">
        <f t="shared" si="13"/>
        <v>1</v>
      </c>
    </row>
    <row r="336" spans="2:19" x14ac:dyDescent="0.2">
      <c r="B336" s="57" t="s">
        <v>2697</v>
      </c>
      <c r="C336" s="57" t="s">
        <v>2989</v>
      </c>
      <c r="D336" s="55" t="str">
        <f>VLOOKUP(VLOOKUP(Q336&amp;"_"&amp;R336,活动关卡!$A$32:$Z$55,2+5*S336,FALSE),'⚪设计'!$B$85:$H$114,2,FALSE)</f>
        <v>ResUnit_BianFu1</v>
      </c>
      <c r="E336" s="55">
        <f>VLOOKUP(VLOOKUP(Q336&amp;"_"&amp;R336,活动关卡!$A$32:$Z$55,2+5*S336,FALSE),'⚪设计'!$B$85:$H$114,6,FALSE)*VLOOKUP(Q336&amp;"_"&amp;R336,活动关卡!$A$32:$Z$55,5,FALSE)</f>
        <v>3</v>
      </c>
      <c r="F336">
        <v>400</v>
      </c>
      <c r="G336" t="b">
        <v>1</v>
      </c>
      <c r="H336">
        <v>1</v>
      </c>
      <c r="I336">
        <v>1</v>
      </c>
      <c r="J336">
        <v>0.25</v>
      </c>
      <c r="K336" s="55">
        <f>VLOOKUP(VLOOKUP(Q336&amp;"_"&amp;R336,活动关卡!$A$32:$Z$55,2+5*S336,FALSE),'⚪设计'!$B$85:$H$114,7,FALSE)</f>
        <v>0.5</v>
      </c>
      <c r="L336" s="57" t="s">
        <v>2405</v>
      </c>
      <c r="M336" t="s">
        <v>468</v>
      </c>
      <c r="N336" t="s">
        <v>469</v>
      </c>
      <c r="O336" t="s">
        <v>470</v>
      </c>
      <c r="P336" s="57" t="str">
        <f>IF(VLOOKUP(D336,'⚪设计'!$C$85:$I$113,7,FALSE)="","",VLOOKUP(D336,'⚪设计'!$C$85:$I$113,7,FALSE)&amp;",NormalAttack")</f>
        <v/>
      </c>
      <c r="Q336" s="110" t="str">
        <f t="shared" si="11"/>
        <v>4</v>
      </c>
      <c r="R336" s="110" t="str">
        <f t="shared" si="12"/>
        <v>3</v>
      </c>
      <c r="S336" s="110" t="str">
        <f t="shared" si="13"/>
        <v>2</v>
      </c>
    </row>
    <row r="337" spans="2:19" x14ac:dyDescent="0.2">
      <c r="B337" s="57" t="s">
        <v>2698</v>
      </c>
      <c r="C337" s="57" t="s">
        <v>2990</v>
      </c>
      <c r="D337" s="55" t="str">
        <f>VLOOKUP(VLOOKUP(Q337&amp;"_"&amp;R337,活动关卡!$A$32:$Z$55,2+5*S337,FALSE),'⚪设计'!$B$85:$H$114,2,FALSE)</f>
        <v>ResUnit_Rou2</v>
      </c>
      <c r="E337" s="55">
        <f>VLOOKUP(VLOOKUP(Q337&amp;"_"&amp;R337,活动关卡!$A$32:$Z$55,2+5*S337,FALSE),'⚪设计'!$B$85:$H$114,6,FALSE)*VLOOKUP(Q337&amp;"_"&amp;R337,活动关卡!$A$32:$Z$55,5,FALSE)</f>
        <v>1.25</v>
      </c>
      <c r="F337">
        <v>400</v>
      </c>
      <c r="G337" t="b">
        <v>1</v>
      </c>
      <c r="H337">
        <v>1</v>
      </c>
      <c r="I337">
        <v>1</v>
      </c>
      <c r="J337">
        <v>0.25</v>
      </c>
      <c r="K337" s="55">
        <f>VLOOKUP(VLOOKUP(Q337&amp;"_"&amp;R337,活动关卡!$A$32:$Z$55,2+5*S337,FALSE),'⚪设计'!$B$85:$H$114,7,FALSE)</f>
        <v>1.5</v>
      </c>
      <c r="L337" s="57" t="s">
        <v>2406</v>
      </c>
      <c r="M337" t="s">
        <v>468</v>
      </c>
      <c r="N337" t="s">
        <v>469</v>
      </c>
      <c r="O337" t="s">
        <v>470</v>
      </c>
      <c r="P337" s="57" t="str">
        <f>IF(VLOOKUP(D337,'⚪设计'!$C$85:$I$113,7,FALSE)="","",VLOOKUP(D337,'⚪设计'!$C$85:$I$113,7,FALSE)&amp;",NormalAttack")</f>
        <v/>
      </c>
      <c r="Q337" s="110" t="str">
        <f t="shared" si="11"/>
        <v>4</v>
      </c>
      <c r="R337" s="110" t="str">
        <f t="shared" si="12"/>
        <v>3</v>
      </c>
      <c r="S337" s="110" t="str">
        <f t="shared" si="13"/>
        <v>3</v>
      </c>
    </row>
    <row r="338" spans="2:19" x14ac:dyDescent="0.2">
      <c r="B338" s="57" t="s">
        <v>2699</v>
      </c>
      <c r="C338" s="57" t="s">
        <v>2991</v>
      </c>
      <c r="D338" s="55" t="str">
        <f>VLOOKUP(VLOOKUP(Q338&amp;"_"&amp;R338,活动关卡!$A$32:$Z$55,2+5*S338,FALSE),'⚪设计'!$B$85:$H$114,2,FALSE)</f>
        <v>ResUnit_Gui1</v>
      </c>
      <c r="E338" s="55">
        <f>VLOOKUP(VLOOKUP(Q338&amp;"_"&amp;R338,活动关卡!$A$32:$Z$55,2+5*S338,FALSE),'⚪设计'!$B$85:$H$114,6,FALSE)*VLOOKUP(Q338&amp;"_"&amp;R338,活动关卡!$A$32:$Z$55,5,FALSE)</f>
        <v>3</v>
      </c>
      <c r="F338">
        <v>400</v>
      </c>
      <c r="G338" t="b">
        <v>1</v>
      </c>
      <c r="H338">
        <v>1</v>
      </c>
      <c r="I338">
        <v>1</v>
      </c>
      <c r="J338">
        <v>0.25</v>
      </c>
      <c r="K338" s="55">
        <f>VLOOKUP(VLOOKUP(Q338&amp;"_"&amp;R338,活动关卡!$A$32:$Z$55,2+5*S338,FALSE),'⚪设计'!$B$85:$H$114,7,FALSE)</f>
        <v>1</v>
      </c>
      <c r="L338" s="57" t="s">
        <v>2407</v>
      </c>
      <c r="M338" t="s">
        <v>468</v>
      </c>
      <c r="N338" t="s">
        <v>469</v>
      </c>
      <c r="O338" t="s">
        <v>470</v>
      </c>
      <c r="P338" s="57" t="str">
        <f>IF(VLOOKUP(D338,'⚪设计'!$C$85:$I$113,7,FALSE)="","",VLOOKUP(D338,'⚪设计'!$C$85:$I$113,7,FALSE)&amp;",NormalAttack")</f>
        <v>Skill_Monster_Invisible,NormalAttack</v>
      </c>
      <c r="Q338" s="110" t="str">
        <f t="shared" si="11"/>
        <v>4</v>
      </c>
      <c r="R338" s="110" t="str">
        <f t="shared" si="12"/>
        <v>4</v>
      </c>
      <c r="S338" s="110" t="str">
        <f t="shared" si="13"/>
        <v>1</v>
      </c>
    </row>
    <row r="339" spans="2:19" x14ac:dyDescent="0.2">
      <c r="B339" s="57" t="s">
        <v>2700</v>
      </c>
      <c r="C339" s="57" t="s">
        <v>2992</v>
      </c>
      <c r="D339" s="55" t="str">
        <f>VLOOKUP(VLOOKUP(Q339&amp;"_"&amp;R339,活动关卡!$A$32:$Z$55,2+5*S339,FALSE),'⚪设计'!$B$85:$H$114,2,FALSE)</f>
        <v>ResUnit_ZhiZhu1</v>
      </c>
      <c r="E339" s="55">
        <f>VLOOKUP(VLOOKUP(Q339&amp;"_"&amp;R339,活动关卡!$A$32:$Z$55,2+5*S339,FALSE),'⚪设计'!$B$85:$H$114,6,FALSE)*VLOOKUP(Q339&amp;"_"&amp;R339,活动关卡!$A$32:$Z$55,5,FALSE)</f>
        <v>4.5</v>
      </c>
      <c r="F339">
        <v>400</v>
      </c>
      <c r="G339" t="b">
        <v>1</v>
      </c>
      <c r="H339">
        <v>1</v>
      </c>
      <c r="I339">
        <v>1</v>
      </c>
      <c r="J339">
        <v>0.25</v>
      </c>
      <c r="K339" s="55">
        <f>VLOOKUP(VLOOKUP(Q339&amp;"_"&amp;R339,活动关卡!$A$32:$Z$55,2+5*S339,FALSE),'⚪设计'!$B$85:$H$114,7,FALSE)</f>
        <v>1</v>
      </c>
      <c r="L339" s="57" t="s">
        <v>2408</v>
      </c>
      <c r="M339" t="s">
        <v>468</v>
      </c>
      <c r="N339" t="s">
        <v>469</v>
      </c>
      <c r="O339" t="s">
        <v>470</v>
      </c>
      <c r="P339" s="57" t="str">
        <f>IF(VLOOKUP(D339,'⚪设计'!$C$85:$I$113,7,FALSE)="","",VLOOKUP(D339,'⚪设计'!$C$85:$I$113,7,FALSE)&amp;",NormalAttack")</f>
        <v/>
      </c>
      <c r="Q339" s="110" t="str">
        <f t="shared" si="11"/>
        <v>4</v>
      </c>
      <c r="R339" s="110" t="str">
        <f t="shared" si="12"/>
        <v>4</v>
      </c>
      <c r="S339" s="110" t="str">
        <f t="shared" si="13"/>
        <v>2</v>
      </c>
    </row>
    <row r="340" spans="2:19" x14ac:dyDescent="0.2">
      <c r="B340" s="57" t="s">
        <v>2701</v>
      </c>
      <c r="C340" s="57" t="s">
        <v>2993</v>
      </c>
      <c r="D340" s="55" t="str">
        <f>VLOOKUP(VLOOKUP(Q340&amp;"_"&amp;R340,活动关卡!$A$32:$Z$55,2+5*S340,FALSE),'⚪设计'!$B$85:$H$114,2,FALSE)</f>
        <v>ResUnit_Rou2</v>
      </c>
      <c r="E340" s="55">
        <f>VLOOKUP(VLOOKUP(Q340&amp;"_"&amp;R340,活动关卡!$A$32:$Z$55,2+5*S340,FALSE),'⚪设计'!$B$85:$H$114,6,FALSE)*VLOOKUP(Q340&amp;"_"&amp;R340,活动关卡!$A$32:$Z$55,5,FALSE)</f>
        <v>1.25</v>
      </c>
      <c r="F340">
        <v>400</v>
      </c>
      <c r="G340" t="b">
        <v>1</v>
      </c>
      <c r="H340">
        <v>1</v>
      </c>
      <c r="I340">
        <v>1</v>
      </c>
      <c r="J340">
        <v>0.25</v>
      </c>
      <c r="K340" s="55">
        <f>VLOOKUP(VLOOKUP(Q340&amp;"_"&amp;R340,活动关卡!$A$32:$Z$55,2+5*S340,FALSE),'⚪设计'!$B$85:$H$114,7,FALSE)</f>
        <v>1.5</v>
      </c>
      <c r="L340" s="57" t="s">
        <v>2409</v>
      </c>
      <c r="M340" t="s">
        <v>468</v>
      </c>
      <c r="N340" t="s">
        <v>469</v>
      </c>
      <c r="O340" t="s">
        <v>470</v>
      </c>
      <c r="P340" s="57" t="str">
        <f>IF(VLOOKUP(D340,'⚪设计'!$C$85:$I$113,7,FALSE)="","",VLOOKUP(D340,'⚪设计'!$C$85:$I$113,7,FALSE)&amp;",NormalAttack")</f>
        <v/>
      </c>
      <c r="Q340" s="110" t="str">
        <f t="shared" si="11"/>
        <v>4</v>
      </c>
      <c r="R340" s="110" t="str">
        <f t="shared" si="12"/>
        <v>4</v>
      </c>
      <c r="S340" s="110" t="str">
        <f t="shared" si="13"/>
        <v>3</v>
      </c>
    </row>
    <row r="341" spans="2:19" x14ac:dyDescent="0.2">
      <c r="B341" s="57" t="s">
        <v>2702</v>
      </c>
      <c r="C341" s="57" t="s">
        <v>2994</v>
      </c>
      <c r="D341" s="55" t="str">
        <f>VLOOKUP(VLOOKUP(Q341&amp;"_"&amp;R341,活动关卡!$A$32:$Z$55,2+5*S341,FALSE),'⚪设计'!$B$85:$H$114,2,FALSE)</f>
        <v>ResUnit_Gui1</v>
      </c>
      <c r="E341" s="55">
        <f>VLOOKUP(VLOOKUP(Q341&amp;"_"&amp;R341,活动关卡!$A$32:$Z$55,2+5*S341,FALSE),'⚪设计'!$B$85:$H$114,6,FALSE)*VLOOKUP(Q341&amp;"_"&amp;R341,活动关卡!$A$32:$Z$55,5,FALSE)</f>
        <v>3</v>
      </c>
      <c r="F341">
        <v>400</v>
      </c>
      <c r="G341" t="b">
        <v>1</v>
      </c>
      <c r="H341">
        <v>1</v>
      </c>
      <c r="I341">
        <v>1</v>
      </c>
      <c r="J341">
        <v>0.25</v>
      </c>
      <c r="K341" s="55">
        <f>VLOOKUP(VLOOKUP(Q341&amp;"_"&amp;R341,活动关卡!$A$32:$Z$55,2+5*S341,FALSE),'⚪设计'!$B$85:$H$114,7,FALSE)</f>
        <v>1</v>
      </c>
      <c r="L341" s="57" t="s">
        <v>2410</v>
      </c>
      <c r="M341" t="s">
        <v>468</v>
      </c>
      <c r="N341" t="s">
        <v>469</v>
      </c>
      <c r="O341" t="s">
        <v>470</v>
      </c>
      <c r="P341" s="57" t="str">
        <f>IF(VLOOKUP(D341,'⚪设计'!$C$85:$I$113,7,FALSE)="","",VLOOKUP(D341,'⚪设计'!$C$85:$I$113,7,FALSE)&amp;",NormalAttack")</f>
        <v>Skill_Monster_Invisible,NormalAttack</v>
      </c>
      <c r="Q341" s="110" t="str">
        <f t="shared" si="11"/>
        <v>4</v>
      </c>
      <c r="R341" s="110" t="str">
        <f t="shared" si="12"/>
        <v>5</v>
      </c>
      <c r="S341" s="110" t="str">
        <f t="shared" si="13"/>
        <v>1</v>
      </c>
    </row>
    <row r="342" spans="2:19" x14ac:dyDescent="0.2">
      <c r="B342" s="57" t="s">
        <v>2703</v>
      </c>
      <c r="C342" s="57" t="s">
        <v>2995</v>
      </c>
      <c r="D342" s="55" t="str">
        <f>VLOOKUP(VLOOKUP(Q342&amp;"_"&amp;R342,活动关卡!$A$32:$Z$55,2+5*S342,FALSE),'⚪设计'!$B$85:$H$114,2,FALSE)</f>
        <v>ResUnit_ZhongZi1</v>
      </c>
      <c r="E342" s="55">
        <f>VLOOKUP(VLOOKUP(Q342&amp;"_"&amp;R342,活动关卡!$A$32:$Z$55,2+5*S342,FALSE),'⚪设计'!$B$85:$H$114,6,FALSE)*VLOOKUP(Q342&amp;"_"&amp;R342,活动关卡!$A$32:$Z$55,5,FALSE)</f>
        <v>3</v>
      </c>
      <c r="F342">
        <v>400</v>
      </c>
      <c r="G342" t="b">
        <v>1</v>
      </c>
      <c r="H342">
        <v>1</v>
      </c>
      <c r="I342">
        <v>1</v>
      </c>
      <c r="J342">
        <v>0.25</v>
      </c>
      <c r="K342" s="55">
        <f>VLOOKUP(VLOOKUP(Q342&amp;"_"&amp;R342,活动关卡!$A$32:$Z$55,2+5*S342,FALSE),'⚪设计'!$B$85:$H$114,7,FALSE)</f>
        <v>1</v>
      </c>
      <c r="L342" s="57" t="s">
        <v>2411</v>
      </c>
      <c r="M342" t="s">
        <v>468</v>
      </c>
      <c r="N342" t="s">
        <v>469</v>
      </c>
      <c r="O342" t="s">
        <v>470</v>
      </c>
      <c r="P342" s="57" t="str">
        <f>IF(VLOOKUP(D342,'⚪设计'!$C$85:$I$113,7,FALSE)="","",VLOOKUP(D342,'⚪设计'!$C$85:$I$113,7,FALSE)&amp;",NormalAttack")</f>
        <v>Skill_Monster_Heal,NormalAttack</v>
      </c>
      <c r="Q342" s="110" t="str">
        <f t="shared" si="11"/>
        <v>4</v>
      </c>
      <c r="R342" s="110" t="str">
        <f t="shared" si="12"/>
        <v>5</v>
      </c>
      <c r="S342" s="110" t="str">
        <f t="shared" si="13"/>
        <v>2</v>
      </c>
    </row>
    <row r="343" spans="2:19" x14ac:dyDescent="0.2">
      <c r="B343" s="57" t="s">
        <v>2704</v>
      </c>
      <c r="C343" s="57" t="s">
        <v>2996</v>
      </c>
      <c r="D343" s="55" t="str">
        <f>VLOOKUP(VLOOKUP(Q343&amp;"_"&amp;R343,活动关卡!$A$32:$Z$55,2+5*S343,FALSE),'⚪设计'!$B$85:$H$114,2,FALSE)</f>
        <v>ResUnit_Rou2</v>
      </c>
      <c r="E343" s="55">
        <f>VLOOKUP(VLOOKUP(Q343&amp;"_"&amp;R343,活动关卡!$A$32:$Z$55,2+5*S343,FALSE),'⚪设计'!$B$85:$H$114,6,FALSE)*VLOOKUP(Q343&amp;"_"&amp;R343,活动关卡!$A$32:$Z$55,5,FALSE)</f>
        <v>1.25</v>
      </c>
      <c r="F343">
        <v>400</v>
      </c>
      <c r="G343" t="b">
        <v>1</v>
      </c>
      <c r="H343">
        <v>1</v>
      </c>
      <c r="I343">
        <v>1</v>
      </c>
      <c r="J343">
        <v>0.25</v>
      </c>
      <c r="K343" s="55">
        <f>VLOOKUP(VLOOKUP(Q343&amp;"_"&amp;R343,活动关卡!$A$32:$Z$55,2+5*S343,FALSE),'⚪设计'!$B$85:$H$114,7,FALSE)</f>
        <v>1.5</v>
      </c>
      <c r="L343" s="57" t="s">
        <v>2412</v>
      </c>
      <c r="M343" t="s">
        <v>468</v>
      </c>
      <c r="N343" t="s">
        <v>469</v>
      </c>
      <c r="O343" t="s">
        <v>470</v>
      </c>
      <c r="P343" s="57" t="str">
        <f>IF(VLOOKUP(D343,'⚪设计'!$C$85:$I$113,7,FALSE)="","",VLOOKUP(D343,'⚪设计'!$C$85:$I$113,7,FALSE)&amp;",NormalAttack")</f>
        <v/>
      </c>
      <c r="Q343" s="110" t="str">
        <f t="shared" si="11"/>
        <v>4</v>
      </c>
      <c r="R343" s="110" t="str">
        <f t="shared" si="12"/>
        <v>5</v>
      </c>
      <c r="S343" s="110" t="str">
        <f t="shared" si="13"/>
        <v>3</v>
      </c>
    </row>
    <row r="344" spans="2:19" x14ac:dyDescent="0.2">
      <c r="B344" s="57" t="s">
        <v>2705</v>
      </c>
      <c r="C344" s="57" t="s">
        <v>2997</v>
      </c>
      <c r="D344" s="55" t="str">
        <f>VLOOKUP(VLOOKUP(Q344&amp;"_"&amp;R344,活动关卡!$A$32:$Z$55,2+5*S344,FALSE),'⚪设计'!$B$85:$H$114,2,FALSE)</f>
        <v>ResUnit_Dan2</v>
      </c>
      <c r="E344" s="55">
        <f>VLOOKUP(VLOOKUP(Q344&amp;"_"&amp;R344,活动关卡!$A$32:$Z$55,2+5*S344,FALSE),'⚪设计'!$B$85:$H$114,6,FALSE)*VLOOKUP(Q344&amp;"_"&amp;R344,活动关卡!$A$32:$Z$55,5,FALSE)</f>
        <v>3</v>
      </c>
      <c r="F344">
        <v>400</v>
      </c>
      <c r="G344" t="b">
        <v>1</v>
      </c>
      <c r="H344">
        <v>1</v>
      </c>
      <c r="I344">
        <v>1</v>
      </c>
      <c r="J344">
        <v>0.25</v>
      </c>
      <c r="K344" s="55">
        <f>VLOOKUP(VLOOKUP(Q344&amp;"_"&amp;R344,活动关卡!$A$32:$Z$55,2+5*S344,FALSE),'⚪设计'!$B$85:$H$114,7,FALSE)</f>
        <v>1.3</v>
      </c>
      <c r="L344" s="57" t="s">
        <v>2413</v>
      </c>
      <c r="M344" t="s">
        <v>468</v>
      </c>
      <c r="N344" t="s">
        <v>469</v>
      </c>
      <c r="O344" t="s">
        <v>470</v>
      </c>
      <c r="P344" s="57" t="str">
        <f>IF(VLOOKUP(D344,'⚪设计'!$C$85:$I$113,7,FALSE)="","",VLOOKUP(D344,'⚪设计'!$C$85:$I$113,7,FALSE)&amp;",NormalAttack")</f>
        <v>Skill_Monster_Weaken,NormalAttack</v>
      </c>
      <c r="Q344" s="110" t="str">
        <f t="shared" si="11"/>
        <v>5</v>
      </c>
      <c r="R344" s="110" t="str">
        <f t="shared" si="12"/>
        <v>1</v>
      </c>
      <c r="S344" s="110" t="str">
        <f t="shared" si="13"/>
        <v>1</v>
      </c>
    </row>
    <row r="345" spans="2:19" x14ac:dyDescent="0.2">
      <c r="B345" s="57" t="s">
        <v>2706</v>
      </c>
      <c r="C345" s="57" t="s">
        <v>2998</v>
      </c>
      <c r="D345" s="55" t="str">
        <f>VLOOKUP(VLOOKUP(Q345&amp;"_"&amp;R345,活动关卡!$A$32:$Z$55,2+5*S345,FALSE),'⚪设计'!$B$85:$H$114,2,FALSE)</f>
        <v>ResUnit_Rou2</v>
      </c>
      <c r="E345" s="55">
        <f>VLOOKUP(VLOOKUP(Q345&amp;"_"&amp;R345,活动关卡!$A$32:$Z$55,2+5*S345,FALSE),'⚪设计'!$B$85:$H$114,6,FALSE)*VLOOKUP(Q345&amp;"_"&amp;R345,活动关卡!$A$32:$Z$55,5,FALSE)</f>
        <v>1.25</v>
      </c>
      <c r="F345">
        <v>400</v>
      </c>
      <c r="G345" t="b">
        <v>1</v>
      </c>
      <c r="H345">
        <v>1</v>
      </c>
      <c r="I345">
        <v>1</v>
      </c>
      <c r="J345">
        <v>0.25</v>
      </c>
      <c r="K345" s="55">
        <f>VLOOKUP(VLOOKUP(Q345&amp;"_"&amp;R345,活动关卡!$A$32:$Z$55,2+5*S345,FALSE),'⚪设计'!$B$85:$H$114,7,FALSE)</f>
        <v>1.5</v>
      </c>
      <c r="L345" s="57" t="s">
        <v>2414</v>
      </c>
      <c r="M345" t="s">
        <v>468</v>
      </c>
      <c r="N345" t="s">
        <v>469</v>
      </c>
      <c r="O345" t="s">
        <v>470</v>
      </c>
      <c r="P345" s="57" t="str">
        <f>IF(VLOOKUP(D345,'⚪设计'!$C$85:$I$113,7,FALSE)="","",VLOOKUP(D345,'⚪设计'!$C$85:$I$113,7,FALSE)&amp;",NormalAttack")</f>
        <v/>
      </c>
      <c r="Q345" s="110" t="str">
        <f t="shared" si="11"/>
        <v>5</v>
      </c>
      <c r="R345" s="110" t="str">
        <f t="shared" si="12"/>
        <v>1</v>
      </c>
      <c r="S345" s="110" t="str">
        <f t="shared" si="13"/>
        <v>2</v>
      </c>
    </row>
    <row r="346" spans="2:19" x14ac:dyDescent="0.2">
      <c r="B346" s="57" t="s">
        <v>2707</v>
      </c>
      <c r="C346" s="57" t="s">
        <v>2999</v>
      </c>
      <c r="D346" s="55" t="str">
        <f>VLOOKUP(VLOOKUP(Q346&amp;"_"&amp;R346,活动关卡!$A$32:$Z$55,2+5*S346,FALSE),'⚪设计'!$B$85:$H$114,2,FALSE)</f>
        <v>ResUnit_Dan2</v>
      </c>
      <c r="E346" s="55">
        <f>VLOOKUP(VLOOKUP(Q346&amp;"_"&amp;R346,活动关卡!$A$32:$Z$55,2+5*S346,FALSE),'⚪设计'!$B$85:$H$114,6,FALSE)*VLOOKUP(Q346&amp;"_"&amp;R346,活动关卡!$A$32:$Z$55,5,FALSE)</f>
        <v>3</v>
      </c>
      <c r="F346">
        <v>400</v>
      </c>
      <c r="G346" t="b">
        <v>1</v>
      </c>
      <c r="H346">
        <v>1</v>
      </c>
      <c r="I346">
        <v>1</v>
      </c>
      <c r="J346">
        <v>0.25</v>
      </c>
      <c r="K346" s="55">
        <f>VLOOKUP(VLOOKUP(Q346&amp;"_"&amp;R346,活动关卡!$A$32:$Z$55,2+5*S346,FALSE),'⚪设计'!$B$85:$H$114,7,FALSE)</f>
        <v>1.3</v>
      </c>
      <c r="L346" s="57" t="s">
        <v>2415</v>
      </c>
      <c r="M346" t="s">
        <v>468</v>
      </c>
      <c r="N346" t="s">
        <v>469</v>
      </c>
      <c r="O346" t="s">
        <v>470</v>
      </c>
      <c r="P346" s="57" t="str">
        <f>IF(VLOOKUP(D346,'⚪设计'!$C$85:$I$113,7,FALSE)="","",VLOOKUP(D346,'⚪设计'!$C$85:$I$113,7,FALSE)&amp;",NormalAttack")</f>
        <v>Skill_Monster_Weaken,NormalAttack</v>
      </c>
      <c r="Q346" s="110" t="str">
        <f t="shared" si="11"/>
        <v>5</v>
      </c>
      <c r="R346" s="110" t="str">
        <f t="shared" si="12"/>
        <v>2</v>
      </c>
      <c r="S346" s="110" t="str">
        <f t="shared" si="13"/>
        <v>1</v>
      </c>
    </row>
    <row r="347" spans="2:19" x14ac:dyDescent="0.2">
      <c r="B347" s="57" t="s">
        <v>2708</v>
      </c>
      <c r="C347" s="57" t="s">
        <v>3000</v>
      </c>
      <c r="D347" s="55" t="str">
        <f>VLOOKUP(VLOOKUP(Q347&amp;"_"&amp;R347,活动关卡!$A$32:$Z$55,2+5*S347,FALSE),'⚪设计'!$B$85:$H$114,2,FALSE)</f>
        <v>ResUnit_BianFu1</v>
      </c>
      <c r="E347" s="55">
        <f>VLOOKUP(VLOOKUP(Q347&amp;"_"&amp;R347,活动关卡!$A$32:$Z$55,2+5*S347,FALSE),'⚪设计'!$B$85:$H$114,6,FALSE)*VLOOKUP(Q347&amp;"_"&amp;R347,活动关卡!$A$32:$Z$55,5,FALSE)</f>
        <v>3</v>
      </c>
      <c r="F347">
        <v>400</v>
      </c>
      <c r="G347" t="b">
        <v>1</v>
      </c>
      <c r="H347">
        <v>1</v>
      </c>
      <c r="I347">
        <v>1</v>
      </c>
      <c r="J347">
        <v>0.25</v>
      </c>
      <c r="K347" s="55">
        <f>VLOOKUP(VLOOKUP(Q347&amp;"_"&amp;R347,活动关卡!$A$32:$Z$55,2+5*S347,FALSE),'⚪设计'!$B$85:$H$114,7,FALSE)</f>
        <v>0.5</v>
      </c>
      <c r="L347" s="57" t="s">
        <v>2416</v>
      </c>
      <c r="M347" t="s">
        <v>468</v>
      </c>
      <c r="N347" t="s">
        <v>469</v>
      </c>
      <c r="O347" t="s">
        <v>470</v>
      </c>
      <c r="P347" s="57" t="str">
        <f>IF(VLOOKUP(D347,'⚪设计'!$C$85:$I$113,7,FALSE)="","",VLOOKUP(D347,'⚪设计'!$C$85:$I$113,7,FALSE)&amp;",NormalAttack")</f>
        <v/>
      </c>
      <c r="Q347" s="110" t="str">
        <f t="shared" si="11"/>
        <v>5</v>
      </c>
      <c r="R347" s="110" t="str">
        <f t="shared" si="12"/>
        <v>2</v>
      </c>
      <c r="S347" s="110" t="str">
        <f t="shared" si="13"/>
        <v>2</v>
      </c>
    </row>
    <row r="348" spans="2:19" x14ac:dyDescent="0.2">
      <c r="B348" s="57" t="s">
        <v>2709</v>
      </c>
      <c r="C348" s="57" t="s">
        <v>3001</v>
      </c>
      <c r="D348" s="55" t="str">
        <f>VLOOKUP(VLOOKUP(Q348&amp;"_"&amp;R348,活动关卡!$A$32:$Z$55,2+5*S348,FALSE),'⚪设计'!$B$85:$H$114,2,FALSE)</f>
        <v>ResUnit_Rou2</v>
      </c>
      <c r="E348" s="55">
        <f>VLOOKUP(VLOOKUP(Q348&amp;"_"&amp;R348,活动关卡!$A$32:$Z$55,2+5*S348,FALSE),'⚪设计'!$B$85:$H$114,6,FALSE)*VLOOKUP(Q348&amp;"_"&amp;R348,活动关卡!$A$32:$Z$55,5,FALSE)</f>
        <v>1.25</v>
      </c>
      <c r="F348">
        <v>400</v>
      </c>
      <c r="G348" t="b">
        <v>1</v>
      </c>
      <c r="H348">
        <v>1</v>
      </c>
      <c r="I348">
        <v>1</v>
      </c>
      <c r="J348">
        <v>0.25</v>
      </c>
      <c r="K348" s="55">
        <f>VLOOKUP(VLOOKUP(Q348&amp;"_"&amp;R348,活动关卡!$A$32:$Z$55,2+5*S348,FALSE),'⚪设计'!$B$85:$H$114,7,FALSE)</f>
        <v>1.5</v>
      </c>
      <c r="L348" s="57" t="s">
        <v>2417</v>
      </c>
      <c r="M348" t="s">
        <v>468</v>
      </c>
      <c r="N348" t="s">
        <v>469</v>
      </c>
      <c r="O348" t="s">
        <v>470</v>
      </c>
      <c r="P348" s="57" t="str">
        <f>IF(VLOOKUP(D348,'⚪设计'!$C$85:$I$113,7,FALSE)="","",VLOOKUP(D348,'⚪设计'!$C$85:$I$113,7,FALSE)&amp;",NormalAttack")</f>
        <v/>
      </c>
      <c r="Q348" s="110" t="str">
        <f t="shared" si="11"/>
        <v>5</v>
      </c>
      <c r="R348" s="110" t="str">
        <f t="shared" si="12"/>
        <v>2</v>
      </c>
      <c r="S348" s="110" t="str">
        <f t="shared" si="13"/>
        <v>3</v>
      </c>
    </row>
    <row r="349" spans="2:19" x14ac:dyDescent="0.2">
      <c r="B349" s="57" t="s">
        <v>2710</v>
      </c>
      <c r="C349" s="57" t="s">
        <v>3002</v>
      </c>
      <c r="D349" s="55" t="str">
        <f>VLOOKUP(VLOOKUP(Q349&amp;"_"&amp;R349,活动关卡!$A$32:$Z$55,2+5*S349,FALSE),'⚪设计'!$B$85:$H$114,2,FALSE)</f>
        <v>ResUnit_Dan2</v>
      </c>
      <c r="E349" s="55">
        <f>VLOOKUP(VLOOKUP(Q349&amp;"_"&amp;R349,活动关卡!$A$32:$Z$55,2+5*S349,FALSE),'⚪设计'!$B$85:$H$114,6,FALSE)*VLOOKUP(Q349&amp;"_"&amp;R349,活动关卡!$A$32:$Z$55,5,FALSE)</f>
        <v>3</v>
      </c>
      <c r="F349">
        <v>400</v>
      </c>
      <c r="G349" t="b">
        <v>1</v>
      </c>
      <c r="H349">
        <v>1</v>
      </c>
      <c r="I349">
        <v>1</v>
      </c>
      <c r="J349">
        <v>0.25</v>
      </c>
      <c r="K349" s="55">
        <f>VLOOKUP(VLOOKUP(Q349&amp;"_"&amp;R349,活动关卡!$A$32:$Z$55,2+5*S349,FALSE),'⚪设计'!$B$85:$H$114,7,FALSE)</f>
        <v>1.3</v>
      </c>
      <c r="L349" s="57" t="s">
        <v>2418</v>
      </c>
      <c r="M349" t="s">
        <v>468</v>
      </c>
      <c r="N349" t="s">
        <v>469</v>
      </c>
      <c r="O349" t="s">
        <v>470</v>
      </c>
      <c r="P349" s="57" t="str">
        <f>IF(VLOOKUP(D349,'⚪设计'!$C$85:$I$113,7,FALSE)="","",VLOOKUP(D349,'⚪设计'!$C$85:$I$113,7,FALSE)&amp;",NormalAttack")</f>
        <v>Skill_Monster_Weaken,NormalAttack</v>
      </c>
      <c r="Q349" s="110" t="str">
        <f t="shared" si="11"/>
        <v>5</v>
      </c>
      <c r="R349" s="110" t="str">
        <f t="shared" si="12"/>
        <v>3</v>
      </c>
      <c r="S349" s="110" t="str">
        <f t="shared" si="13"/>
        <v>1</v>
      </c>
    </row>
    <row r="350" spans="2:19" x14ac:dyDescent="0.2">
      <c r="B350" s="57" t="s">
        <v>2711</v>
      </c>
      <c r="C350" s="57" t="s">
        <v>3003</v>
      </c>
      <c r="D350" s="55" t="str">
        <f>VLOOKUP(VLOOKUP(Q350&amp;"_"&amp;R350,活动关卡!$A$32:$Z$55,2+5*S350,FALSE),'⚪设计'!$B$85:$H$114,2,FALSE)</f>
        <v>ResUnit_ZhiZhu1</v>
      </c>
      <c r="E350" s="55">
        <f>VLOOKUP(VLOOKUP(Q350&amp;"_"&amp;R350,活动关卡!$A$32:$Z$55,2+5*S350,FALSE),'⚪设计'!$B$85:$H$114,6,FALSE)*VLOOKUP(Q350&amp;"_"&amp;R350,活动关卡!$A$32:$Z$55,5,FALSE)</f>
        <v>4.5</v>
      </c>
      <c r="F350">
        <v>400</v>
      </c>
      <c r="G350" t="b">
        <v>1</v>
      </c>
      <c r="H350">
        <v>1</v>
      </c>
      <c r="I350">
        <v>1</v>
      </c>
      <c r="J350">
        <v>0.25</v>
      </c>
      <c r="K350" s="55">
        <f>VLOOKUP(VLOOKUP(Q350&amp;"_"&amp;R350,活动关卡!$A$32:$Z$55,2+5*S350,FALSE),'⚪设计'!$B$85:$H$114,7,FALSE)</f>
        <v>1</v>
      </c>
      <c r="L350" s="57" t="s">
        <v>2419</v>
      </c>
      <c r="M350" t="s">
        <v>468</v>
      </c>
      <c r="N350" t="s">
        <v>469</v>
      </c>
      <c r="O350" t="s">
        <v>470</v>
      </c>
      <c r="P350" s="57" t="str">
        <f>IF(VLOOKUP(D350,'⚪设计'!$C$85:$I$113,7,FALSE)="","",VLOOKUP(D350,'⚪设计'!$C$85:$I$113,7,FALSE)&amp;",NormalAttack")</f>
        <v/>
      </c>
      <c r="Q350" s="110" t="str">
        <f t="shared" si="11"/>
        <v>5</v>
      </c>
      <c r="R350" s="110" t="str">
        <f t="shared" si="12"/>
        <v>3</v>
      </c>
      <c r="S350" s="110" t="str">
        <f t="shared" si="13"/>
        <v>2</v>
      </c>
    </row>
    <row r="351" spans="2:19" x14ac:dyDescent="0.2">
      <c r="B351" s="57" t="s">
        <v>2712</v>
      </c>
      <c r="C351" s="57" t="s">
        <v>3004</v>
      </c>
      <c r="D351" s="55" t="str">
        <f>VLOOKUP(VLOOKUP(Q351&amp;"_"&amp;R351,活动关卡!$A$32:$Z$55,2+5*S351,FALSE),'⚪设计'!$B$85:$H$114,2,FALSE)</f>
        <v>ResUnit_Gui1</v>
      </c>
      <c r="E351" s="55">
        <f>VLOOKUP(VLOOKUP(Q351&amp;"_"&amp;R351,活动关卡!$A$32:$Z$55,2+5*S351,FALSE),'⚪设计'!$B$85:$H$114,6,FALSE)*VLOOKUP(Q351&amp;"_"&amp;R351,活动关卡!$A$32:$Z$55,5,FALSE)</f>
        <v>3</v>
      </c>
      <c r="F351">
        <v>400</v>
      </c>
      <c r="G351" t="b">
        <v>1</v>
      </c>
      <c r="H351">
        <v>1</v>
      </c>
      <c r="I351">
        <v>1</v>
      </c>
      <c r="J351">
        <v>0.25</v>
      </c>
      <c r="K351" s="55">
        <f>VLOOKUP(VLOOKUP(Q351&amp;"_"&amp;R351,活动关卡!$A$32:$Z$55,2+5*S351,FALSE),'⚪设计'!$B$85:$H$114,7,FALSE)</f>
        <v>1</v>
      </c>
      <c r="L351" s="57" t="s">
        <v>2420</v>
      </c>
      <c r="M351" t="s">
        <v>468</v>
      </c>
      <c r="N351" t="s">
        <v>469</v>
      </c>
      <c r="O351" t="s">
        <v>470</v>
      </c>
      <c r="P351" s="57" t="str">
        <f>IF(VLOOKUP(D351,'⚪设计'!$C$85:$I$113,7,FALSE)="","",VLOOKUP(D351,'⚪设计'!$C$85:$I$113,7,FALSE)&amp;",NormalAttack")</f>
        <v>Skill_Monster_Invisible,NormalAttack</v>
      </c>
      <c r="Q351" s="110" t="str">
        <f t="shared" si="11"/>
        <v>5</v>
      </c>
      <c r="R351" s="110" t="str">
        <f t="shared" si="12"/>
        <v>3</v>
      </c>
      <c r="S351" s="110" t="str">
        <f t="shared" si="13"/>
        <v>3</v>
      </c>
    </row>
    <row r="352" spans="2:19" x14ac:dyDescent="0.2">
      <c r="B352" s="57" t="s">
        <v>2713</v>
      </c>
      <c r="C352" s="57" t="s">
        <v>3005</v>
      </c>
      <c r="D352" s="55" t="str">
        <f>VLOOKUP(VLOOKUP(Q352&amp;"_"&amp;R352,活动关卡!$A$32:$Z$55,2+5*S352,FALSE),'⚪设计'!$B$85:$H$114,2,FALSE)</f>
        <v>ResUnit_Rou2</v>
      </c>
      <c r="E352" s="55">
        <f>VLOOKUP(VLOOKUP(Q352&amp;"_"&amp;R352,活动关卡!$A$32:$Z$55,2+5*S352,FALSE),'⚪设计'!$B$85:$H$114,6,FALSE)*VLOOKUP(Q352&amp;"_"&amp;R352,活动关卡!$A$32:$Z$55,5,FALSE)</f>
        <v>1.25</v>
      </c>
      <c r="F352">
        <v>400</v>
      </c>
      <c r="G352" t="b">
        <v>1</v>
      </c>
      <c r="H352">
        <v>1</v>
      </c>
      <c r="I352">
        <v>1</v>
      </c>
      <c r="J352">
        <v>0.25</v>
      </c>
      <c r="K352" s="55">
        <f>VLOOKUP(VLOOKUP(Q352&amp;"_"&amp;R352,活动关卡!$A$32:$Z$55,2+5*S352,FALSE),'⚪设计'!$B$85:$H$114,7,FALSE)</f>
        <v>1.5</v>
      </c>
      <c r="L352" s="57" t="s">
        <v>2421</v>
      </c>
      <c r="M352" t="s">
        <v>468</v>
      </c>
      <c r="N352" t="s">
        <v>469</v>
      </c>
      <c r="O352" t="s">
        <v>470</v>
      </c>
      <c r="P352" s="57" t="str">
        <f>IF(VLOOKUP(D352,'⚪设计'!$C$85:$I$113,7,FALSE)="","",VLOOKUP(D352,'⚪设计'!$C$85:$I$113,7,FALSE)&amp;",NormalAttack")</f>
        <v/>
      </c>
      <c r="Q352" s="110" t="str">
        <f t="shared" si="11"/>
        <v>5</v>
      </c>
      <c r="R352" s="110" t="str">
        <f t="shared" si="12"/>
        <v>3</v>
      </c>
      <c r="S352" s="110" t="str">
        <f t="shared" si="13"/>
        <v>4</v>
      </c>
    </row>
    <row r="353" spans="2:19" x14ac:dyDescent="0.2">
      <c r="B353" s="57" t="s">
        <v>2714</v>
      </c>
      <c r="C353" s="57" t="s">
        <v>3006</v>
      </c>
      <c r="D353" s="55" t="str">
        <f>VLOOKUP(VLOOKUP(Q353&amp;"_"&amp;R353,活动关卡!$A$32:$Z$55,2+5*S353,FALSE),'⚪设计'!$B$85:$H$114,2,FALSE)</f>
        <v>ResUnit_Dan2</v>
      </c>
      <c r="E353" s="55">
        <f>VLOOKUP(VLOOKUP(Q353&amp;"_"&amp;R353,活动关卡!$A$32:$Z$55,2+5*S353,FALSE),'⚪设计'!$B$85:$H$114,6,FALSE)*VLOOKUP(Q353&amp;"_"&amp;R353,活动关卡!$A$32:$Z$55,5,FALSE)</f>
        <v>3</v>
      </c>
      <c r="F353">
        <v>400</v>
      </c>
      <c r="G353" t="b">
        <v>1</v>
      </c>
      <c r="H353">
        <v>1</v>
      </c>
      <c r="I353">
        <v>1</v>
      </c>
      <c r="J353">
        <v>0.25</v>
      </c>
      <c r="K353" s="55">
        <f>VLOOKUP(VLOOKUP(Q353&amp;"_"&amp;R353,活动关卡!$A$32:$Z$55,2+5*S353,FALSE),'⚪设计'!$B$85:$H$114,7,FALSE)</f>
        <v>1.3</v>
      </c>
      <c r="L353" s="57" t="s">
        <v>2422</v>
      </c>
      <c r="M353" t="s">
        <v>468</v>
      </c>
      <c r="N353" t="s">
        <v>469</v>
      </c>
      <c r="O353" t="s">
        <v>470</v>
      </c>
      <c r="P353" s="57" t="str">
        <f>IF(VLOOKUP(D353,'⚪设计'!$C$85:$I$113,7,FALSE)="","",VLOOKUP(D353,'⚪设计'!$C$85:$I$113,7,FALSE)&amp;",NormalAttack")</f>
        <v>Skill_Monster_Weaken,NormalAttack</v>
      </c>
      <c r="Q353" s="110" t="str">
        <f t="shared" si="11"/>
        <v>5</v>
      </c>
      <c r="R353" s="110" t="str">
        <f t="shared" si="12"/>
        <v>4</v>
      </c>
      <c r="S353" s="110" t="str">
        <f t="shared" si="13"/>
        <v>1</v>
      </c>
    </row>
    <row r="354" spans="2:19" x14ac:dyDescent="0.2">
      <c r="B354" s="57" t="s">
        <v>2715</v>
      </c>
      <c r="C354" s="57" t="s">
        <v>3007</v>
      </c>
      <c r="D354" s="55" t="str">
        <f>VLOOKUP(VLOOKUP(Q354&amp;"_"&amp;R354,活动关卡!$A$32:$Z$55,2+5*S354,FALSE),'⚪设计'!$B$85:$H$114,2,FALSE)</f>
        <v>ResUnit_Gui1</v>
      </c>
      <c r="E354" s="55">
        <f>VLOOKUP(VLOOKUP(Q354&amp;"_"&amp;R354,活动关卡!$A$32:$Z$55,2+5*S354,FALSE),'⚪设计'!$B$85:$H$114,6,FALSE)*VLOOKUP(Q354&amp;"_"&amp;R354,活动关卡!$A$32:$Z$55,5,FALSE)</f>
        <v>3</v>
      </c>
      <c r="F354">
        <v>400</v>
      </c>
      <c r="G354" t="b">
        <v>1</v>
      </c>
      <c r="H354">
        <v>1</v>
      </c>
      <c r="I354">
        <v>1</v>
      </c>
      <c r="J354">
        <v>0.25</v>
      </c>
      <c r="K354" s="55">
        <f>VLOOKUP(VLOOKUP(Q354&amp;"_"&amp;R354,活动关卡!$A$32:$Z$55,2+5*S354,FALSE),'⚪设计'!$B$85:$H$114,7,FALSE)</f>
        <v>1</v>
      </c>
      <c r="L354" s="57" t="s">
        <v>2423</v>
      </c>
      <c r="M354" t="s">
        <v>468</v>
      </c>
      <c r="N354" t="s">
        <v>469</v>
      </c>
      <c r="O354" t="s">
        <v>470</v>
      </c>
      <c r="P354" s="57" t="str">
        <f>IF(VLOOKUP(D354,'⚪设计'!$C$85:$I$113,7,FALSE)="","",VLOOKUP(D354,'⚪设计'!$C$85:$I$113,7,FALSE)&amp;",NormalAttack")</f>
        <v>Skill_Monster_Invisible,NormalAttack</v>
      </c>
      <c r="Q354" s="110" t="str">
        <f t="shared" ref="Q354:Q417" si="14">LEFT(RIGHT(C354,5),1)</f>
        <v>5</v>
      </c>
      <c r="R354" s="110" t="str">
        <f t="shared" ref="R354:R417" si="15">LEFT(RIGHT(C354,3),1)</f>
        <v>4</v>
      </c>
      <c r="S354" s="110" t="str">
        <f t="shared" ref="S354:S417" si="16">RIGHT(C354,1)</f>
        <v>2</v>
      </c>
    </row>
    <row r="355" spans="2:19" x14ac:dyDescent="0.2">
      <c r="B355" s="57" t="s">
        <v>2716</v>
      </c>
      <c r="C355" s="57" t="s">
        <v>3008</v>
      </c>
      <c r="D355" s="55" t="str">
        <f>VLOOKUP(VLOOKUP(Q355&amp;"_"&amp;R355,活动关卡!$A$32:$Z$55,2+5*S355,FALSE),'⚪设计'!$B$85:$H$114,2,FALSE)</f>
        <v>ResUnit_Rou2</v>
      </c>
      <c r="E355" s="55">
        <f>VLOOKUP(VLOOKUP(Q355&amp;"_"&amp;R355,活动关卡!$A$32:$Z$55,2+5*S355,FALSE),'⚪设计'!$B$85:$H$114,6,FALSE)*VLOOKUP(Q355&amp;"_"&amp;R355,活动关卡!$A$32:$Z$55,5,FALSE)</f>
        <v>1.25</v>
      </c>
      <c r="F355">
        <v>400</v>
      </c>
      <c r="G355" t="b">
        <v>1</v>
      </c>
      <c r="H355">
        <v>1</v>
      </c>
      <c r="I355">
        <v>1</v>
      </c>
      <c r="J355">
        <v>0.25</v>
      </c>
      <c r="K355" s="55">
        <f>VLOOKUP(VLOOKUP(Q355&amp;"_"&amp;R355,活动关卡!$A$32:$Z$55,2+5*S355,FALSE),'⚪设计'!$B$85:$H$114,7,FALSE)</f>
        <v>1.5</v>
      </c>
      <c r="L355" s="57" t="s">
        <v>2424</v>
      </c>
      <c r="M355" t="s">
        <v>468</v>
      </c>
      <c r="N355" t="s">
        <v>469</v>
      </c>
      <c r="O355" t="s">
        <v>470</v>
      </c>
      <c r="P355" s="57" t="str">
        <f>IF(VLOOKUP(D355,'⚪设计'!$C$85:$I$113,7,FALSE)="","",VLOOKUP(D355,'⚪设计'!$C$85:$I$113,7,FALSE)&amp;",NormalAttack")</f>
        <v/>
      </c>
      <c r="Q355" s="110" t="str">
        <f t="shared" si="14"/>
        <v>5</v>
      </c>
      <c r="R355" s="110" t="str">
        <f t="shared" si="15"/>
        <v>4</v>
      </c>
      <c r="S355" s="110" t="str">
        <f t="shared" si="16"/>
        <v>3</v>
      </c>
    </row>
    <row r="356" spans="2:19" x14ac:dyDescent="0.2">
      <c r="B356" s="57" t="s">
        <v>2717</v>
      </c>
      <c r="C356" s="57" t="s">
        <v>3009</v>
      </c>
      <c r="D356" s="55" t="str">
        <f>VLOOKUP(VLOOKUP(Q356&amp;"_"&amp;R356,活动关卡!$A$32:$Z$55,2+5*S356,FALSE),'⚪设计'!$B$85:$H$114,2,FALSE)</f>
        <v>ResUnit_Dan2</v>
      </c>
      <c r="E356" s="55">
        <f>VLOOKUP(VLOOKUP(Q356&amp;"_"&amp;R356,活动关卡!$A$32:$Z$55,2+5*S356,FALSE),'⚪设计'!$B$85:$H$114,6,FALSE)*VLOOKUP(Q356&amp;"_"&amp;R356,活动关卡!$A$32:$Z$55,5,FALSE)</f>
        <v>3</v>
      </c>
      <c r="F356">
        <v>400</v>
      </c>
      <c r="G356" t="b">
        <v>1</v>
      </c>
      <c r="H356">
        <v>1</v>
      </c>
      <c r="I356">
        <v>1</v>
      </c>
      <c r="J356">
        <v>0.25</v>
      </c>
      <c r="K356" s="55">
        <f>VLOOKUP(VLOOKUP(Q356&amp;"_"&amp;R356,活动关卡!$A$32:$Z$55,2+5*S356,FALSE),'⚪设计'!$B$85:$H$114,7,FALSE)</f>
        <v>1.3</v>
      </c>
      <c r="L356" s="57" t="s">
        <v>2425</v>
      </c>
      <c r="M356" t="s">
        <v>468</v>
      </c>
      <c r="N356" t="s">
        <v>469</v>
      </c>
      <c r="O356" t="s">
        <v>470</v>
      </c>
      <c r="P356" s="57" t="str">
        <f>IF(VLOOKUP(D356,'⚪设计'!$C$85:$I$113,7,FALSE)="","",VLOOKUP(D356,'⚪设计'!$C$85:$I$113,7,FALSE)&amp;",NormalAttack")</f>
        <v>Skill_Monster_Weaken,NormalAttack</v>
      </c>
      <c r="Q356" s="110" t="str">
        <f t="shared" si="14"/>
        <v>5</v>
      </c>
      <c r="R356" s="110" t="str">
        <f t="shared" si="15"/>
        <v>5</v>
      </c>
      <c r="S356" s="110" t="str">
        <f t="shared" si="16"/>
        <v>1</v>
      </c>
    </row>
    <row r="357" spans="2:19" x14ac:dyDescent="0.2">
      <c r="B357" s="57" t="s">
        <v>2718</v>
      </c>
      <c r="C357" s="57" t="s">
        <v>3010</v>
      </c>
      <c r="D357" s="55" t="str">
        <f>VLOOKUP(VLOOKUP(Q357&amp;"_"&amp;R357,活动关卡!$A$32:$Z$55,2+5*S357,FALSE),'⚪设计'!$B$85:$H$114,2,FALSE)</f>
        <v>ResUnit_Gui1</v>
      </c>
      <c r="E357" s="55">
        <f>VLOOKUP(VLOOKUP(Q357&amp;"_"&amp;R357,活动关卡!$A$32:$Z$55,2+5*S357,FALSE),'⚪设计'!$B$85:$H$114,6,FALSE)*VLOOKUP(Q357&amp;"_"&amp;R357,活动关卡!$A$32:$Z$55,5,FALSE)</f>
        <v>3</v>
      </c>
      <c r="F357">
        <v>400</v>
      </c>
      <c r="G357" t="b">
        <v>1</v>
      </c>
      <c r="H357">
        <v>1</v>
      </c>
      <c r="I357">
        <v>1</v>
      </c>
      <c r="J357">
        <v>0.25</v>
      </c>
      <c r="K357" s="55">
        <f>VLOOKUP(VLOOKUP(Q357&amp;"_"&amp;R357,活动关卡!$A$32:$Z$55,2+5*S357,FALSE),'⚪设计'!$B$85:$H$114,7,FALSE)</f>
        <v>1</v>
      </c>
      <c r="L357" s="57" t="s">
        <v>2426</v>
      </c>
      <c r="M357" t="s">
        <v>468</v>
      </c>
      <c r="N357" t="s">
        <v>469</v>
      </c>
      <c r="O357" t="s">
        <v>470</v>
      </c>
      <c r="P357" s="57" t="str">
        <f>IF(VLOOKUP(D357,'⚪设计'!$C$85:$I$113,7,FALSE)="","",VLOOKUP(D357,'⚪设计'!$C$85:$I$113,7,FALSE)&amp;",NormalAttack")</f>
        <v>Skill_Monster_Invisible,NormalAttack</v>
      </c>
      <c r="Q357" s="110" t="str">
        <f t="shared" si="14"/>
        <v>5</v>
      </c>
      <c r="R357" s="110" t="str">
        <f t="shared" si="15"/>
        <v>5</v>
      </c>
      <c r="S357" s="110" t="str">
        <f t="shared" si="16"/>
        <v>2</v>
      </c>
    </row>
    <row r="358" spans="2:19" x14ac:dyDescent="0.2">
      <c r="B358" s="57" t="s">
        <v>2719</v>
      </c>
      <c r="C358" s="57" t="s">
        <v>3011</v>
      </c>
      <c r="D358" s="55" t="str">
        <f>VLOOKUP(VLOOKUP(Q358&amp;"_"&amp;R358,活动关卡!$A$32:$Z$55,2+5*S358,FALSE),'⚪设计'!$B$85:$H$114,2,FALSE)</f>
        <v>ResUnit_ZhongZi1</v>
      </c>
      <c r="E358" s="55">
        <f>VLOOKUP(VLOOKUP(Q358&amp;"_"&amp;R358,活动关卡!$A$32:$Z$55,2+5*S358,FALSE),'⚪设计'!$B$85:$H$114,6,FALSE)*VLOOKUP(Q358&amp;"_"&amp;R358,活动关卡!$A$32:$Z$55,5,FALSE)</f>
        <v>3</v>
      </c>
      <c r="F358">
        <v>400</v>
      </c>
      <c r="G358" t="b">
        <v>1</v>
      </c>
      <c r="H358">
        <v>1</v>
      </c>
      <c r="I358">
        <v>1</v>
      </c>
      <c r="J358">
        <v>0.25</v>
      </c>
      <c r="K358" s="55">
        <f>VLOOKUP(VLOOKUP(Q358&amp;"_"&amp;R358,活动关卡!$A$32:$Z$55,2+5*S358,FALSE),'⚪设计'!$B$85:$H$114,7,FALSE)</f>
        <v>1</v>
      </c>
      <c r="L358" s="57" t="s">
        <v>2427</v>
      </c>
      <c r="M358" t="s">
        <v>468</v>
      </c>
      <c r="N358" t="s">
        <v>469</v>
      </c>
      <c r="O358" t="s">
        <v>470</v>
      </c>
      <c r="P358" s="57" t="str">
        <f>IF(VLOOKUP(D358,'⚪设计'!$C$85:$I$113,7,FALSE)="","",VLOOKUP(D358,'⚪设计'!$C$85:$I$113,7,FALSE)&amp;",NormalAttack")</f>
        <v>Skill_Monster_Heal,NormalAttack</v>
      </c>
      <c r="Q358" s="110" t="str">
        <f t="shared" si="14"/>
        <v>5</v>
      </c>
      <c r="R358" s="110" t="str">
        <f t="shared" si="15"/>
        <v>5</v>
      </c>
      <c r="S358" s="110" t="str">
        <f t="shared" si="16"/>
        <v>3</v>
      </c>
    </row>
    <row r="359" spans="2:19" x14ac:dyDescent="0.2">
      <c r="B359" s="57" t="s">
        <v>2720</v>
      </c>
      <c r="C359" s="57" t="s">
        <v>3012</v>
      </c>
      <c r="D359" s="55" t="str">
        <f>VLOOKUP(VLOOKUP(Q359&amp;"_"&amp;R359,活动关卡!$A$32:$Z$55,2+5*S359,FALSE),'⚪设计'!$B$85:$H$114,2,FALSE)</f>
        <v>ResUnit_Rou2</v>
      </c>
      <c r="E359" s="55">
        <f>VLOOKUP(VLOOKUP(Q359&amp;"_"&amp;R359,活动关卡!$A$32:$Z$55,2+5*S359,FALSE),'⚪设计'!$B$85:$H$114,6,FALSE)*VLOOKUP(Q359&amp;"_"&amp;R359,活动关卡!$A$32:$Z$55,5,FALSE)</f>
        <v>1.25</v>
      </c>
      <c r="F359">
        <v>400</v>
      </c>
      <c r="G359" t="b">
        <v>1</v>
      </c>
      <c r="H359">
        <v>1</v>
      </c>
      <c r="I359">
        <v>1</v>
      </c>
      <c r="J359">
        <v>0.25</v>
      </c>
      <c r="K359" s="55">
        <f>VLOOKUP(VLOOKUP(Q359&amp;"_"&amp;R359,活动关卡!$A$32:$Z$55,2+5*S359,FALSE),'⚪设计'!$B$85:$H$114,7,FALSE)</f>
        <v>1.5</v>
      </c>
      <c r="L359" s="57" t="s">
        <v>2428</v>
      </c>
      <c r="M359" t="s">
        <v>468</v>
      </c>
      <c r="N359" t="s">
        <v>469</v>
      </c>
      <c r="O359" t="s">
        <v>470</v>
      </c>
      <c r="P359" s="57" t="str">
        <f>IF(VLOOKUP(D359,'⚪设计'!$C$85:$I$113,7,FALSE)="","",VLOOKUP(D359,'⚪设计'!$C$85:$I$113,7,FALSE)&amp;",NormalAttack")</f>
        <v/>
      </c>
      <c r="Q359" s="110" t="str">
        <f t="shared" si="14"/>
        <v>5</v>
      </c>
      <c r="R359" s="110" t="str">
        <f t="shared" si="15"/>
        <v>5</v>
      </c>
      <c r="S359" s="110" t="str">
        <f t="shared" si="16"/>
        <v>4</v>
      </c>
    </row>
    <row r="360" spans="2:19" x14ac:dyDescent="0.2">
      <c r="B360" s="57" t="s">
        <v>2721</v>
      </c>
      <c r="C360" s="57" t="s">
        <v>3013</v>
      </c>
      <c r="D360" s="55" t="str">
        <f>VLOOKUP(VLOOKUP(Q360&amp;"_"&amp;R360,活动关卡!$A$32:$Z$55,2+5*S360,FALSE),'⚪设计'!$B$85:$H$114,2,FALSE)</f>
        <v>ResUnit_Dan2</v>
      </c>
      <c r="E360" s="55">
        <f>VLOOKUP(VLOOKUP(Q360&amp;"_"&amp;R360,活动关卡!$A$32:$Z$55,2+5*S360,FALSE),'⚪设计'!$B$85:$H$114,6,FALSE)*VLOOKUP(Q360&amp;"_"&amp;R360,活动关卡!$A$32:$Z$55,5,FALSE)</f>
        <v>3</v>
      </c>
      <c r="F360">
        <v>400</v>
      </c>
      <c r="G360" t="b">
        <v>1</v>
      </c>
      <c r="H360">
        <v>1</v>
      </c>
      <c r="I360">
        <v>1</v>
      </c>
      <c r="J360">
        <v>0.25</v>
      </c>
      <c r="K360" s="55">
        <f>VLOOKUP(VLOOKUP(Q360&amp;"_"&amp;R360,活动关卡!$A$32:$Z$55,2+5*S360,FALSE),'⚪设计'!$B$85:$H$114,7,FALSE)</f>
        <v>1.3</v>
      </c>
      <c r="L360" s="57" t="s">
        <v>2429</v>
      </c>
      <c r="M360" t="s">
        <v>468</v>
      </c>
      <c r="N360" t="s">
        <v>469</v>
      </c>
      <c r="O360" t="s">
        <v>470</v>
      </c>
      <c r="P360" s="57" t="str">
        <f>IF(VLOOKUP(D360,'⚪设计'!$C$85:$I$113,7,FALSE)="","",VLOOKUP(D360,'⚪设计'!$C$85:$I$113,7,FALSE)&amp;",NormalAttack")</f>
        <v>Skill_Monster_Weaken,NormalAttack</v>
      </c>
      <c r="Q360" s="110" t="str">
        <f t="shared" si="14"/>
        <v>5</v>
      </c>
      <c r="R360" s="110" t="str">
        <f t="shared" si="15"/>
        <v>6</v>
      </c>
      <c r="S360" s="110" t="str">
        <f t="shared" si="16"/>
        <v>1</v>
      </c>
    </row>
    <row r="361" spans="2:19" x14ac:dyDescent="0.2">
      <c r="B361" s="57" t="s">
        <v>2722</v>
      </c>
      <c r="C361" s="57" t="s">
        <v>3014</v>
      </c>
      <c r="D361" s="55" t="str">
        <f>VLOOKUP(VLOOKUP(Q361&amp;"_"&amp;R361,活动关卡!$A$32:$Z$55,2+5*S361,FALSE),'⚪设计'!$B$85:$H$114,2,FALSE)</f>
        <v>ResUnit_ZhongZi2</v>
      </c>
      <c r="E361" s="55">
        <f>VLOOKUP(VLOOKUP(Q361&amp;"_"&amp;R361,活动关卡!$A$32:$Z$55,2+5*S361,FALSE),'⚪设计'!$B$85:$H$114,6,FALSE)*VLOOKUP(Q361&amp;"_"&amp;R361,活动关卡!$A$32:$Z$55,5,FALSE)</f>
        <v>3</v>
      </c>
      <c r="F361">
        <v>400</v>
      </c>
      <c r="G361" t="b">
        <v>1</v>
      </c>
      <c r="H361">
        <v>1</v>
      </c>
      <c r="I361">
        <v>1</v>
      </c>
      <c r="J361">
        <v>0.25</v>
      </c>
      <c r="K361" s="55">
        <f>VLOOKUP(VLOOKUP(Q361&amp;"_"&amp;R361,活动关卡!$A$32:$Z$55,2+5*S361,FALSE),'⚪设计'!$B$85:$H$114,7,FALSE)</f>
        <v>1.2</v>
      </c>
      <c r="L361" s="57" t="s">
        <v>2430</v>
      </c>
      <c r="M361" t="s">
        <v>468</v>
      </c>
      <c r="N361" t="s">
        <v>469</v>
      </c>
      <c r="O361" t="s">
        <v>470</v>
      </c>
      <c r="P361" s="57" t="str">
        <f>IF(VLOOKUP(D361,'⚪设计'!$C$85:$I$113,7,FALSE)="","",VLOOKUP(D361,'⚪设计'!$C$85:$I$113,7,FALSE)&amp;",NormalAttack")</f>
        <v>Skill_Monster_Heal,NormalAttack</v>
      </c>
      <c r="Q361" s="110" t="str">
        <f t="shared" si="14"/>
        <v>5</v>
      </c>
      <c r="R361" s="110" t="str">
        <f t="shared" si="15"/>
        <v>6</v>
      </c>
      <c r="S361" s="110" t="str">
        <f t="shared" si="16"/>
        <v>2</v>
      </c>
    </row>
    <row r="362" spans="2:19" x14ac:dyDescent="0.2">
      <c r="B362" s="57" t="s">
        <v>2723</v>
      </c>
      <c r="C362" s="57" t="s">
        <v>3015</v>
      </c>
      <c r="D362" s="55" t="str">
        <f>VLOOKUP(VLOOKUP(Q362&amp;"_"&amp;R362,活动关卡!$A$32:$Z$55,2+5*S362,FALSE),'⚪设计'!$B$85:$H$114,2,FALSE)</f>
        <v>ResUnit_ZhiZhu2</v>
      </c>
      <c r="E362" s="55">
        <f>VLOOKUP(VLOOKUP(Q362&amp;"_"&amp;R362,活动关卡!$A$32:$Z$55,2+5*S362,FALSE),'⚪设计'!$B$85:$H$114,6,FALSE)*VLOOKUP(Q362&amp;"_"&amp;R362,活动关卡!$A$32:$Z$55,5,FALSE)</f>
        <v>4.5</v>
      </c>
      <c r="F362">
        <v>400</v>
      </c>
      <c r="G362" t="b">
        <v>1</v>
      </c>
      <c r="H362">
        <v>1</v>
      </c>
      <c r="I362">
        <v>1</v>
      </c>
      <c r="J362">
        <v>0.25</v>
      </c>
      <c r="K362" s="55">
        <f>VLOOKUP(VLOOKUP(Q362&amp;"_"&amp;R362,活动关卡!$A$32:$Z$55,2+5*S362,FALSE),'⚪设计'!$B$85:$H$114,7,FALSE)</f>
        <v>1</v>
      </c>
      <c r="L362" s="57" t="s">
        <v>2431</v>
      </c>
      <c r="M362" t="s">
        <v>468</v>
      </c>
      <c r="N362" t="s">
        <v>469</v>
      </c>
      <c r="O362" t="s">
        <v>470</v>
      </c>
      <c r="P362" s="57" t="str">
        <f>IF(VLOOKUP(D362,'⚪设计'!$C$85:$I$113,7,FALSE)="","",VLOOKUP(D362,'⚪设计'!$C$85:$I$113,7,FALSE)&amp;",NormalAttack")</f>
        <v/>
      </c>
      <c r="Q362" s="110" t="str">
        <f t="shared" si="14"/>
        <v>5</v>
      </c>
      <c r="R362" s="110" t="str">
        <f t="shared" si="15"/>
        <v>6</v>
      </c>
      <c r="S362" s="110" t="str">
        <f t="shared" si="16"/>
        <v>3</v>
      </c>
    </row>
    <row r="363" spans="2:19" x14ac:dyDescent="0.2">
      <c r="B363" s="57" t="s">
        <v>2724</v>
      </c>
      <c r="C363" s="57" t="s">
        <v>3016</v>
      </c>
      <c r="D363" s="55" t="str">
        <f>VLOOKUP(VLOOKUP(Q363&amp;"_"&amp;R363,活动关卡!$A$32:$Z$55,2+5*S363,FALSE),'⚪设计'!$B$85:$H$114,2,FALSE)</f>
        <v>ResUnit_Rou2</v>
      </c>
      <c r="E363" s="55">
        <f>VLOOKUP(VLOOKUP(Q363&amp;"_"&amp;R363,活动关卡!$A$32:$Z$55,2+5*S363,FALSE),'⚪设计'!$B$85:$H$114,6,FALSE)*VLOOKUP(Q363&amp;"_"&amp;R363,活动关卡!$A$32:$Z$55,5,FALSE)</f>
        <v>1.25</v>
      </c>
      <c r="F363">
        <v>400</v>
      </c>
      <c r="G363" t="b">
        <v>1</v>
      </c>
      <c r="H363">
        <v>1</v>
      </c>
      <c r="I363">
        <v>1</v>
      </c>
      <c r="J363">
        <v>0.25</v>
      </c>
      <c r="K363" s="55">
        <f>VLOOKUP(VLOOKUP(Q363&amp;"_"&amp;R363,活动关卡!$A$32:$Z$55,2+5*S363,FALSE),'⚪设计'!$B$85:$H$114,7,FALSE)</f>
        <v>1.5</v>
      </c>
      <c r="L363" s="57" t="s">
        <v>2432</v>
      </c>
      <c r="M363" t="s">
        <v>468</v>
      </c>
      <c r="N363" t="s">
        <v>469</v>
      </c>
      <c r="O363" t="s">
        <v>470</v>
      </c>
      <c r="P363" s="57" t="str">
        <f>IF(VLOOKUP(D363,'⚪设计'!$C$85:$I$113,7,FALSE)="","",VLOOKUP(D363,'⚪设计'!$C$85:$I$113,7,FALSE)&amp;",NormalAttack")</f>
        <v/>
      </c>
      <c r="Q363" s="110" t="str">
        <f t="shared" si="14"/>
        <v>5</v>
      </c>
      <c r="R363" s="110" t="str">
        <f t="shared" si="15"/>
        <v>6</v>
      </c>
      <c r="S363" s="110" t="str">
        <f t="shared" si="16"/>
        <v>4</v>
      </c>
    </row>
    <row r="364" spans="2:19" x14ac:dyDescent="0.2">
      <c r="B364" s="57" t="s">
        <v>2725</v>
      </c>
      <c r="C364" s="57" t="s">
        <v>3017</v>
      </c>
      <c r="D364" s="55" t="str">
        <f>VLOOKUP(VLOOKUP(Q364&amp;"_"&amp;R364,活动关卡!$A$32:$Z$55,2+5*S364,FALSE),'⚪设计'!$B$85:$H$114,2,FALSE)</f>
        <v>ResUnit_Dan2</v>
      </c>
      <c r="E364" s="55">
        <f>VLOOKUP(VLOOKUP(Q364&amp;"_"&amp;R364,活动关卡!$A$32:$Z$55,2+5*S364,FALSE),'⚪设计'!$B$85:$H$114,6,FALSE)*VLOOKUP(Q364&amp;"_"&amp;R364,活动关卡!$A$32:$Z$55,5,FALSE)</f>
        <v>3</v>
      </c>
      <c r="F364">
        <v>400</v>
      </c>
      <c r="G364" t="b">
        <v>1</v>
      </c>
      <c r="H364">
        <v>1</v>
      </c>
      <c r="I364">
        <v>1</v>
      </c>
      <c r="J364">
        <v>0.25</v>
      </c>
      <c r="K364" s="55">
        <f>VLOOKUP(VLOOKUP(Q364&amp;"_"&amp;R364,活动关卡!$A$32:$Z$55,2+5*S364,FALSE),'⚪设计'!$B$85:$H$114,7,FALSE)</f>
        <v>1.3</v>
      </c>
      <c r="L364" s="57" t="s">
        <v>2433</v>
      </c>
      <c r="M364" t="s">
        <v>468</v>
      </c>
      <c r="N364" t="s">
        <v>469</v>
      </c>
      <c r="O364" t="s">
        <v>470</v>
      </c>
      <c r="P364" s="57" t="str">
        <f>IF(VLOOKUP(D364,'⚪设计'!$C$85:$I$113,7,FALSE)="","",VLOOKUP(D364,'⚪设计'!$C$85:$I$113,7,FALSE)&amp;",NormalAttack")</f>
        <v>Skill_Monster_Weaken,NormalAttack</v>
      </c>
      <c r="Q364" s="110" t="str">
        <f t="shared" si="14"/>
        <v>5</v>
      </c>
      <c r="R364" s="110" t="str">
        <f t="shared" si="15"/>
        <v>7</v>
      </c>
      <c r="S364" s="110" t="str">
        <f t="shared" si="16"/>
        <v>1</v>
      </c>
    </row>
    <row r="365" spans="2:19" x14ac:dyDescent="0.2">
      <c r="B365" s="57" t="s">
        <v>2726</v>
      </c>
      <c r="C365" s="57" t="s">
        <v>3018</v>
      </c>
      <c r="D365" s="55" t="str">
        <f>VLOOKUP(VLOOKUP(Q365&amp;"_"&amp;R365,活动关卡!$A$32:$Z$55,2+5*S365,FALSE),'⚪设计'!$B$85:$H$114,2,FALSE)</f>
        <v>ResUnit_Gui2</v>
      </c>
      <c r="E365" s="55">
        <f>VLOOKUP(VLOOKUP(Q365&amp;"_"&amp;R365,活动关卡!$A$32:$Z$55,2+5*S365,FALSE),'⚪设计'!$B$85:$H$114,6,FALSE)*VLOOKUP(Q365&amp;"_"&amp;R365,活动关卡!$A$32:$Z$55,5,FALSE)</f>
        <v>3</v>
      </c>
      <c r="F365">
        <v>400</v>
      </c>
      <c r="G365" t="b">
        <v>1</v>
      </c>
      <c r="H365">
        <v>1</v>
      </c>
      <c r="I365">
        <v>1</v>
      </c>
      <c r="J365">
        <v>0.25</v>
      </c>
      <c r="K365" s="55">
        <f>VLOOKUP(VLOOKUP(Q365&amp;"_"&amp;R365,活动关卡!$A$32:$Z$55,2+5*S365,FALSE),'⚪设计'!$B$85:$H$114,7,FALSE)</f>
        <v>1</v>
      </c>
      <c r="L365" s="57" t="s">
        <v>2434</v>
      </c>
      <c r="M365" t="s">
        <v>468</v>
      </c>
      <c r="N365" t="s">
        <v>469</v>
      </c>
      <c r="O365" t="s">
        <v>470</v>
      </c>
      <c r="P365" s="57" t="str">
        <f>IF(VLOOKUP(D365,'⚪设计'!$C$85:$I$113,7,FALSE)="","",VLOOKUP(D365,'⚪设计'!$C$85:$I$113,7,FALSE)&amp;",NormalAttack")</f>
        <v>Skill_Monster_Invisible,NormalAttack</v>
      </c>
      <c r="Q365" s="110" t="str">
        <f t="shared" si="14"/>
        <v>5</v>
      </c>
      <c r="R365" s="110" t="str">
        <f t="shared" si="15"/>
        <v>7</v>
      </c>
      <c r="S365" s="110" t="str">
        <f t="shared" si="16"/>
        <v>2</v>
      </c>
    </row>
    <row r="366" spans="2:19" x14ac:dyDescent="0.2">
      <c r="B366" s="57" t="s">
        <v>2727</v>
      </c>
      <c r="C366" s="57" t="s">
        <v>3019</v>
      </c>
      <c r="D366" s="55" t="str">
        <f>VLOOKUP(VLOOKUP(Q366&amp;"_"&amp;R366,活动关卡!$A$32:$Z$55,2+5*S366,FALSE),'⚪设计'!$B$85:$H$114,2,FALSE)</f>
        <v>ResUnit_BianFu2</v>
      </c>
      <c r="E366" s="55">
        <f>VLOOKUP(VLOOKUP(Q366&amp;"_"&amp;R366,活动关卡!$A$32:$Z$55,2+5*S366,FALSE),'⚪设计'!$B$85:$H$114,6,FALSE)*VLOOKUP(Q366&amp;"_"&amp;R366,活动关卡!$A$32:$Z$55,5,FALSE)</f>
        <v>3</v>
      </c>
      <c r="F366">
        <v>400</v>
      </c>
      <c r="G366" t="b">
        <v>1</v>
      </c>
      <c r="H366">
        <v>1</v>
      </c>
      <c r="I366">
        <v>1</v>
      </c>
      <c r="J366">
        <v>0.25</v>
      </c>
      <c r="K366" s="55">
        <f>VLOOKUP(VLOOKUP(Q366&amp;"_"&amp;R366,活动关卡!$A$32:$Z$55,2+5*S366,FALSE),'⚪设计'!$B$85:$H$114,7,FALSE)</f>
        <v>0.5</v>
      </c>
      <c r="L366" s="57" t="s">
        <v>2435</v>
      </c>
      <c r="M366" t="s">
        <v>468</v>
      </c>
      <c r="N366" t="s">
        <v>469</v>
      </c>
      <c r="O366" t="s">
        <v>470</v>
      </c>
      <c r="P366" s="57" t="str">
        <f>IF(VLOOKUP(D366,'⚪设计'!$C$85:$I$113,7,FALSE)="","",VLOOKUP(D366,'⚪设计'!$C$85:$I$113,7,FALSE)&amp;",NormalAttack")</f>
        <v/>
      </c>
      <c r="Q366" s="110" t="str">
        <f t="shared" si="14"/>
        <v>5</v>
      </c>
      <c r="R366" s="110" t="str">
        <f t="shared" si="15"/>
        <v>7</v>
      </c>
      <c r="S366" s="110" t="str">
        <f t="shared" si="16"/>
        <v>3</v>
      </c>
    </row>
    <row r="367" spans="2:19" x14ac:dyDescent="0.2">
      <c r="B367" s="57" t="s">
        <v>2728</v>
      </c>
      <c r="C367" s="57" t="s">
        <v>3020</v>
      </c>
      <c r="D367" s="55" t="str">
        <f>VLOOKUP(VLOOKUP(Q367&amp;"_"&amp;R367,活动关卡!$A$32:$Z$55,2+5*S367,FALSE),'⚪设计'!$B$85:$H$114,2,FALSE)</f>
        <v>ResUnit_Rou2</v>
      </c>
      <c r="E367" s="55">
        <f>VLOOKUP(VLOOKUP(Q367&amp;"_"&amp;R367,活动关卡!$A$32:$Z$55,2+5*S367,FALSE),'⚪设计'!$B$85:$H$114,6,FALSE)*VLOOKUP(Q367&amp;"_"&amp;R367,活动关卡!$A$32:$Z$55,5,FALSE)</f>
        <v>1.25</v>
      </c>
      <c r="F367">
        <v>400</v>
      </c>
      <c r="G367" t="b">
        <v>1</v>
      </c>
      <c r="H367">
        <v>1</v>
      </c>
      <c r="I367">
        <v>1</v>
      </c>
      <c r="J367">
        <v>0.25</v>
      </c>
      <c r="K367" s="55">
        <f>VLOOKUP(VLOOKUP(Q367&amp;"_"&amp;R367,活动关卡!$A$32:$Z$55,2+5*S367,FALSE),'⚪设计'!$B$85:$H$114,7,FALSE)</f>
        <v>1.5</v>
      </c>
      <c r="L367" s="57" t="s">
        <v>2436</v>
      </c>
      <c r="M367" t="s">
        <v>468</v>
      </c>
      <c r="N367" t="s">
        <v>469</v>
      </c>
      <c r="O367" t="s">
        <v>470</v>
      </c>
      <c r="P367" s="57" t="str">
        <f>IF(VLOOKUP(D367,'⚪设计'!$C$85:$I$113,7,FALSE)="","",VLOOKUP(D367,'⚪设计'!$C$85:$I$113,7,FALSE)&amp;",NormalAttack")</f>
        <v/>
      </c>
      <c r="Q367" s="110" t="str">
        <f t="shared" si="14"/>
        <v>5</v>
      </c>
      <c r="R367" s="110" t="str">
        <f t="shared" si="15"/>
        <v>7</v>
      </c>
      <c r="S367" s="110" t="str">
        <f t="shared" si="16"/>
        <v>4</v>
      </c>
    </row>
    <row r="368" spans="2:19" x14ac:dyDescent="0.2">
      <c r="B368" s="57" t="s">
        <v>2729</v>
      </c>
      <c r="C368" s="57" t="s">
        <v>3021</v>
      </c>
      <c r="D368" s="55" t="str">
        <f>VLOOKUP(VLOOKUP(Q368&amp;"_"&amp;R368,活动关卡!$A$32:$Z$55,2+5*S368,FALSE),'⚪设计'!$B$85:$H$114,2,FALSE)</f>
        <v>ResUnit_Dan3</v>
      </c>
      <c r="E368" s="55">
        <f>VLOOKUP(VLOOKUP(Q368&amp;"_"&amp;R368,活动关卡!$A$32:$Z$55,2+5*S368,FALSE),'⚪设计'!$B$85:$H$114,6,FALSE)*VLOOKUP(Q368&amp;"_"&amp;R368,活动关卡!$A$32:$Z$55,5,FALSE)</f>
        <v>1.25</v>
      </c>
      <c r="F368">
        <v>400</v>
      </c>
      <c r="G368" t="b">
        <v>1</v>
      </c>
      <c r="H368">
        <v>1</v>
      </c>
      <c r="I368">
        <v>1</v>
      </c>
      <c r="J368">
        <v>0.25</v>
      </c>
      <c r="K368" s="55">
        <f>VLOOKUP(VLOOKUP(Q368&amp;"_"&amp;R368,活动关卡!$A$32:$Z$55,2+5*S368,FALSE),'⚪设计'!$B$85:$H$114,7,FALSE)</f>
        <v>2.5</v>
      </c>
      <c r="L368" s="57" t="s">
        <v>2437</v>
      </c>
      <c r="M368" t="s">
        <v>468</v>
      </c>
      <c r="N368" t="s">
        <v>469</v>
      </c>
      <c r="O368" t="s">
        <v>470</v>
      </c>
      <c r="P368" s="57" t="str">
        <f>IF(VLOOKUP(D368,'⚪设计'!$C$85:$I$113,7,FALSE)="","",VLOOKUP(D368,'⚪设计'!$C$85:$I$113,7,FALSE)&amp;",NormalAttack")</f>
        <v>Skill_Monster_Weaken,NormalAttack</v>
      </c>
      <c r="Q368" s="110" t="str">
        <f t="shared" si="14"/>
        <v>5</v>
      </c>
      <c r="R368" s="110" t="str">
        <f t="shared" si="15"/>
        <v>8</v>
      </c>
      <c r="S368" s="110" t="str">
        <f t="shared" si="16"/>
        <v>1</v>
      </c>
    </row>
    <row r="369" spans="2:19" x14ac:dyDescent="0.2">
      <c r="B369" s="57" t="s">
        <v>2730</v>
      </c>
      <c r="C369" s="57" t="s">
        <v>3022</v>
      </c>
      <c r="D369" s="55" t="str">
        <f>VLOOKUP(VLOOKUP(Q369&amp;"_"&amp;R369,活动关卡!$A$32:$Z$55,2+5*S369,FALSE),'⚪设计'!$B$85:$H$114,2,FALSE)</f>
        <v>ResUnit_Gui2</v>
      </c>
      <c r="E369" s="55">
        <f>VLOOKUP(VLOOKUP(Q369&amp;"_"&amp;R369,活动关卡!$A$32:$Z$55,2+5*S369,FALSE),'⚪设计'!$B$85:$H$114,6,FALSE)*VLOOKUP(Q369&amp;"_"&amp;R369,活动关卡!$A$32:$Z$55,5,FALSE)</f>
        <v>3</v>
      </c>
      <c r="F369">
        <v>400</v>
      </c>
      <c r="G369" t="b">
        <v>1</v>
      </c>
      <c r="H369">
        <v>1</v>
      </c>
      <c r="I369">
        <v>1</v>
      </c>
      <c r="J369">
        <v>0.25</v>
      </c>
      <c r="K369" s="55">
        <f>VLOOKUP(VLOOKUP(Q369&amp;"_"&amp;R369,活动关卡!$A$32:$Z$55,2+5*S369,FALSE),'⚪设计'!$B$85:$H$114,7,FALSE)</f>
        <v>1</v>
      </c>
      <c r="L369" s="57" t="s">
        <v>2438</v>
      </c>
      <c r="M369" t="s">
        <v>468</v>
      </c>
      <c r="N369" t="s">
        <v>469</v>
      </c>
      <c r="O369" t="s">
        <v>470</v>
      </c>
      <c r="P369" s="57" t="str">
        <f>IF(VLOOKUP(D369,'⚪设计'!$C$85:$I$113,7,FALSE)="","",VLOOKUP(D369,'⚪设计'!$C$85:$I$113,7,FALSE)&amp;",NormalAttack")</f>
        <v>Skill_Monster_Invisible,NormalAttack</v>
      </c>
      <c r="Q369" s="110" t="str">
        <f t="shared" si="14"/>
        <v>5</v>
      </c>
      <c r="R369" s="110" t="str">
        <f t="shared" si="15"/>
        <v>8</v>
      </c>
      <c r="S369" s="110" t="str">
        <f t="shared" si="16"/>
        <v>2</v>
      </c>
    </row>
    <row r="370" spans="2:19" x14ac:dyDescent="0.2">
      <c r="B370" s="57" t="s">
        <v>2731</v>
      </c>
      <c r="C370" s="57" t="s">
        <v>3023</v>
      </c>
      <c r="D370" s="55" t="str">
        <f>VLOOKUP(VLOOKUP(Q370&amp;"_"&amp;R370,活动关卡!$A$32:$Z$55,2+5*S370,FALSE),'⚪设计'!$B$85:$H$114,2,FALSE)</f>
        <v>ResUnit_ZhongZi2</v>
      </c>
      <c r="E370" s="55">
        <f>VLOOKUP(VLOOKUP(Q370&amp;"_"&amp;R370,活动关卡!$A$32:$Z$55,2+5*S370,FALSE),'⚪设计'!$B$85:$H$114,6,FALSE)*VLOOKUP(Q370&amp;"_"&amp;R370,活动关卡!$A$32:$Z$55,5,FALSE)</f>
        <v>3</v>
      </c>
      <c r="F370">
        <v>400</v>
      </c>
      <c r="G370" t="b">
        <v>1</v>
      </c>
      <c r="H370">
        <v>1</v>
      </c>
      <c r="I370">
        <v>1</v>
      </c>
      <c r="J370">
        <v>0.25</v>
      </c>
      <c r="K370" s="55">
        <f>VLOOKUP(VLOOKUP(Q370&amp;"_"&amp;R370,活动关卡!$A$32:$Z$55,2+5*S370,FALSE),'⚪设计'!$B$85:$H$114,7,FALSE)</f>
        <v>1.2</v>
      </c>
      <c r="L370" s="57" t="s">
        <v>2439</v>
      </c>
      <c r="M370" t="s">
        <v>468</v>
      </c>
      <c r="N370" t="s">
        <v>469</v>
      </c>
      <c r="O370" t="s">
        <v>470</v>
      </c>
      <c r="P370" s="57" t="str">
        <f>IF(VLOOKUP(D370,'⚪设计'!$C$85:$I$113,7,FALSE)="","",VLOOKUP(D370,'⚪设计'!$C$85:$I$113,7,FALSE)&amp;",NormalAttack")</f>
        <v>Skill_Monster_Heal,NormalAttack</v>
      </c>
      <c r="Q370" s="110" t="str">
        <f t="shared" si="14"/>
        <v>5</v>
      </c>
      <c r="R370" s="110" t="str">
        <f t="shared" si="15"/>
        <v>8</v>
      </c>
      <c r="S370" s="110" t="str">
        <f t="shared" si="16"/>
        <v>3</v>
      </c>
    </row>
    <row r="371" spans="2:19" x14ac:dyDescent="0.2">
      <c r="B371" s="57" t="s">
        <v>2732</v>
      </c>
      <c r="C371" s="57" t="s">
        <v>3024</v>
      </c>
      <c r="D371" s="55" t="str">
        <f>VLOOKUP(VLOOKUP(Q371&amp;"_"&amp;R371,活动关卡!$A$32:$Z$55,2+5*S371,FALSE),'⚪设计'!$B$85:$H$114,2,FALSE)</f>
        <v>ResUnit_Rou3</v>
      </c>
      <c r="E371" s="55">
        <f>VLOOKUP(VLOOKUP(Q371&amp;"_"&amp;R371,活动关卡!$A$32:$Z$55,2+5*S371,FALSE),'⚪设计'!$B$85:$H$114,6,FALSE)*VLOOKUP(Q371&amp;"_"&amp;R371,活动关卡!$A$32:$Z$55,5,FALSE)</f>
        <v>1.25</v>
      </c>
      <c r="F371">
        <v>400</v>
      </c>
      <c r="G371" t="b">
        <v>1</v>
      </c>
      <c r="H371">
        <v>1</v>
      </c>
      <c r="I371">
        <v>1</v>
      </c>
      <c r="J371">
        <v>0.25</v>
      </c>
      <c r="K371" s="55">
        <f>VLOOKUP(VLOOKUP(Q371&amp;"_"&amp;R371,活动关卡!$A$32:$Z$55,2+5*S371,FALSE),'⚪设计'!$B$85:$H$114,7,FALSE)</f>
        <v>2.5</v>
      </c>
      <c r="L371" s="57" t="s">
        <v>2440</v>
      </c>
      <c r="M371" t="s">
        <v>468</v>
      </c>
      <c r="N371" t="s">
        <v>469</v>
      </c>
      <c r="O371" t="s">
        <v>470</v>
      </c>
      <c r="P371" s="57" t="str">
        <f>IF(VLOOKUP(D371,'⚪设计'!$C$85:$I$113,7,FALSE)="","",VLOOKUP(D371,'⚪设计'!$C$85:$I$113,7,FALSE)&amp;",NormalAttack")</f>
        <v/>
      </c>
      <c r="Q371" s="110" t="str">
        <f t="shared" si="14"/>
        <v>5</v>
      </c>
      <c r="R371" s="110" t="str">
        <f t="shared" si="15"/>
        <v>8</v>
      </c>
      <c r="S371" s="110" t="str">
        <f t="shared" si="16"/>
        <v>4</v>
      </c>
    </row>
    <row r="372" spans="2:19" x14ac:dyDescent="0.2">
      <c r="B372" s="57"/>
      <c r="C372" s="57"/>
      <c r="D372" s="55"/>
      <c r="E372" s="55"/>
      <c r="K372" s="55"/>
      <c r="L372" s="57"/>
      <c r="P372" s="57"/>
      <c r="Q372" s="110"/>
      <c r="R372" s="110"/>
      <c r="S372" s="110"/>
    </row>
    <row r="373" spans="2:19" x14ac:dyDescent="0.2">
      <c r="B373" s="57" t="s">
        <v>2733</v>
      </c>
      <c r="C373" s="57" t="s">
        <v>3025</v>
      </c>
      <c r="D373" s="55" t="str">
        <f>VLOOKUP(VLOOKUP(Q373&amp;"_"&amp;R373,活动关卡!$A$60:$Z$83,2+5*S373,FALSE),'⚪设计'!$B$85:$H$114,2,FALSE)</f>
        <v>ResUnit_MiFeng1</v>
      </c>
      <c r="E373" s="55">
        <f>VLOOKUP(VLOOKUP(Q373&amp;"_"&amp;R373,活动关卡!$A$60:$Z$83,2+5*S373,FALSE),'⚪设计'!$B$85:$H$114,6,FALSE)*VLOOKUP(Q373&amp;"_"&amp;R373,活动关卡!$A$60:$Z$83,5,FALSE)</f>
        <v>3</v>
      </c>
      <c r="F373">
        <v>400</v>
      </c>
      <c r="G373" t="b">
        <v>1</v>
      </c>
      <c r="H373">
        <v>1</v>
      </c>
      <c r="I373">
        <v>1</v>
      </c>
      <c r="J373">
        <v>0.25</v>
      </c>
      <c r="K373" s="55">
        <f>VLOOKUP(VLOOKUP(Q373&amp;"_"&amp;R373,活动关卡!$A$60:$Z$83,2+5*S373,FALSE),'⚪设计'!$B$85:$H$114,7,FALSE)</f>
        <v>0.5</v>
      </c>
      <c r="L373" s="57" t="s">
        <v>2441</v>
      </c>
      <c r="M373" t="s">
        <v>468</v>
      </c>
      <c r="N373" t="s">
        <v>469</v>
      </c>
      <c r="O373" t="s">
        <v>470</v>
      </c>
      <c r="P373" s="57" t="str">
        <f>IF(VLOOKUP(D373,'⚪设计'!$C$85:$I$113,7,FALSE)="","",VLOOKUP(D373,'⚪设计'!$C$85:$I$113,7,FALSE)&amp;",NormalAttack")</f>
        <v/>
      </c>
      <c r="Q373" s="110" t="str">
        <f t="shared" si="14"/>
        <v>1</v>
      </c>
      <c r="R373" s="110" t="str">
        <f t="shared" si="15"/>
        <v>1</v>
      </c>
      <c r="S373" s="110" t="str">
        <f t="shared" si="16"/>
        <v>1</v>
      </c>
    </row>
    <row r="374" spans="2:19" x14ac:dyDescent="0.2">
      <c r="B374" s="57" t="s">
        <v>2734</v>
      </c>
      <c r="C374" s="57" t="s">
        <v>3026</v>
      </c>
      <c r="D374" s="55" t="str">
        <f>VLOOKUP(VLOOKUP(Q374&amp;"_"&amp;R374,活动关卡!$A$60:$Z$83,2+5*S374,FALSE),'⚪设计'!$B$85:$H$114,2,FALSE)</f>
        <v>ResUnit_XueRen1</v>
      </c>
      <c r="E374" s="55">
        <f>VLOOKUP(VLOOKUP(Q374&amp;"_"&amp;R374,活动关卡!$A$60:$Z$83,2+5*S374,FALSE),'⚪设计'!$B$85:$H$114,6,FALSE)*VLOOKUP(Q374&amp;"_"&amp;R374,活动关卡!$A$60:$Z$83,5,FALSE)</f>
        <v>3</v>
      </c>
      <c r="F374">
        <v>400</v>
      </c>
      <c r="G374" t="b">
        <v>1</v>
      </c>
      <c r="H374">
        <v>1</v>
      </c>
      <c r="I374">
        <v>1</v>
      </c>
      <c r="J374">
        <v>0.25</v>
      </c>
      <c r="K374" s="55">
        <f>VLOOKUP(VLOOKUP(Q374&amp;"_"&amp;R374,活动关卡!$A$60:$Z$83,2+5*S374,FALSE),'⚪设计'!$B$85:$H$114,7,FALSE)</f>
        <v>1</v>
      </c>
      <c r="L374" s="57" t="s">
        <v>2442</v>
      </c>
      <c r="M374" t="s">
        <v>468</v>
      </c>
      <c r="N374" t="s">
        <v>469</v>
      </c>
      <c r="O374" t="s">
        <v>470</v>
      </c>
      <c r="P374" s="57" t="str">
        <f>IF(VLOOKUP(D374,'⚪设计'!$C$85:$I$113,7,FALSE)="","",VLOOKUP(D374,'⚪设计'!$C$85:$I$113,7,FALSE)&amp;",NormalAttack")</f>
        <v/>
      </c>
      <c r="Q374" s="110" t="str">
        <f t="shared" si="14"/>
        <v>1</v>
      </c>
      <c r="R374" s="110" t="str">
        <f t="shared" si="15"/>
        <v>1</v>
      </c>
      <c r="S374" s="110" t="str">
        <f t="shared" si="16"/>
        <v>2</v>
      </c>
    </row>
    <row r="375" spans="2:19" x14ac:dyDescent="0.2">
      <c r="B375" s="57" t="s">
        <v>2735</v>
      </c>
      <c r="C375" s="57" t="s">
        <v>3027</v>
      </c>
      <c r="D375" s="55" t="str">
        <f>VLOOKUP(VLOOKUP(Q375&amp;"_"&amp;R375,活动关卡!$A$60:$Z$83,2+5*S375,FALSE),'⚪设计'!$B$85:$H$114,2,FALSE)</f>
        <v>ResUnit_MiFeng1</v>
      </c>
      <c r="E375" s="55">
        <f>VLOOKUP(VLOOKUP(Q375&amp;"_"&amp;R375,活动关卡!$A$60:$Z$83,2+5*S375,FALSE),'⚪设计'!$B$85:$H$114,6,FALSE)*VLOOKUP(Q375&amp;"_"&amp;R375,活动关卡!$A$60:$Z$83,5,FALSE)</f>
        <v>3</v>
      </c>
      <c r="F375">
        <v>400</v>
      </c>
      <c r="G375" t="b">
        <v>1</v>
      </c>
      <c r="H375">
        <v>1</v>
      </c>
      <c r="I375">
        <v>1</v>
      </c>
      <c r="J375">
        <v>0.25</v>
      </c>
      <c r="K375" s="55">
        <f>VLOOKUP(VLOOKUP(Q375&amp;"_"&amp;R375,活动关卡!$A$60:$Z$83,2+5*S375,FALSE),'⚪设计'!$B$85:$H$114,7,FALSE)</f>
        <v>0.5</v>
      </c>
      <c r="L375" s="57" t="s">
        <v>2443</v>
      </c>
      <c r="M375" t="s">
        <v>468</v>
      </c>
      <c r="N375" t="s">
        <v>469</v>
      </c>
      <c r="O375" t="s">
        <v>470</v>
      </c>
      <c r="P375" s="57" t="str">
        <f>IF(VLOOKUP(D375,'⚪设计'!$C$85:$I$113,7,FALSE)="","",VLOOKUP(D375,'⚪设计'!$C$85:$I$113,7,FALSE)&amp;",NormalAttack")</f>
        <v/>
      </c>
      <c r="Q375" s="110" t="str">
        <f t="shared" si="14"/>
        <v>1</v>
      </c>
      <c r="R375" s="110" t="str">
        <f t="shared" si="15"/>
        <v>2</v>
      </c>
      <c r="S375" s="110" t="str">
        <f t="shared" si="16"/>
        <v>1</v>
      </c>
    </row>
    <row r="376" spans="2:19" x14ac:dyDescent="0.2">
      <c r="B376" s="57" t="s">
        <v>2736</v>
      </c>
      <c r="C376" s="57" t="s">
        <v>3028</v>
      </c>
      <c r="D376" s="55" t="str">
        <f>VLOOKUP(VLOOKUP(Q376&amp;"_"&amp;R376,活动关卡!$A$60:$Z$83,2+5*S376,FALSE),'⚪设计'!$B$85:$H$114,2,FALSE)</f>
        <v>ResUnit_XueRen1</v>
      </c>
      <c r="E376" s="55">
        <f>VLOOKUP(VLOOKUP(Q376&amp;"_"&amp;R376,活动关卡!$A$60:$Z$83,2+5*S376,FALSE),'⚪设计'!$B$85:$H$114,6,FALSE)*VLOOKUP(Q376&amp;"_"&amp;R376,活动关卡!$A$60:$Z$83,5,FALSE)</f>
        <v>3</v>
      </c>
      <c r="F376">
        <v>400</v>
      </c>
      <c r="G376" t="b">
        <v>1</v>
      </c>
      <c r="H376">
        <v>1</v>
      </c>
      <c r="I376">
        <v>1</v>
      </c>
      <c r="J376">
        <v>0.25</v>
      </c>
      <c r="K376" s="55">
        <f>VLOOKUP(VLOOKUP(Q376&amp;"_"&amp;R376,活动关卡!$A$60:$Z$83,2+5*S376,FALSE),'⚪设计'!$B$85:$H$114,7,FALSE)</f>
        <v>1</v>
      </c>
      <c r="L376" s="57" t="s">
        <v>2444</v>
      </c>
      <c r="M376" t="s">
        <v>468</v>
      </c>
      <c r="N376" t="s">
        <v>469</v>
      </c>
      <c r="O376" t="s">
        <v>470</v>
      </c>
      <c r="P376" s="57" t="str">
        <f>IF(VLOOKUP(D376,'⚪设计'!$C$85:$I$113,7,FALSE)="","",VLOOKUP(D376,'⚪设计'!$C$85:$I$113,7,FALSE)&amp;",NormalAttack")</f>
        <v/>
      </c>
      <c r="Q376" s="110" t="str">
        <f t="shared" si="14"/>
        <v>1</v>
      </c>
      <c r="R376" s="110" t="str">
        <f t="shared" si="15"/>
        <v>2</v>
      </c>
      <c r="S376" s="110" t="str">
        <f t="shared" si="16"/>
        <v>2</v>
      </c>
    </row>
    <row r="377" spans="2:19" x14ac:dyDescent="0.2">
      <c r="B377" s="57" t="s">
        <v>2737</v>
      </c>
      <c r="C377" s="57" t="s">
        <v>3029</v>
      </c>
      <c r="D377" s="55" t="str">
        <f>VLOOKUP(VLOOKUP(Q377&amp;"_"&amp;R377,活动关卡!$A$60:$Z$83,2+5*S377,FALSE),'⚪设计'!$B$85:$H$114,2,FALSE)</f>
        <v>ResUnit_MiFeng1</v>
      </c>
      <c r="E377" s="55">
        <f>VLOOKUP(VLOOKUP(Q377&amp;"_"&amp;R377,活动关卡!$A$60:$Z$83,2+5*S377,FALSE),'⚪设计'!$B$85:$H$114,6,FALSE)*VLOOKUP(Q377&amp;"_"&amp;R377,活动关卡!$A$60:$Z$83,5,FALSE)</f>
        <v>3</v>
      </c>
      <c r="F377">
        <v>400</v>
      </c>
      <c r="G377" t="b">
        <v>1</v>
      </c>
      <c r="H377">
        <v>1</v>
      </c>
      <c r="I377">
        <v>1</v>
      </c>
      <c r="J377">
        <v>0.25</v>
      </c>
      <c r="K377" s="55">
        <f>VLOOKUP(VLOOKUP(Q377&amp;"_"&amp;R377,活动关卡!$A$60:$Z$83,2+5*S377,FALSE),'⚪设计'!$B$85:$H$114,7,FALSE)</f>
        <v>0.5</v>
      </c>
      <c r="L377" s="57" t="s">
        <v>2445</v>
      </c>
      <c r="M377" t="s">
        <v>468</v>
      </c>
      <c r="N377" t="s">
        <v>469</v>
      </c>
      <c r="O377" t="s">
        <v>470</v>
      </c>
      <c r="P377" s="57" t="str">
        <f>IF(VLOOKUP(D377,'⚪设计'!$C$85:$I$113,7,FALSE)="","",VLOOKUP(D377,'⚪设计'!$C$85:$I$113,7,FALSE)&amp;",NormalAttack")</f>
        <v/>
      </c>
      <c r="Q377" s="110" t="str">
        <f t="shared" si="14"/>
        <v>1</v>
      </c>
      <c r="R377" s="110" t="str">
        <f t="shared" si="15"/>
        <v>3</v>
      </c>
      <c r="S377" s="110" t="str">
        <f t="shared" si="16"/>
        <v>1</v>
      </c>
    </row>
    <row r="378" spans="2:19" x14ac:dyDescent="0.2">
      <c r="B378" s="57" t="s">
        <v>2738</v>
      </c>
      <c r="C378" s="57" t="s">
        <v>3030</v>
      </c>
      <c r="D378" s="55" t="str">
        <f>VLOOKUP(VLOOKUP(Q378&amp;"_"&amp;R378,活动关卡!$A$60:$Z$83,2+5*S378,FALSE),'⚪设计'!$B$85:$H$114,2,FALSE)</f>
        <v>ResUnit_MiFeng2</v>
      </c>
      <c r="E378" s="55">
        <f>VLOOKUP(VLOOKUP(Q378&amp;"_"&amp;R378,活动关卡!$A$60:$Z$83,2+5*S378,FALSE),'⚪设计'!$B$85:$H$114,6,FALSE)*VLOOKUP(Q378&amp;"_"&amp;R378,活动关卡!$A$60:$Z$83,5,FALSE)</f>
        <v>3</v>
      </c>
      <c r="F378">
        <v>400</v>
      </c>
      <c r="G378" t="b">
        <v>1</v>
      </c>
      <c r="H378">
        <v>1</v>
      </c>
      <c r="I378">
        <v>1</v>
      </c>
      <c r="J378">
        <v>0.25</v>
      </c>
      <c r="K378" s="55">
        <f>VLOOKUP(VLOOKUP(Q378&amp;"_"&amp;R378,活动关卡!$A$60:$Z$83,2+5*S378,FALSE),'⚪设计'!$B$85:$H$114,7,FALSE)</f>
        <v>0.8</v>
      </c>
      <c r="L378" s="57" t="s">
        <v>2446</v>
      </c>
      <c r="M378" t="s">
        <v>468</v>
      </c>
      <c r="N378" t="s">
        <v>469</v>
      </c>
      <c r="O378" t="s">
        <v>470</v>
      </c>
      <c r="P378" s="57" t="str">
        <f>IF(VLOOKUP(D378,'⚪设计'!$C$85:$I$113,7,FALSE)="","",VLOOKUP(D378,'⚪设计'!$C$85:$I$113,7,FALSE)&amp;",NormalAttack")</f>
        <v/>
      </c>
      <c r="Q378" s="110" t="str">
        <f t="shared" si="14"/>
        <v>1</v>
      </c>
      <c r="R378" s="110" t="str">
        <f t="shared" si="15"/>
        <v>3</v>
      </c>
      <c r="S378" s="110" t="str">
        <f t="shared" si="16"/>
        <v>2</v>
      </c>
    </row>
    <row r="379" spans="2:19" x14ac:dyDescent="0.2">
      <c r="B379" s="57" t="s">
        <v>2739</v>
      </c>
      <c r="C379" s="57" t="s">
        <v>3031</v>
      </c>
      <c r="D379" s="55" t="str">
        <f>VLOOKUP(VLOOKUP(Q379&amp;"_"&amp;R379,活动关卡!$A$60:$Z$83,2+5*S379,FALSE),'⚪设计'!$B$85:$H$114,2,FALSE)</f>
        <v>ResUnit_XueRen1</v>
      </c>
      <c r="E379" s="55">
        <f>VLOOKUP(VLOOKUP(Q379&amp;"_"&amp;R379,活动关卡!$A$60:$Z$83,2+5*S379,FALSE),'⚪设计'!$B$85:$H$114,6,FALSE)*VLOOKUP(Q379&amp;"_"&amp;R379,活动关卡!$A$60:$Z$83,5,FALSE)</f>
        <v>3</v>
      </c>
      <c r="F379">
        <v>400</v>
      </c>
      <c r="G379" t="b">
        <v>1</v>
      </c>
      <c r="H379">
        <v>1</v>
      </c>
      <c r="I379">
        <v>1</v>
      </c>
      <c r="J379">
        <v>0.25</v>
      </c>
      <c r="K379" s="55">
        <f>VLOOKUP(VLOOKUP(Q379&amp;"_"&amp;R379,活动关卡!$A$60:$Z$83,2+5*S379,FALSE),'⚪设计'!$B$85:$H$114,7,FALSE)</f>
        <v>1</v>
      </c>
      <c r="L379" s="57" t="s">
        <v>2447</v>
      </c>
      <c r="M379" t="s">
        <v>468</v>
      </c>
      <c r="N379" t="s">
        <v>469</v>
      </c>
      <c r="O379" t="s">
        <v>470</v>
      </c>
      <c r="P379" s="57" t="str">
        <f>IF(VLOOKUP(D379,'⚪设计'!$C$85:$I$113,7,FALSE)="","",VLOOKUP(D379,'⚪设计'!$C$85:$I$113,7,FALSE)&amp;",NormalAttack")</f>
        <v/>
      </c>
      <c r="Q379" s="110" t="str">
        <f t="shared" si="14"/>
        <v>1</v>
      </c>
      <c r="R379" s="110" t="str">
        <f t="shared" si="15"/>
        <v>3</v>
      </c>
      <c r="S379" s="110" t="str">
        <f t="shared" si="16"/>
        <v>3</v>
      </c>
    </row>
    <row r="380" spans="2:19" x14ac:dyDescent="0.2">
      <c r="B380" s="57" t="s">
        <v>2740</v>
      </c>
      <c r="C380" s="57" t="s">
        <v>3032</v>
      </c>
      <c r="D380" s="55" t="str">
        <f>VLOOKUP(VLOOKUP(Q380&amp;"_"&amp;R380,活动关卡!$A$60:$Z$83,2+5*S380,FALSE),'⚪设计'!$B$85:$H$114,2,FALSE)</f>
        <v>ResUnit_ZhiZhu1</v>
      </c>
      <c r="E380" s="55">
        <f>VLOOKUP(VLOOKUP(Q380&amp;"_"&amp;R380,活动关卡!$A$60:$Z$83,2+5*S380,FALSE),'⚪设计'!$B$85:$H$114,6,FALSE)*VLOOKUP(Q380&amp;"_"&amp;R380,活动关卡!$A$60:$Z$83,5,FALSE)</f>
        <v>4.5</v>
      </c>
      <c r="F380">
        <v>400</v>
      </c>
      <c r="G380" t="b">
        <v>1</v>
      </c>
      <c r="H380">
        <v>1</v>
      </c>
      <c r="I380">
        <v>1</v>
      </c>
      <c r="J380">
        <v>0.25</v>
      </c>
      <c r="K380" s="55">
        <f>VLOOKUP(VLOOKUP(Q380&amp;"_"&amp;R380,活动关卡!$A$60:$Z$83,2+5*S380,FALSE),'⚪设计'!$B$85:$H$114,7,FALSE)</f>
        <v>1</v>
      </c>
      <c r="L380" s="57" t="s">
        <v>2448</v>
      </c>
      <c r="M380" t="s">
        <v>468</v>
      </c>
      <c r="N380" t="s">
        <v>469</v>
      </c>
      <c r="O380" t="s">
        <v>470</v>
      </c>
      <c r="P380" s="57" t="str">
        <f>IF(VLOOKUP(D380,'⚪设计'!$C$85:$I$113,7,FALSE)="","",VLOOKUP(D380,'⚪设计'!$C$85:$I$113,7,FALSE)&amp;",NormalAttack")</f>
        <v/>
      </c>
      <c r="Q380" s="110" t="str">
        <f t="shared" si="14"/>
        <v>2</v>
      </c>
      <c r="R380" s="110" t="str">
        <f t="shared" si="15"/>
        <v>1</v>
      </c>
      <c r="S380" s="110" t="str">
        <f t="shared" si="16"/>
        <v>1</v>
      </c>
    </row>
    <row r="381" spans="2:19" x14ac:dyDescent="0.2">
      <c r="B381" s="57" t="s">
        <v>2741</v>
      </c>
      <c r="C381" s="57" t="s">
        <v>3033</v>
      </c>
      <c r="D381" s="55" t="str">
        <f>VLOOKUP(VLOOKUP(Q381&amp;"_"&amp;R381,活动关卡!$A$60:$Z$83,2+5*S381,FALSE),'⚪设计'!$B$85:$H$114,2,FALSE)</f>
        <v>ResUnit_XueRen1</v>
      </c>
      <c r="E381" s="55">
        <f>VLOOKUP(VLOOKUP(Q381&amp;"_"&amp;R381,活动关卡!$A$60:$Z$83,2+5*S381,FALSE),'⚪设计'!$B$85:$H$114,6,FALSE)*VLOOKUP(Q381&amp;"_"&amp;R381,活动关卡!$A$60:$Z$83,5,FALSE)</f>
        <v>3</v>
      </c>
      <c r="F381">
        <v>400</v>
      </c>
      <c r="G381" t="b">
        <v>1</v>
      </c>
      <c r="H381">
        <v>1</v>
      </c>
      <c r="I381">
        <v>1</v>
      </c>
      <c r="J381">
        <v>0.25</v>
      </c>
      <c r="K381" s="55">
        <f>VLOOKUP(VLOOKUP(Q381&amp;"_"&amp;R381,活动关卡!$A$60:$Z$83,2+5*S381,FALSE),'⚪设计'!$B$85:$H$114,7,FALSE)</f>
        <v>1</v>
      </c>
      <c r="L381" s="57" t="s">
        <v>2449</v>
      </c>
      <c r="M381" t="s">
        <v>468</v>
      </c>
      <c r="N381" t="s">
        <v>469</v>
      </c>
      <c r="O381" t="s">
        <v>470</v>
      </c>
      <c r="P381" s="57" t="str">
        <f>IF(VLOOKUP(D381,'⚪设计'!$C$85:$I$113,7,FALSE)="","",VLOOKUP(D381,'⚪设计'!$C$85:$I$113,7,FALSE)&amp;",NormalAttack")</f>
        <v/>
      </c>
      <c r="Q381" s="110" t="str">
        <f t="shared" si="14"/>
        <v>2</v>
      </c>
      <c r="R381" s="110" t="str">
        <f t="shared" si="15"/>
        <v>1</v>
      </c>
      <c r="S381" s="110" t="str">
        <f t="shared" si="16"/>
        <v>2</v>
      </c>
    </row>
    <row r="382" spans="2:19" x14ac:dyDescent="0.2">
      <c r="B382" s="57" t="s">
        <v>2742</v>
      </c>
      <c r="C382" s="57" t="s">
        <v>3034</v>
      </c>
      <c r="D382" s="55" t="str">
        <f>VLOOKUP(VLOOKUP(Q382&amp;"_"&amp;R382,活动关卡!$A$60:$Z$83,2+5*S382,FALSE),'⚪设计'!$B$85:$H$114,2,FALSE)</f>
        <v>ResUnit_ZhiZhu1</v>
      </c>
      <c r="E382" s="55">
        <f>VLOOKUP(VLOOKUP(Q382&amp;"_"&amp;R382,活动关卡!$A$60:$Z$83,2+5*S382,FALSE),'⚪设计'!$B$85:$H$114,6,FALSE)*VLOOKUP(Q382&amp;"_"&amp;R382,活动关卡!$A$60:$Z$83,5,FALSE)</f>
        <v>4.5</v>
      </c>
      <c r="F382">
        <v>400</v>
      </c>
      <c r="G382" t="b">
        <v>1</v>
      </c>
      <c r="H382">
        <v>1</v>
      </c>
      <c r="I382">
        <v>1</v>
      </c>
      <c r="J382">
        <v>0.25</v>
      </c>
      <c r="K382" s="55">
        <f>VLOOKUP(VLOOKUP(Q382&amp;"_"&amp;R382,活动关卡!$A$60:$Z$83,2+5*S382,FALSE),'⚪设计'!$B$85:$H$114,7,FALSE)</f>
        <v>1</v>
      </c>
      <c r="L382" s="57" t="s">
        <v>2450</v>
      </c>
      <c r="M382" t="s">
        <v>468</v>
      </c>
      <c r="N382" t="s">
        <v>469</v>
      </c>
      <c r="O382" t="s">
        <v>470</v>
      </c>
      <c r="P382" s="57" t="str">
        <f>IF(VLOOKUP(D382,'⚪设计'!$C$85:$I$113,7,FALSE)="","",VLOOKUP(D382,'⚪设计'!$C$85:$I$113,7,FALSE)&amp;",NormalAttack")</f>
        <v/>
      </c>
      <c r="Q382" s="110" t="str">
        <f t="shared" si="14"/>
        <v>2</v>
      </c>
      <c r="R382" s="110" t="str">
        <f t="shared" si="15"/>
        <v>2</v>
      </c>
      <c r="S382" s="110" t="str">
        <f t="shared" si="16"/>
        <v>1</v>
      </c>
    </row>
    <row r="383" spans="2:19" x14ac:dyDescent="0.2">
      <c r="B383" s="57" t="s">
        <v>2743</v>
      </c>
      <c r="C383" s="57" t="s">
        <v>3035</v>
      </c>
      <c r="D383" s="55" t="str">
        <f>VLOOKUP(VLOOKUP(Q383&amp;"_"&amp;R383,活动关卡!$A$60:$Z$83,2+5*S383,FALSE),'⚪设计'!$B$85:$H$114,2,FALSE)</f>
        <v>ResUnit_MiFeng2</v>
      </c>
      <c r="E383" s="55">
        <f>VLOOKUP(VLOOKUP(Q383&amp;"_"&amp;R383,活动关卡!$A$60:$Z$83,2+5*S383,FALSE),'⚪设计'!$B$85:$H$114,6,FALSE)*VLOOKUP(Q383&amp;"_"&amp;R383,活动关卡!$A$60:$Z$83,5,FALSE)</f>
        <v>3</v>
      </c>
      <c r="F383">
        <v>400</v>
      </c>
      <c r="G383" t="b">
        <v>1</v>
      </c>
      <c r="H383">
        <v>1</v>
      </c>
      <c r="I383">
        <v>1</v>
      </c>
      <c r="J383">
        <v>0.25</v>
      </c>
      <c r="K383" s="55">
        <f>VLOOKUP(VLOOKUP(Q383&amp;"_"&amp;R383,活动关卡!$A$60:$Z$83,2+5*S383,FALSE),'⚪设计'!$B$85:$H$114,7,FALSE)</f>
        <v>0.8</v>
      </c>
      <c r="L383" s="57" t="s">
        <v>2451</v>
      </c>
      <c r="M383" t="s">
        <v>468</v>
      </c>
      <c r="N383" t="s">
        <v>469</v>
      </c>
      <c r="O383" t="s">
        <v>470</v>
      </c>
      <c r="P383" s="57" t="str">
        <f>IF(VLOOKUP(D383,'⚪设计'!$C$85:$I$113,7,FALSE)="","",VLOOKUP(D383,'⚪设计'!$C$85:$I$113,7,FALSE)&amp;",NormalAttack")</f>
        <v/>
      </c>
      <c r="Q383" s="110" t="str">
        <f t="shared" si="14"/>
        <v>2</v>
      </c>
      <c r="R383" s="110" t="str">
        <f t="shared" si="15"/>
        <v>2</v>
      </c>
      <c r="S383" s="110" t="str">
        <f t="shared" si="16"/>
        <v>2</v>
      </c>
    </row>
    <row r="384" spans="2:19" x14ac:dyDescent="0.2">
      <c r="B384" s="57" t="s">
        <v>2744</v>
      </c>
      <c r="C384" s="57" t="s">
        <v>3036</v>
      </c>
      <c r="D384" s="55" t="str">
        <f>VLOOKUP(VLOOKUP(Q384&amp;"_"&amp;R384,活动关卡!$A$60:$Z$83,2+5*S384,FALSE),'⚪设计'!$B$85:$H$114,2,FALSE)</f>
        <v>ResUnit_XueRen1</v>
      </c>
      <c r="E384" s="55">
        <f>VLOOKUP(VLOOKUP(Q384&amp;"_"&amp;R384,活动关卡!$A$60:$Z$83,2+5*S384,FALSE),'⚪设计'!$B$85:$H$114,6,FALSE)*VLOOKUP(Q384&amp;"_"&amp;R384,活动关卡!$A$60:$Z$83,5,FALSE)</f>
        <v>3</v>
      </c>
      <c r="F384">
        <v>400</v>
      </c>
      <c r="G384" t="b">
        <v>1</v>
      </c>
      <c r="H384">
        <v>1</v>
      </c>
      <c r="I384">
        <v>1</v>
      </c>
      <c r="J384">
        <v>0.25</v>
      </c>
      <c r="K384" s="55">
        <f>VLOOKUP(VLOOKUP(Q384&amp;"_"&amp;R384,活动关卡!$A$60:$Z$83,2+5*S384,FALSE),'⚪设计'!$B$85:$H$114,7,FALSE)</f>
        <v>1</v>
      </c>
      <c r="L384" s="57" t="s">
        <v>2452</v>
      </c>
      <c r="M384" t="s">
        <v>468</v>
      </c>
      <c r="N384" t="s">
        <v>469</v>
      </c>
      <c r="O384" t="s">
        <v>470</v>
      </c>
      <c r="P384" s="57" t="str">
        <f>IF(VLOOKUP(D384,'⚪设计'!$C$85:$I$113,7,FALSE)="","",VLOOKUP(D384,'⚪设计'!$C$85:$I$113,7,FALSE)&amp;",NormalAttack")</f>
        <v/>
      </c>
      <c r="Q384" s="110" t="str">
        <f t="shared" si="14"/>
        <v>2</v>
      </c>
      <c r="R384" s="110" t="str">
        <f t="shared" si="15"/>
        <v>2</v>
      </c>
      <c r="S384" s="110" t="str">
        <f t="shared" si="16"/>
        <v>3</v>
      </c>
    </row>
    <row r="385" spans="2:19" x14ac:dyDescent="0.2">
      <c r="B385" s="57" t="s">
        <v>2745</v>
      </c>
      <c r="C385" s="57" t="s">
        <v>3037</v>
      </c>
      <c r="D385" s="55" t="str">
        <f>VLOOKUP(VLOOKUP(Q385&amp;"_"&amp;R385,活动关卡!$A$60:$Z$83,2+5*S385,FALSE),'⚪设计'!$B$85:$H$114,2,FALSE)</f>
        <v>ResUnit_ZhiZhu1</v>
      </c>
      <c r="E385" s="55">
        <f>VLOOKUP(VLOOKUP(Q385&amp;"_"&amp;R385,活动关卡!$A$60:$Z$83,2+5*S385,FALSE),'⚪设计'!$B$85:$H$114,6,FALSE)*VLOOKUP(Q385&amp;"_"&amp;R385,活动关卡!$A$60:$Z$83,5,FALSE)</f>
        <v>4.5</v>
      </c>
      <c r="F385">
        <v>400</v>
      </c>
      <c r="G385" t="b">
        <v>1</v>
      </c>
      <c r="H385">
        <v>1</v>
      </c>
      <c r="I385">
        <v>1</v>
      </c>
      <c r="J385">
        <v>0.25</v>
      </c>
      <c r="K385" s="55">
        <f>VLOOKUP(VLOOKUP(Q385&amp;"_"&amp;R385,活动关卡!$A$60:$Z$83,2+5*S385,FALSE),'⚪设计'!$B$85:$H$114,7,FALSE)</f>
        <v>1</v>
      </c>
      <c r="L385" s="57" t="s">
        <v>2453</v>
      </c>
      <c r="M385" t="s">
        <v>468</v>
      </c>
      <c r="N385" t="s">
        <v>469</v>
      </c>
      <c r="O385" t="s">
        <v>470</v>
      </c>
      <c r="P385" s="57" t="str">
        <f>IF(VLOOKUP(D385,'⚪设计'!$C$85:$I$113,7,FALSE)="","",VLOOKUP(D385,'⚪设计'!$C$85:$I$113,7,FALSE)&amp;",NormalAttack")</f>
        <v/>
      </c>
      <c r="Q385" s="110" t="str">
        <f t="shared" si="14"/>
        <v>2</v>
      </c>
      <c r="R385" s="110" t="str">
        <f t="shared" si="15"/>
        <v>3</v>
      </c>
      <c r="S385" s="110" t="str">
        <f t="shared" si="16"/>
        <v>1</v>
      </c>
    </row>
    <row r="386" spans="2:19" x14ac:dyDescent="0.2">
      <c r="B386" s="57" t="s">
        <v>2746</v>
      </c>
      <c r="C386" s="57" t="s">
        <v>3038</v>
      </c>
      <c r="D386" s="55" t="str">
        <f>VLOOKUP(VLOOKUP(Q386&amp;"_"&amp;R386,活动关卡!$A$60:$Z$83,2+5*S386,FALSE),'⚪设计'!$B$85:$H$114,2,FALSE)</f>
        <v>ResUnit_BianFu1</v>
      </c>
      <c r="E386" s="55">
        <f>VLOOKUP(VLOOKUP(Q386&amp;"_"&amp;R386,活动关卡!$A$60:$Z$83,2+5*S386,FALSE),'⚪设计'!$B$85:$H$114,6,FALSE)*VLOOKUP(Q386&amp;"_"&amp;R386,活动关卡!$A$60:$Z$83,5,FALSE)</f>
        <v>3</v>
      </c>
      <c r="F386">
        <v>400</v>
      </c>
      <c r="G386" t="b">
        <v>1</v>
      </c>
      <c r="H386">
        <v>1</v>
      </c>
      <c r="I386">
        <v>1</v>
      </c>
      <c r="J386">
        <v>0.25</v>
      </c>
      <c r="K386" s="55">
        <f>VLOOKUP(VLOOKUP(Q386&amp;"_"&amp;R386,活动关卡!$A$60:$Z$83,2+5*S386,FALSE),'⚪设计'!$B$85:$H$114,7,FALSE)</f>
        <v>0.5</v>
      </c>
      <c r="L386" s="57" t="s">
        <v>2454</v>
      </c>
      <c r="M386" t="s">
        <v>468</v>
      </c>
      <c r="N386" t="s">
        <v>469</v>
      </c>
      <c r="O386" t="s">
        <v>470</v>
      </c>
      <c r="P386" s="57" t="str">
        <f>IF(VLOOKUP(D386,'⚪设计'!$C$85:$I$113,7,FALSE)="","",VLOOKUP(D386,'⚪设计'!$C$85:$I$113,7,FALSE)&amp;",NormalAttack")</f>
        <v/>
      </c>
      <c r="Q386" s="110" t="str">
        <f t="shared" si="14"/>
        <v>2</v>
      </c>
      <c r="R386" s="110" t="str">
        <f t="shared" si="15"/>
        <v>3</v>
      </c>
      <c r="S386" s="110" t="str">
        <f t="shared" si="16"/>
        <v>2</v>
      </c>
    </row>
    <row r="387" spans="2:19" x14ac:dyDescent="0.2">
      <c r="B387" s="57" t="s">
        <v>2747</v>
      </c>
      <c r="C387" s="57" t="s">
        <v>3039</v>
      </c>
      <c r="D387" s="55" t="str">
        <f>VLOOKUP(VLOOKUP(Q387&amp;"_"&amp;R387,活动关卡!$A$60:$Z$83,2+5*S387,FALSE),'⚪设计'!$B$85:$H$114,2,FALSE)</f>
        <v>ResUnit_XueRen1</v>
      </c>
      <c r="E387" s="55">
        <f>VLOOKUP(VLOOKUP(Q387&amp;"_"&amp;R387,活动关卡!$A$60:$Z$83,2+5*S387,FALSE),'⚪设计'!$B$85:$H$114,6,FALSE)*VLOOKUP(Q387&amp;"_"&amp;R387,活动关卡!$A$60:$Z$83,5,FALSE)</f>
        <v>3</v>
      </c>
      <c r="F387">
        <v>400</v>
      </c>
      <c r="G387" t="b">
        <v>1</v>
      </c>
      <c r="H387">
        <v>1</v>
      </c>
      <c r="I387">
        <v>1</v>
      </c>
      <c r="J387">
        <v>0.25</v>
      </c>
      <c r="K387" s="55">
        <f>VLOOKUP(VLOOKUP(Q387&amp;"_"&amp;R387,活动关卡!$A$60:$Z$83,2+5*S387,FALSE),'⚪设计'!$B$85:$H$114,7,FALSE)</f>
        <v>1</v>
      </c>
      <c r="L387" s="57" t="s">
        <v>2455</v>
      </c>
      <c r="M387" t="s">
        <v>468</v>
      </c>
      <c r="N387" t="s">
        <v>469</v>
      </c>
      <c r="O387" t="s">
        <v>470</v>
      </c>
      <c r="P387" s="57" t="str">
        <f>IF(VLOOKUP(D387,'⚪设计'!$C$85:$I$113,7,FALSE)="","",VLOOKUP(D387,'⚪设计'!$C$85:$I$113,7,FALSE)&amp;",NormalAttack")</f>
        <v/>
      </c>
      <c r="Q387" s="110" t="str">
        <f t="shared" si="14"/>
        <v>2</v>
      </c>
      <c r="R387" s="110" t="str">
        <f t="shared" si="15"/>
        <v>3</v>
      </c>
      <c r="S387" s="110" t="str">
        <f t="shared" si="16"/>
        <v>3</v>
      </c>
    </row>
    <row r="388" spans="2:19" x14ac:dyDescent="0.2">
      <c r="B388" s="57" t="s">
        <v>2748</v>
      </c>
      <c r="C388" s="57" t="s">
        <v>3040</v>
      </c>
      <c r="D388" s="55" t="str">
        <f>VLOOKUP(VLOOKUP(Q388&amp;"_"&amp;R388,活动关卡!$A$60:$Z$83,2+5*S388,FALSE),'⚪设计'!$B$85:$H$114,2,FALSE)</f>
        <v>ResUnit_ZhiZhu1</v>
      </c>
      <c r="E388" s="55">
        <f>VLOOKUP(VLOOKUP(Q388&amp;"_"&amp;R388,活动关卡!$A$60:$Z$83,2+5*S388,FALSE),'⚪设计'!$B$85:$H$114,6,FALSE)*VLOOKUP(Q388&amp;"_"&amp;R388,活动关卡!$A$60:$Z$83,5,FALSE)</f>
        <v>4.5</v>
      </c>
      <c r="F388">
        <v>400</v>
      </c>
      <c r="G388" t="b">
        <v>1</v>
      </c>
      <c r="H388">
        <v>1</v>
      </c>
      <c r="I388">
        <v>1</v>
      </c>
      <c r="J388">
        <v>0.25</v>
      </c>
      <c r="K388" s="55">
        <f>VLOOKUP(VLOOKUP(Q388&amp;"_"&amp;R388,活动关卡!$A$60:$Z$83,2+5*S388,FALSE),'⚪设计'!$B$85:$H$114,7,FALSE)</f>
        <v>1</v>
      </c>
      <c r="L388" s="57" t="s">
        <v>2456</v>
      </c>
      <c r="M388" t="s">
        <v>468</v>
      </c>
      <c r="N388" t="s">
        <v>469</v>
      </c>
      <c r="O388" t="s">
        <v>470</v>
      </c>
      <c r="P388" s="57" t="str">
        <f>IF(VLOOKUP(D388,'⚪设计'!$C$85:$I$113,7,FALSE)="","",VLOOKUP(D388,'⚪设计'!$C$85:$I$113,7,FALSE)&amp;",NormalAttack")</f>
        <v/>
      </c>
      <c r="Q388" s="110" t="str">
        <f t="shared" si="14"/>
        <v>2</v>
      </c>
      <c r="R388" s="110" t="str">
        <f t="shared" si="15"/>
        <v>4</v>
      </c>
      <c r="S388" s="110" t="str">
        <f t="shared" si="16"/>
        <v>1</v>
      </c>
    </row>
    <row r="389" spans="2:19" x14ac:dyDescent="0.2">
      <c r="B389" s="57" t="s">
        <v>2749</v>
      </c>
      <c r="C389" s="57" t="s">
        <v>3041</v>
      </c>
      <c r="D389" s="55" t="str">
        <f>VLOOKUP(VLOOKUP(Q389&amp;"_"&amp;R389,活动关卡!$A$60:$Z$83,2+5*S389,FALSE),'⚪设计'!$B$85:$H$114,2,FALSE)</f>
        <v>ResUnit_BianFu1</v>
      </c>
      <c r="E389" s="55">
        <f>VLOOKUP(VLOOKUP(Q389&amp;"_"&amp;R389,活动关卡!$A$60:$Z$83,2+5*S389,FALSE),'⚪设计'!$B$85:$H$114,6,FALSE)*VLOOKUP(Q389&amp;"_"&amp;R389,活动关卡!$A$60:$Z$83,5,FALSE)</f>
        <v>3</v>
      </c>
      <c r="F389">
        <v>400</v>
      </c>
      <c r="G389" t="b">
        <v>1</v>
      </c>
      <c r="H389">
        <v>1</v>
      </c>
      <c r="I389">
        <v>1</v>
      </c>
      <c r="J389">
        <v>0.25</v>
      </c>
      <c r="K389" s="55">
        <f>VLOOKUP(VLOOKUP(Q389&amp;"_"&amp;R389,活动关卡!$A$60:$Z$83,2+5*S389,FALSE),'⚪设计'!$B$85:$H$114,7,FALSE)</f>
        <v>0.5</v>
      </c>
      <c r="L389" s="57" t="s">
        <v>2457</v>
      </c>
      <c r="M389" t="s">
        <v>468</v>
      </c>
      <c r="N389" t="s">
        <v>469</v>
      </c>
      <c r="O389" t="s">
        <v>470</v>
      </c>
      <c r="P389" s="57" t="str">
        <f>IF(VLOOKUP(D389,'⚪设计'!$C$85:$I$113,7,FALSE)="","",VLOOKUP(D389,'⚪设计'!$C$85:$I$113,7,FALSE)&amp;",NormalAttack")</f>
        <v/>
      </c>
      <c r="Q389" s="110" t="str">
        <f t="shared" si="14"/>
        <v>2</v>
      </c>
      <c r="R389" s="110" t="str">
        <f t="shared" si="15"/>
        <v>4</v>
      </c>
      <c r="S389" s="110" t="str">
        <f t="shared" si="16"/>
        <v>2</v>
      </c>
    </row>
    <row r="390" spans="2:19" x14ac:dyDescent="0.2">
      <c r="B390" s="57" t="s">
        <v>2750</v>
      </c>
      <c r="C390" s="57" t="s">
        <v>3042</v>
      </c>
      <c r="D390" s="55" t="str">
        <f>VLOOKUP(VLOOKUP(Q390&amp;"_"&amp;R390,活动关卡!$A$60:$Z$83,2+5*S390,FALSE),'⚪设计'!$B$85:$H$114,2,FALSE)</f>
        <v>ResUnit_MiFeng2</v>
      </c>
      <c r="E390" s="55">
        <f>VLOOKUP(VLOOKUP(Q390&amp;"_"&amp;R390,活动关卡!$A$60:$Z$83,2+5*S390,FALSE),'⚪设计'!$B$85:$H$114,6,FALSE)*VLOOKUP(Q390&amp;"_"&amp;R390,活动关卡!$A$60:$Z$83,5,FALSE)</f>
        <v>3</v>
      </c>
      <c r="F390">
        <v>400</v>
      </c>
      <c r="G390" t="b">
        <v>1</v>
      </c>
      <c r="H390">
        <v>1</v>
      </c>
      <c r="I390">
        <v>1</v>
      </c>
      <c r="J390">
        <v>0.25</v>
      </c>
      <c r="K390" s="55">
        <f>VLOOKUP(VLOOKUP(Q390&amp;"_"&amp;R390,活动关卡!$A$60:$Z$83,2+5*S390,FALSE),'⚪设计'!$B$85:$H$114,7,FALSE)</f>
        <v>0.8</v>
      </c>
      <c r="L390" s="57" t="s">
        <v>2458</v>
      </c>
      <c r="M390" t="s">
        <v>468</v>
      </c>
      <c r="N390" t="s">
        <v>469</v>
      </c>
      <c r="O390" t="s">
        <v>470</v>
      </c>
      <c r="P390" s="57" t="str">
        <f>IF(VLOOKUP(D390,'⚪设计'!$C$85:$I$113,7,FALSE)="","",VLOOKUP(D390,'⚪设计'!$C$85:$I$113,7,FALSE)&amp;",NormalAttack")</f>
        <v/>
      </c>
      <c r="Q390" s="110" t="str">
        <f t="shared" si="14"/>
        <v>2</v>
      </c>
      <c r="R390" s="110" t="str">
        <f t="shared" si="15"/>
        <v>4</v>
      </c>
      <c r="S390" s="110" t="str">
        <f t="shared" si="16"/>
        <v>3</v>
      </c>
    </row>
    <row r="391" spans="2:19" x14ac:dyDescent="0.2">
      <c r="B391" s="57" t="s">
        <v>2751</v>
      </c>
      <c r="C391" s="57" t="s">
        <v>3043</v>
      </c>
      <c r="D391" s="55" t="str">
        <f>VLOOKUP(VLOOKUP(Q391&amp;"_"&amp;R391,活动关卡!$A$60:$Z$83,2+5*S391,FALSE),'⚪设计'!$B$85:$H$114,2,FALSE)</f>
        <v>ResUnit_XueRen1</v>
      </c>
      <c r="E391" s="55">
        <f>VLOOKUP(VLOOKUP(Q391&amp;"_"&amp;R391,活动关卡!$A$60:$Z$83,2+5*S391,FALSE),'⚪设计'!$B$85:$H$114,6,FALSE)*VLOOKUP(Q391&amp;"_"&amp;R391,活动关卡!$A$60:$Z$83,5,FALSE)</f>
        <v>3</v>
      </c>
      <c r="F391">
        <v>400</v>
      </c>
      <c r="G391" t="b">
        <v>1</v>
      </c>
      <c r="H391">
        <v>1</v>
      </c>
      <c r="I391">
        <v>1</v>
      </c>
      <c r="J391">
        <v>0.25</v>
      </c>
      <c r="K391" s="55">
        <f>VLOOKUP(VLOOKUP(Q391&amp;"_"&amp;R391,活动关卡!$A$60:$Z$83,2+5*S391,FALSE),'⚪设计'!$B$85:$H$114,7,FALSE)</f>
        <v>1</v>
      </c>
      <c r="L391" s="57" t="s">
        <v>2459</v>
      </c>
      <c r="M391" t="s">
        <v>468</v>
      </c>
      <c r="N391" t="s">
        <v>469</v>
      </c>
      <c r="O391" t="s">
        <v>470</v>
      </c>
      <c r="P391" s="57" t="str">
        <f>IF(VLOOKUP(D391,'⚪设计'!$C$85:$I$113,7,FALSE)="","",VLOOKUP(D391,'⚪设计'!$C$85:$I$113,7,FALSE)&amp;",NormalAttack")</f>
        <v/>
      </c>
      <c r="Q391" s="110" t="str">
        <f t="shared" si="14"/>
        <v>2</v>
      </c>
      <c r="R391" s="110" t="str">
        <f t="shared" si="15"/>
        <v>4</v>
      </c>
      <c r="S391" s="110" t="str">
        <f t="shared" si="16"/>
        <v>4</v>
      </c>
    </row>
    <row r="392" spans="2:19" x14ac:dyDescent="0.2">
      <c r="B392" s="57" t="s">
        <v>2752</v>
      </c>
      <c r="C392" s="57" t="s">
        <v>3044</v>
      </c>
      <c r="D392" s="55" t="str">
        <f>VLOOKUP(VLOOKUP(Q392&amp;"_"&amp;R392,活动关卡!$A$60:$Z$83,2+5*S392,FALSE),'⚪设计'!$B$85:$H$114,2,FALSE)</f>
        <v>ResUnit_ZhiZhu1</v>
      </c>
      <c r="E392" s="55">
        <f>VLOOKUP(VLOOKUP(Q392&amp;"_"&amp;R392,活动关卡!$A$60:$Z$83,2+5*S392,FALSE),'⚪设计'!$B$85:$H$114,6,FALSE)*VLOOKUP(Q392&amp;"_"&amp;R392,活动关卡!$A$60:$Z$83,5,FALSE)</f>
        <v>4.5</v>
      </c>
      <c r="F392">
        <v>400</v>
      </c>
      <c r="G392" t="b">
        <v>1</v>
      </c>
      <c r="H392">
        <v>1</v>
      </c>
      <c r="I392">
        <v>1</v>
      </c>
      <c r="J392">
        <v>0.25</v>
      </c>
      <c r="K392" s="55">
        <f>VLOOKUP(VLOOKUP(Q392&amp;"_"&amp;R392,活动关卡!$A$60:$Z$83,2+5*S392,FALSE),'⚪设计'!$B$85:$H$114,7,FALSE)</f>
        <v>1</v>
      </c>
      <c r="L392" s="57" t="s">
        <v>2460</v>
      </c>
      <c r="M392" t="s">
        <v>468</v>
      </c>
      <c r="N392" t="s">
        <v>469</v>
      </c>
      <c r="O392" t="s">
        <v>470</v>
      </c>
      <c r="P392" s="57" t="str">
        <f>IF(VLOOKUP(D392,'⚪设计'!$C$85:$I$113,7,FALSE)="","",VLOOKUP(D392,'⚪设计'!$C$85:$I$113,7,FALSE)&amp;",NormalAttack")</f>
        <v/>
      </c>
      <c r="Q392" s="110" t="str">
        <f t="shared" si="14"/>
        <v>2</v>
      </c>
      <c r="R392" s="110" t="str">
        <f t="shared" si="15"/>
        <v>5</v>
      </c>
      <c r="S392" s="110" t="str">
        <f t="shared" si="16"/>
        <v>1</v>
      </c>
    </row>
    <row r="393" spans="2:19" x14ac:dyDescent="0.2">
      <c r="B393" s="57" t="s">
        <v>2753</v>
      </c>
      <c r="C393" s="57" t="s">
        <v>3045</v>
      </c>
      <c r="D393" s="55" t="str">
        <f>VLOOKUP(VLOOKUP(Q393&amp;"_"&amp;R393,活动关卡!$A$60:$Z$83,2+5*S393,FALSE),'⚪设计'!$B$85:$H$114,2,FALSE)</f>
        <v>ResUnit_BianFu1</v>
      </c>
      <c r="E393" s="55">
        <f>VLOOKUP(VLOOKUP(Q393&amp;"_"&amp;R393,活动关卡!$A$60:$Z$83,2+5*S393,FALSE),'⚪设计'!$B$85:$H$114,6,FALSE)*VLOOKUP(Q393&amp;"_"&amp;R393,活动关卡!$A$60:$Z$83,5,FALSE)</f>
        <v>3</v>
      </c>
      <c r="F393">
        <v>400</v>
      </c>
      <c r="G393" t="b">
        <v>1</v>
      </c>
      <c r="H393">
        <v>1</v>
      </c>
      <c r="I393">
        <v>1</v>
      </c>
      <c r="J393">
        <v>0.25</v>
      </c>
      <c r="K393" s="55">
        <f>VLOOKUP(VLOOKUP(Q393&amp;"_"&amp;R393,活动关卡!$A$60:$Z$83,2+5*S393,FALSE),'⚪设计'!$B$85:$H$114,7,FALSE)</f>
        <v>0.5</v>
      </c>
      <c r="L393" s="57" t="s">
        <v>2461</v>
      </c>
      <c r="M393" t="s">
        <v>468</v>
      </c>
      <c r="N393" t="s">
        <v>469</v>
      </c>
      <c r="O393" t="s">
        <v>470</v>
      </c>
      <c r="P393" s="57" t="str">
        <f>IF(VLOOKUP(D393,'⚪设计'!$C$85:$I$113,7,FALSE)="","",VLOOKUP(D393,'⚪设计'!$C$85:$I$113,7,FALSE)&amp;",NormalAttack")</f>
        <v/>
      </c>
      <c r="Q393" s="110" t="str">
        <f t="shared" si="14"/>
        <v>2</v>
      </c>
      <c r="R393" s="110" t="str">
        <f t="shared" si="15"/>
        <v>5</v>
      </c>
      <c r="S393" s="110" t="str">
        <f t="shared" si="16"/>
        <v>2</v>
      </c>
    </row>
    <row r="394" spans="2:19" x14ac:dyDescent="0.2">
      <c r="B394" s="57" t="s">
        <v>2754</v>
      </c>
      <c r="C394" s="57" t="s">
        <v>3046</v>
      </c>
      <c r="D394" s="55" t="str">
        <f>VLOOKUP(VLOOKUP(Q394&amp;"_"&amp;R394,活动关卡!$A$60:$Z$83,2+5*S394,FALSE),'⚪设计'!$B$85:$H$114,2,FALSE)</f>
        <v>ResUnit_MiFeng2</v>
      </c>
      <c r="E394" s="55">
        <f>VLOOKUP(VLOOKUP(Q394&amp;"_"&amp;R394,活动关卡!$A$60:$Z$83,2+5*S394,FALSE),'⚪设计'!$B$85:$H$114,6,FALSE)*VLOOKUP(Q394&amp;"_"&amp;R394,活动关卡!$A$60:$Z$83,5,FALSE)</f>
        <v>3</v>
      </c>
      <c r="F394">
        <v>400</v>
      </c>
      <c r="G394" t="b">
        <v>1</v>
      </c>
      <c r="H394">
        <v>1</v>
      </c>
      <c r="I394">
        <v>1</v>
      </c>
      <c r="J394">
        <v>0.25</v>
      </c>
      <c r="K394" s="55">
        <f>VLOOKUP(VLOOKUP(Q394&amp;"_"&amp;R394,活动关卡!$A$60:$Z$83,2+5*S394,FALSE),'⚪设计'!$B$85:$H$114,7,FALSE)</f>
        <v>0.8</v>
      </c>
      <c r="L394" s="57" t="s">
        <v>2462</v>
      </c>
      <c r="M394" t="s">
        <v>468</v>
      </c>
      <c r="N394" t="s">
        <v>469</v>
      </c>
      <c r="O394" t="s">
        <v>470</v>
      </c>
      <c r="P394" s="57" t="str">
        <f>IF(VLOOKUP(D394,'⚪设计'!$C$85:$I$113,7,FALSE)="","",VLOOKUP(D394,'⚪设计'!$C$85:$I$113,7,FALSE)&amp;",NormalAttack")</f>
        <v/>
      </c>
      <c r="Q394" s="110" t="str">
        <f t="shared" si="14"/>
        <v>2</v>
      </c>
      <c r="R394" s="110" t="str">
        <f t="shared" si="15"/>
        <v>5</v>
      </c>
      <c r="S394" s="110" t="str">
        <f t="shared" si="16"/>
        <v>3</v>
      </c>
    </row>
    <row r="395" spans="2:19" x14ac:dyDescent="0.2">
      <c r="B395" s="57" t="s">
        <v>2755</v>
      </c>
      <c r="C395" s="57" t="s">
        <v>3047</v>
      </c>
      <c r="D395" s="55" t="str">
        <f>VLOOKUP(VLOOKUP(Q395&amp;"_"&amp;R395,活动关卡!$A$60:$Z$83,2+5*S395,FALSE),'⚪设计'!$B$85:$H$114,2,FALSE)</f>
        <v>ResUnit_XueRen1</v>
      </c>
      <c r="E395" s="55">
        <f>VLOOKUP(VLOOKUP(Q395&amp;"_"&amp;R395,活动关卡!$A$60:$Z$83,2+5*S395,FALSE),'⚪设计'!$B$85:$H$114,6,FALSE)*VLOOKUP(Q395&amp;"_"&amp;R395,活动关卡!$A$60:$Z$83,5,FALSE)</f>
        <v>3</v>
      </c>
      <c r="F395">
        <v>400</v>
      </c>
      <c r="G395" t="b">
        <v>1</v>
      </c>
      <c r="H395">
        <v>1</v>
      </c>
      <c r="I395">
        <v>1</v>
      </c>
      <c r="J395">
        <v>0.25</v>
      </c>
      <c r="K395" s="55">
        <f>VLOOKUP(VLOOKUP(Q395&amp;"_"&amp;R395,活动关卡!$A$60:$Z$83,2+5*S395,FALSE),'⚪设计'!$B$85:$H$114,7,FALSE)</f>
        <v>1</v>
      </c>
      <c r="L395" s="57" t="s">
        <v>2463</v>
      </c>
      <c r="M395" t="s">
        <v>468</v>
      </c>
      <c r="N395" t="s">
        <v>469</v>
      </c>
      <c r="O395" t="s">
        <v>470</v>
      </c>
      <c r="P395" s="57" t="str">
        <f>IF(VLOOKUP(D395,'⚪设计'!$C$85:$I$113,7,FALSE)="","",VLOOKUP(D395,'⚪设计'!$C$85:$I$113,7,FALSE)&amp;",NormalAttack")</f>
        <v/>
      </c>
      <c r="Q395" s="110" t="str">
        <f t="shared" si="14"/>
        <v>2</v>
      </c>
      <c r="R395" s="110" t="str">
        <f t="shared" si="15"/>
        <v>5</v>
      </c>
      <c r="S395" s="110" t="str">
        <f t="shared" si="16"/>
        <v>4</v>
      </c>
    </row>
    <row r="396" spans="2:19" x14ac:dyDescent="0.2">
      <c r="B396" s="57" t="s">
        <v>2756</v>
      </c>
      <c r="C396" s="57" t="s">
        <v>3048</v>
      </c>
      <c r="D396" s="55" t="str">
        <f>VLOOKUP(VLOOKUP(Q396&amp;"_"&amp;R396,活动关卡!$A$60:$Z$83,2+5*S396,FALSE),'⚪设计'!$B$85:$H$114,2,FALSE)</f>
        <v>ResUnit_ZhongZi1</v>
      </c>
      <c r="E396" s="55">
        <f>VLOOKUP(VLOOKUP(Q396&amp;"_"&amp;R396,活动关卡!$A$60:$Z$83,2+5*S396,FALSE),'⚪设计'!$B$85:$H$114,6,FALSE)*VLOOKUP(Q396&amp;"_"&amp;R396,活动关卡!$A$60:$Z$83,5,FALSE)</f>
        <v>3</v>
      </c>
      <c r="F396">
        <v>400</v>
      </c>
      <c r="G396" t="b">
        <v>1</v>
      </c>
      <c r="H396">
        <v>1</v>
      </c>
      <c r="I396">
        <v>1</v>
      </c>
      <c r="J396">
        <v>0.25</v>
      </c>
      <c r="K396" s="55">
        <f>VLOOKUP(VLOOKUP(Q396&amp;"_"&amp;R396,活动关卡!$A$60:$Z$83,2+5*S396,FALSE),'⚪设计'!$B$85:$H$114,7,FALSE)</f>
        <v>1</v>
      </c>
      <c r="L396" s="57" t="s">
        <v>2464</v>
      </c>
      <c r="M396" t="s">
        <v>468</v>
      </c>
      <c r="N396" t="s">
        <v>469</v>
      </c>
      <c r="O396" t="s">
        <v>470</v>
      </c>
      <c r="P396" s="57" t="str">
        <f>IF(VLOOKUP(D396,'⚪设计'!$C$85:$I$113,7,FALSE)="","",VLOOKUP(D396,'⚪设计'!$C$85:$I$113,7,FALSE)&amp;",NormalAttack")</f>
        <v>Skill_Monster_Heal,NormalAttack</v>
      </c>
      <c r="Q396" s="110" t="str">
        <f t="shared" si="14"/>
        <v>3</v>
      </c>
      <c r="R396" s="110" t="str">
        <f t="shared" si="15"/>
        <v>1</v>
      </c>
      <c r="S396" s="110" t="str">
        <f t="shared" si="16"/>
        <v>1</v>
      </c>
    </row>
    <row r="397" spans="2:19" x14ac:dyDescent="0.2">
      <c r="B397" s="57" t="s">
        <v>2757</v>
      </c>
      <c r="C397" s="57" t="s">
        <v>3049</v>
      </c>
      <c r="D397" s="55" t="str">
        <f>VLOOKUP(VLOOKUP(Q397&amp;"_"&amp;R397,活动关卡!$A$60:$Z$83,2+5*S397,FALSE),'⚪设计'!$B$85:$H$114,2,FALSE)</f>
        <v>ResUnit_XueRen2</v>
      </c>
      <c r="E397" s="55">
        <f>VLOOKUP(VLOOKUP(Q397&amp;"_"&amp;R397,活动关卡!$A$60:$Z$83,2+5*S397,FALSE),'⚪设计'!$B$85:$H$114,6,FALSE)*VLOOKUP(Q397&amp;"_"&amp;R397,活动关卡!$A$60:$Z$83,5,FALSE)</f>
        <v>3</v>
      </c>
      <c r="F397">
        <v>400</v>
      </c>
      <c r="G397" t="b">
        <v>1</v>
      </c>
      <c r="H397">
        <v>1</v>
      </c>
      <c r="I397">
        <v>1</v>
      </c>
      <c r="J397">
        <v>0.25</v>
      </c>
      <c r="K397" s="55">
        <f>VLOOKUP(VLOOKUP(Q397&amp;"_"&amp;R397,活动关卡!$A$60:$Z$83,2+5*S397,FALSE),'⚪设计'!$B$85:$H$114,7,FALSE)</f>
        <v>1.2</v>
      </c>
      <c r="L397" s="57" t="s">
        <v>2465</v>
      </c>
      <c r="M397" t="s">
        <v>468</v>
      </c>
      <c r="N397" t="s">
        <v>469</v>
      </c>
      <c r="O397" t="s">
        <v>470</v>
      </c>
      <c r="P397" s="57" t="str">
        <f>IF(VLOOKUP(D397,'⚪设计'!$C$85:$I$113,7,FALSE)="","",VLOOKUP(D397,'⚪设计'!$C$85:$I$113,7,FALSE)&amp;",NormalAttack")</f>
        <v/>
      </c>
      <c r="Q397" s="110" t="str">
        <f t="shared" si="14"/>
        <v>3</v>
      </c>
      <c r="R397" s="110" t="str">
        <f t="shared" si="15"/>
        <v>1</v>
      </c>
      <c r="S397" s="110" t="str">
        <f t="shared" si="16"/>
        <v>2</v>
      </c>
    </row>
    <row r="398" spans="2:19" x14ac:dyDescent="0.2">
      <c r="B398" s="57" t="s">
        <v>2758</v>
      </c>
      <c r="C398" s="57" t="s">
        <v>3050</v>
      </c>
      <c r="D398" s="55" t="str">
        <f>VLOOKUP(VLOOKUP(Q398&amp;"_"&amp;R398,活动关卡!$A$60:$Z$83,2+5*S398,FALSE),'⚪设计'!$B$85:$H$114,2,FALSE)</f>
        <v>ResUnit_ZhongZi1</v>
      </c>
      <c r="E398" s="55">
        <f>VLOOKUP(VLOOKUP(Q398&amp;"_"&amp;R398,活动关卡!$A$60:$Z$83,2+5*S398,FALSE),'⚪设计'!$B$85:$H$114,6,FALSE)*VLOOKUP(Q398&amp;"_"&amp;R398,活动关卡!$A$60:$Z$83,5,FALSE)</f>
        <v>3</v>
      </c>
      <c r="F398">
        <v>400</v>
      </c>
      <c r="G398" t="b">
        <v>1</v>
      </c>
      <c r="H398">
        <v>1</v>
      </c>
      <c r="I398">
        <v>1</v>
      </c>
      <c r="J398">
        <v>0.25</v>
      </c>
      <c r="K398" s="55">
        <f>VLOOKUP(VLOOKUP(Q398&amp;"_"&amp;R398,活动关卡!$A$60:$Z$83,2+5*S398,FALSE),'⚪设计'!$B$85:$H$114,7,FALSE)</f>
        <v>1</v>
      </c>
      <c r="L398" s="57" t="s">
        <v>2466</v>
      </c>
      <c r="M398" t="s">
        <v>468</v>
      </c>
      <c r="N398" t="s">
        <v>469</v>
      </c>
      <c r="O398" t="s">
        <v>470</v>
      </c>
      <c r="P398" s="57" t="str">
        <f>IF(VLOOKUP(D398,'⚪设计'!$C$85:$I$113,7,FALSE)="","",VLOOKUP(D398,'⚪设计'!$C$85:$I$113,7,FALSE)&amp;",NormalAttack")</f>
        <v>Skill_Monster_Heal,NormalAttack</v>
      </c>
      <c r="Q398" s="110" t="str">
        <f t="shared" si="14"/>
        <v>3</v>
      </c>
      <c r="R398" s="110" t="str">
        <f t="shared" si="15"/>
        <v>2</v>
      </c>
      <c r="S398" s="110" t="str">
        <f t="shared" si="16"/>
        <v>1</v>
      </c>
    </row>
    <row r="399" spans="2:19" x14ac:dyDescent="0.2">
      <c r="B399" s="57" t="s">
        <v>2759</v>
      </c>
      <c r="C399" s="57" t="s">
        <v>3051</v>
      </c>
      <c r="D399" s="55" t="str">
        <f>VLOOKUP(VLOOKUP(Q399&amp;"_"&amp;R399,活动关卡!$A$60:$Z$83,2+5*S399,FALSE),'⚪设计'!$B$85:$H$114,2,FALSE)</f>
        <v>ResUnit_MiFeng2</v>
      </c>
      <c r="E399" s="55">
        <f>VLOOKUP(VLOOKUP(Q399&amp;"_"&amp;R399,活动关卡!$A$60:$Z$83,2+5*S399,FALSE),'⚪设计'!$B$85:$H$114,6,FALSE)*VLOOKUP(Q399&amp;"_"&amp;R399,活动关卡!$A$60:$Z$83,5,FALSE)</f>
        <v>3</v>
      </c>
      <c r="F399">
        <v>400</v>
      </c>
      <c r="G399" t="b">
        <v>1</v>
      </c>
      <c r="H399">
        <v>1</v>
      </c>
      <c r="I399">
        <v>1</v>
      </c>
      <c r="J399">
        <v>0.25</v>
      </c>
      <c r="K399" s="55">
        <f>VLOOKUP(VLOOKUP(Q399&amp;"_"&amp;R399,活动关卡!$A$60:$Z$83,2+5*S399,FALSE),'⚪设计'!$B$85:$H$114,7,FALSE)</f>
        <v>0.8</v>
      </c>
      <c r="L399" s="57" t="s">
        <v>2467</v>
      </c>
      <c r="M399" t="s">
        <v>468</v>
      </c>
      <c r="N399" t="s">
        <v>469</v>
      </c>
      <c r="O399" t="s">
        <v>470</v>
      </c>
      <c r="P399" s="57" t="str">
        <f>IF(VLOOKUP(D399,'⚪设计'!$C$85:$I$113,7,FALSE)="","",VLOOKUP(D399,'⚪设计'!$C$85:$I$113,7,FALSE)&amp;",NormalAttack")</f>
        <v/>
      </c>
      <c r="Q399" s="110" t="str">
        <f t="shared" si="14"/>
        <v>3</v>
      </c>
      <c r="R399" s="110" t="str">
        <f t="shared" si="15"/>
        <v>2</v>
      </c>
      <c r="S399" s="110" t="str">
        <f t="shared" si="16"/>
        <v>2</v>
      </c>
    </row>
    <row r="400" spans="2:19" x14ac:dyDescent="0.2">
      <c r="B400" s="57" t="s">
        <v>2760</v>
      </c>
      <c r="C400" s="57" t="s">
        <v>3052</v>
      </c>
      <c r="D400" s="55" t="str">
        <f>VLOOKUP(VLOOKUP(Q400&amp;"_"&amp;R400,活动关卡!$A$60:$Z$83,2+5*S400,FALSE),'⚪设计'!$B$85:$H$114,2,FALSE)</f>
        <v>ResUnit_XueRen2</v>
      </c>
      <c r="E400" s="55">
        <f>VLOOKUP(VLOOKUP(Q400&amp;"_"&amp;R400,活动关卡!$A$60:$Z$83,2+5*S400,FALSE),'⚪设计'!$B$85:$H$114,6,FALSE)*VLOOKUP(Q400&amp;"_"&amp;R400,活动关卡!$A$60:$Z$83,5,FALSE)</f>
        <v>3</v>
      </c>
      <c r="F400">
        <v>400</v>
      </c>
      <c r="G400" t="b">
        <v>1</v>
      </c>
      <c r="H400">
        <v>1</v>
      </c>
      <c r="I400">
        <v>1</v>
      </c>
      <c r="J400">
        <v>0.25</v>
      </c>
      <c r="K400" s="55">
        <f>VLOOKUP(VLOOKUP(Q400&amp;"_"&amp;R400,活动关卡!$A$60:$Z$83,2+5*S400,FALSE),'⚪设计'!$B$85:$H$114,7,FALSE)</f>
        <v>1.2</v>
      </c>
      <c r="L400" s="57" t="s">
        <v>2468</v>
      </c>
      <c r="M400" t="s">
        <v>468</v>
      </c>
      <c r="N400" t="s">
        <v>469</v>
      </c>
      <c r="O400" t="s">
        <v>470</v>
      </c>
      <c r="P400" s="57" t="str">
        <f>IF(VLOOKUP(D400,'⚪设计'!$C$85:$I$113,7,FALSE)="","",VLOOKUP(D400,'⚪设计'!$C$85:$I$113,7,FALSE)&amp;",NormalAttack")</f>
        <v/>
      </c>
      <c r="Q400" s="110" t="str">
        <f t="shared" si="14"/>
        <v>3</v>
      </c>
      <c r="R400" s="110" t="str">
        <f t="shared" si="15"/>
        <v>2</v>
      </c>
      <c r="S400" s="110" t="str">
        <f t="shared" si="16"/>
        <v>3</v>
      </c>
    </row>
    <row r="401" spans="2:19" x14ac:dyDescent="0.2">
      <c r="B401" s="57" t="s">
        <v>2761</v>
      </c>
      <c r="C401" s="57" t="s">
        <v>3053</v>
      </c>
      <c r="D401" s="55" t="str">
        <f>VLOOKUP(VLOOKUP(Q401&amp;"_"&amp;R401,活动关卡!$A$60:$Z$83,2+5*S401,FALSE),'⚪设计'!$B$85:$H$114,2,FALSE)</f>
        <v>ResUnit_ZhongZi1</v>
      </c>
      <c r="E401" s="55">
        <f>VLOOKUP(VLOOKUP(Q401&amp;"_"&amp;R401,活动关卡!$A$60:$Z$83,2+5*S401,FALSE),'⚪设计'!$B$85:$H$114,6,FALSE)*VLOOKUP(Q401&amp;"_"&amp;R401,活动关卡!$A$60:$Z$83,5,FALSE)</f>
        <v>3</v>
      </c>
      <c r="F401">
        <v>400</v>
      </c>
      <c r="G401" t="b">
        <v>1</v>
      </c>
      <c r="H401">
        <v>1</v>
      </c>
      <c r="I401">
        <v>1</v>
      </c>
      <c r="J401">
        <v>0.25</v>
      </c>
      <c r="K401" s="55">
        <f>VLOOKUP(VLOOKUP(Q401&amp;"_"&amp;R401,活动关卡!$A$60:$Z$83,2+5*S401,FALSE),'⚪设计'!$B$85:$H$114,7,FALSE)</f>
        <v>1</v>
      </c>
      <c r="L401" s="57" t="s">
        <v>2469</v>
      </c>
      <c r="M401" t="s">
        <v>468</v>
      </c>
      <c r="N401" t="s">
        <v>469</v>
      </c>
      <c r="O401" t="s">
        <v>470</v>
      </c>
      <c r="P401" s="57" t="str">
        <f>IF(VLOOKUP(D401,'⚪设计'!$C$85:$I$113,7,FALSE)="","",VLOOKUP(D401,'⚪设计'!$C$85:$I$113,7,FALSE)&amp;",NormalAttack")</f>
        <v>Skill_Monster_Heal,NormalAttack</v>
      </c>
      <c r="Q401" s="110" t="str">
        <f t="shared" si="14"/>
        <v>3</v>
      </c>
      <c r="R401" s="110" t="str">
        <f t="shared" si="15"/>
        <v>3</v>
      </c>
      <c r="S401" s="110" t="str">
        <f t="shared" si="16"/>
        <v>1</v>
      </c>
    </row>
    <row r="402" spans="2:19" x14ac:dyDescent="0.2">
      <c r="B402" s="57" t="s">
        <v>2762</v>
      </c>
      <c r="C402" s="57" t="s">
        <v>3054</v>
      </c>
      <c r="D402" s="55" t="str">
        <f>VLOOKUP(VLOOKUP(Q402&amp;"_"&amp;R402,活动关卡!$A$60:$Z$83,2+5*S402,FALSE),'⚪设计'!$B$85:$H$114,2,FALSE)</f>
        <v>ResUnit_BianFu1</v>
      </c>
      <c r="E402" s="55">
        <f>VLOOKUP(VLOOKUP(Q402&amp;"_"&amp;R402,活动关卡!$A$60:$Z$83,2+5*S402,FALSE),'⚪设计'!$B$85:$H$114,6,FALSE)*VLOOKUP(Q402&amp;"_"&amp;R402,活动关卡!$A$60:$Z$83,5,FALSE)</f>
        <v>3</v>
      </c>
      <c r="F402">
        <v>400</v>
      </c>
      <c r="G402" t="b">
        <v>1</v>
      </c>
      <c r="H402">
        <v>1</v>
      </c>
      <c r="I402">
        <v>1</v>
      </c>
      <c r="J402">
        <v>0.25</v>
      </c>
      <c r="K402" s="55">
        <f>VLOOKUP(VLOOKUP(Q402&amp;"_"&amp;R402,活动关卡!$A$60:$Z$83,2+5*S402,FALSE),'⚪设计'!$B$85:$H$114,7,FALSE)</f>
        <v>0.5</v>
      </c>
      <c r="L402" s="57" t="s">
        <v>2470</v>
      </c>
      <c r="M402" t="s">
        <v>468</v>
      </c>
      <c r="N402" t="s">
        <v>469</v>
      </c>
      <c r="O402" t="s">
        <v>470</v>
      </c>
      <c r="P402" s="57" t="str">
        <f>IF(VLOOKUP(D402,'⚪设计'!$C$85:$I$113,7,FALSE)="","",VLOOKUP(D402,'⚪设计'!$C$85:$I$113,7,FALSE)&amp;",NormalAttack")</f>
        <v/>
      </c>
      <c r="Q402" s="110" t="str">
        <f t="shared" si="14"/>
        <v>3</v>
      </c>
      <c r="R402" s="110" t="str">
        <f t="shared" si="15"/>
        <v>3</v>
      </c>
      <c r="S402" s="110" t="str">
        <f t="shared" si="16"/>
        <v>2</v>
      </c>
    </row>
    <row r="403" spans="2:19" x14ac:dyDescent="0.2">
      <c r="B403" s="57" t="s">
        <v>2763</v>
      </c>
      <c r="C403" s="57" t="s">
        <v>3055</v>
      </c>
      <c r="D403" s="55" t="str">
        <f>VLOOKUP(VLOOKUP(Q403&amp;"_"&amp;R403,活动关卡!$A$60:$Z$83,2+5*S403,FALSE),'⚪设计'!$B$85:$H$114,2,FALSE)</f>
        <v>ResUnit_XueRen2</v>
      </c>
      <c r="E403" s="55">
        <f>VLOOKUP(VLOOKUP(Q403&amp;"_"&amp;R403,活动关卡!$A$60:$Z$83,2+5*S403,FALSE),'⚪设计'!$B$85:$H$114,6,FALSE)*VLOOKUP(Q403&amp;"_"&amp;R403,活动关卡!$A$60:$Z$83,5,FALSE)</f>
        <v>3</v>
      </c>
      <c r="F403">
        <v>400</v>
      </c>
      <c r="G403" t="b">
        <v>1</v>
      </c>
      <c r="H403">
        <v>1</v>
      </c>
      <c r="I403">
        <v>1</v>
      </c>
      <c r="J403">
        <v>0.25</v>
      </c>
      <c r="K403" s="55">
        <f>VLOOKUP(VLOOKUP(Q403&amp;"_"&amp;R403,活动关卡!$A$60:$Z$83,2+5*S403,FALSE),'⚪设计'!$B$85:$H$114,7,FALSE)</f>
        <v>1.2</v>
      </c>
      <c r="L403" s="57" t="s">
        <v>2471</v>
      </c>
      <c r="M403" t="s">
        <v>468</v>
      </c>
      <c r="N403" t="s">
        <v>469</v>
      </c>
      <c r="O403" t="s">
        <v>470</v>
      </c>
      <c r="P403" s="57" t="str">
        <f>IF(VLOOKUP(D403,'⚪设计'!$C$85:$I$113,7,FALSE)="","",VLOOKUP(D403,'⚪设计'!$C$85:$I$113,7,FALSE)&amp;",NormalAttack")</f>
        <v/>
      </c>
      <c r="Q403" s="110" t="str">
        <f t="shared" si="14"/>
        <v>3</v>
      </c>
      <c r="R403" s="110" t="str">
        <f t="shared" si="15"/>
        <v>3</v>
      </c>
      <c r="S403" s="110" t="str">
        <f t="shared" si="16"/>
        <v>3</v>
      </c>
    </row>
    <row r="404" spans="2:19" x14ac:dyDescent="0.2">
      <c r="B404" s="57" t="s">
        <v>2764</v>
      </c>
      <c r="C404" s="57" t="s">
        <v>3056</v>
      </c>
      <c r="D404" s="55" t="str">
        <f>VLOOKUP(VLOOKUP(Q404&amp;"_"&amp;R404,活动关卡!$A$60:$Z$83,2+5*S404,FALSE),'⚪设计'!$B$85:$H$114,2,FALSE)</f>
        <v>ResUnit_Gui1</v>
      </c>
      <c r="E404" s="55">
        <f>VLOOKUP(VLOOKUP(Q404&amp;"_"&amp;R404,活动关卡!$A$60:$Z$83,2+5*S404,FALSE),'⚪设计'!$B$85:$H$114,6,FALSE)*VLOOKUP(Q404&amp;"_"&amp;R404,活动关卡!$A$60:$Z$83,5,FALSE)</f>
        <v>3</v>
      </c>
      <c r="F404">
        <v>400</v>
      </c>
      <c r="G404" t="b">
        <v>1</v>
      </c>
      <c r="H404">
        <v>1</v>
      </c>
      <c r="I404">
        <v>1</v>
      </c>
      <c r="J404">
        <v>0.25</v>
      </c>
      <c r="K404" s="55">
        <f>VLOOKUP(VLOOKUP(Q404&amp;"_"&amp;R404,活动关卡!$A$60:$Z$83,2+5*S404,FALSE),'⚪设计'!$B$85:$H$114,7,FALSE)</f>
        <v>1</v>
      </c>
      <c r="L404" s="57" t="s">
        <v>2472</v>
      </c>
      <c r="M404" t="s">
        <v>468</v>
      </c>
      <c r="N404" t="s">
        <v>469</v>
      </c>
      <c r="O404" t="s">
        <v>470</v>
      </c>
      <c r="P404" s="57" t="str">
        <f>IF(VLOOKUP(D404,'⚪设计'!$C$85:$I$113,7,FALSE)="","",VLOOKUP(D404,'⚪设计'!$C$85:$I$113,7,FALSE)&amp;",NormalAttack")</f>
        <v>Skill_Monster_Invisible,NormalAttack</v>
      </c>
      <c r="Q404" s="110" t="str">
        <f t="shared" si="14"/>
        <v>4</v>
      </c>
      <c r="R404" s="110" t="str">
        <f t="shared" si="15"/>
        <v>1</v>
      </c>
      <c r="S404" s="110" t="str">
        <f t="shared" si="16"/>
        <v>1</v>
      </c>
    </row>
    <row r="405" spans="2:19" x14ac:dyDescent="0.2">
      <c r="B405" s="57" t="s">
        <v>2765</v>
      </c>
      <c r="C405" s="57" t="s">
        <v>3057</v>
      </c>
      <c r="D405" s="55" t="str">
        <f>VLOOKUP(VLOOKUP(Q405&amp;"_"&amp;R405,活动关卡!$A$60:$Z$83,2+5*S405,FALSE),'⚪设计'!$B$85:$H$114,2,FALSE)</f>
        <v>ResUnit_XueRen2</v>
      </c>
      <c r="E405" s="55">
        <f>VLOOKUP(VLOOKUP(Q405&amp;"_"&amp;R405,活动关卡!$A$60:$Z$83,2+5*S405,FALSE),'⚪设计'!$B$85:$H$114,6,FALSE)*VLOOKUP(Q405&amp;"_"&amp;R405,活动关卡!$A$60:$Z$83,5,FALSE)</f>
        <v>3</v>
      </c>
      <c r="F405">
        <v>400</v>
      </c>
      <c r="G405" t="b">
        <v>1</v>
      </c>
      <c r="H405">
        <v>1</v>
      </c>
      <c r="I405">
        <v>1</v>
      </c>
      <c r="J405">
        <v>0.25</v>
      </c>
      <c r="K405" s="55">
        <f>VLOOKUP(VLOOKUP(Q405&amp;"_"&amp;R405,活动关卡!$A$60:$Z$83,2+5*S405,FALSE),'⚪设计'!$B$85:$H$114,7,FALSE)</f>
        <v>1.2</v>
      </c>
      <c r="L405" s="57" t="s">
        <v>2473</v>
      </c>
      <c r="M405" t="s">
        <v>468</v>
      </c>
      <c r="N405" t="s">
        <v>469</v>
      </c>
      <c r="O405" t="s">
        <v>470</v>
      </c>
      <c r="P405" s="57" t="str">
        <f>IF(VLOOKUP(D405,'⚪设计'!$C$85:$I$113,7,FALSE)="","",VLOOKUP(D405,'⚪设计'!$C$85:$I$113,7,FALSE)&amp;",NormalAttack")</f>
        <v/>
      </c>
      <c r="Q405" s="110" t="str">
        <f t="shared" si="14"/>
        <v>4</v>
      </c>
      <c r="R405" s="110" t="str">
        <f t="shared" si="15"/>
        <v>1</v>
      </c>
      <c r="S405" s="110" t="str">
        <f t="shared" si="16"/>
        <v>2</v>
      </c>
    </row>
    <row r="406" spans="2:19" x14ac:dyDescent="0.2">
      <c r="B406" s="57" t="s">
        <v>2766</v>
      </c>
      <c r="C406" s="57" t="s">
        <v>3058</v>
      </c>
      <c r="D406" s="55" t="str">
        <f>VLOOKUP(VLOOKUP(Q406&amp;"_"&amp;R406,活动关卡!$A$60:$Z$83,2+5*S406,FALSE),'⚪设计'!$B$85:$H$114,2,FALSE)</f>
        <v>ResUnit_Gui1</v>
      </c>
      <c r="E406" s="55">
        <f>VLOOKUP(VLOOKUP(Q406&amp;"_"&amp;R406,活动关卡!$A$60:$Z$83,2+5*S406,FALSE),'⚪设计'!$B$85:$H$114,6,FALSE)*VLOOKUP(Q406&amp;"_"&amp;R406,活动关卡!$A$60:$Z$83,5,FALSE)</f>
        <v>3</v>
      </c>
      <c r="F406">
        <v>400</v>
      </c>
      <c r="G406" t="b">
        <v>1</v>
      </c>
      <c r="H406">
        <v>1</v>
      </c>
      <c r="I406">
        <v>1</v>
      </c>
      <c r="J406">
        <v>0.25</v>
      </c>
      <c r="K406" s="55">
        <f>VLOOKUP(VLOOKUP(Q406&amp;"_"&amp;R406,活动关卡!$A$60:$Z$83,2+5*S406,FALSE),'⚪设计'!$B$85:$H$114,7,FALSE)</f>
        <v>1</v>
      </c>
      <c r="L406" s="57" t="s">
        <v>2474</v>
      </c>
      <c r="M406" t="s">
        <v>468</v>
      </c>
      <c r="N406" t="s">
        <v>469</v>
      </c>
      <c r="O406" t="s">
        <v>470</v>
      </c>
      <c r="P406" s="57" t="str">
        <f>IF(VLOOKUP(D406,'⚪设计'!$C$85:$I$113,7,FALSE)="","",VLOOKUP(D406,'⚪设计'!$C$85:$I$113,7,FALSE)&amp;",NormalAttack")</f>
        <v>Skill_Monster_Invisible,NormalAttack</v>
      </c>
      <c r="Q406" s="110" t="str">
        <f t="shared" si="14"/>
        <v>4</v>
      </c>
      <c r="R406" s="110" t="str">
        <f t="shared" si="15"/>
        <v>2</v>
      </c>
      <c r="S406" s="110" t="str">
        <f t="shared" si="16"/>
        <v>1</v>
      </c>
    </row>
    <row r="407" spans="2:19" x14ac:dyDescent="0.2">
      <c r="B407" s="57" t="s">
        <v>2767</v>
      </c>
      <c r="C407" s="57" t="s">
        <v>3059</v>
      </c>
      <c r="D407" s="55" t="str">
        <f>VLOOKUP(VLOOKUP(Q407&amp;"_"&amp;R407,活动关卡!$A$60:$Z$83,2+5*S407,FALSE),'⚪设计'!$B$85:$H$114,2,FALSE)</f>
        <v>ResUnit_MiFeng2</v>
      </c>
      <c r="E407" s="55">
        <f>VLOOKUP(VLOOKUP(Q407&amp;"_"&amp;R407,活动关卡!$A$60:$Z$83,2+5*S407,FALSE),'⚪设计'!$B$85:$H$114,6,FALSE)*VLOOKUP(Q407&amp;"_"&amp;R407,活动关卡!$A$60:$Z$83,5,FALSE)</f>
        <v>3</v>
      </c>
      <c r="F407">
        <v>400</v>
      </c>
      <c r="G407" t="b">
        <v>1</v>
      </c>
      <c r="H407">
        <v>1</v>
      </c>
      <c r="I407">
        <v>1</v>
      </c>
      <c r="J407">
        <v>0.25</v>
      </c>
      <c r="K407" s="55">
        <f>VLOOKUP(VLOOKUP(Q407&amp;"_"&amp;R407,活动关卡!$A$60:$Z$83,2+5*S407,FALSE),'⚪设计'!$B$85:$H$114,7,FALSE)</f>
        <v>0.8</v>
      </c>
      <c r="L407" s="57" t="s">
        <v>2475</v>
      </c>
      <c r="M407" t="s">
        <v>468</v>
      </c>
      <c r="N407" t="s">
        <v>469</v>
      </c>
      <c r="O407" t="s">
        <v>470</v>
      </c>
      <c r="P407" s="57" t="str">
        <f>IF(VLOOKUP(D407,'⚪设计'!$C$85:$I$113,7,FALSE)="","",VLOOKUP(D407,'⚪设计'!$C$85:$I$113,7,FALSE)&amp;",NormalAttack")</f>
        <v/>
      </c>
      <c r="Q407" s="110" t="str">
        <f t="shared" si="14"/>
        <v>4</v>
      </c>
      <c r="R407" s="110" t="str">
        <f t="shared" si="15"/>
        <v>2</v>
      </c>
      <c r="S407" s="110" t="str">
        <f t="shared" si="16"/>
        <v>2</v>
      </c>
    </row>
    <row r="408" spans="2:19" x14ac:dyDescent="0.2">
      <c r="B408" s="57" t="s">
        <v>2768</v>
      </c>
      <c r="C408" s="57" t="s">
        <v>3060</v>
      </c>
      <c r="D408" s="55" t="str">
        <f>VLOOKUP(VLOOKUP(Q408&amp;"_"&amp;R408,活动关卡!$A$60:$Z$83,2+5*S408,FALSE),'⚪设计'!$B$85:$H$114,2,FALSE)</f>
        <v>ResUnit_XueRen2</v>
      </c>
      <c r="E408" s="55">
        <f>VLOOKUP(VLOOKUP(Q408&amp;"_"&amp;R408,活动关卡!$A$60:$Z$83,2+5*S408,FALSE),'⚪设计'!$B$85:$H$114,6,FALSE)*VLOOKUP(Q408&amp;"_"&amp;R408,活动关卡!$A$60:$Z$83,5,FALSE)</f>
        <v>3</v>
      </c>
      <c r="F408">
        <v>400</v>
      </c>
      <c r="G408" t="b">
        <v>1</v>
      </c>
      <c r="H408">
        <v>1</v>
      </c>
      <c r="I408">
        <v>1</v>
      </c>
      <c r="J408">
        <v>0.25</v>
      </c>
      <c r="K408" s="55">
        <f>VLOOKUP(VLOOKUP(Q408&amp;"_"&amp;R408,活动关卡!$A$60:$Z$83,2+5*S408,FALSE),'⚪设计'!$B$85:$H$114,7,FALSE)</f>
        <v>1.2</v>
      </c>
      <c r="L408" s="57" t="s">
        <v>2476</v>
      </c>
      <c r="M408" t="s">
        <v>468</v>
      </c>
      <c r="N408" t="s">
        <v>469</v>
      </c>
      <c r="O408" t="s">
        <v>470</v>
      </c>
      <c r="P408" s="57" t="str">
        <f>IF(VLOOKUP(D408,'⚪设计'!$C$85:$I$113,7,FALSE)="","",VLOOKUP(D408,'⚪设计'!$C$85:$I$113,7,FALSE)&amp;",NormalAttack")</f>
        <v/>
      </c>
      <c r="Q408" s="110" t="str">
        <f t="shared" si="14"/>
        <v>4</v>
      </c>
      <c r="R408" s="110" t="str">
        <f t="shared" si="15"/>
        <v>2</v>
      </c>
      <c r="S408" s="110" t="str">
        <f t="shared" si="16"/>
        <v>3</v>
      </c>
    </row>
    <row r="409" spans="2:19" x14ac:dyDescent="0.2">
      <c r="B409" s="57" t="s">
        <v>2769</v>
      </c>
      <c r="C409" s="57" t="s">
        <v>3061</v>
      </c>
      <c r="D409" s="55" t="str">
        <f>VLOOKUP(VLOOKUP(Q409&amp;"_"&amp;R409,活动关卡!$A$60:$Z$83,2+5*S409,FALSE),'⚪设计'!$B$85:$H$114,2,FALSE)</f>
        <v>ResUnit_Gui1</v>
      </c>
      <c r="E409" s="55">
        <f>VLOOKUP(VLOOKUP(Q409&amp;"_"&amp;R409,活动关卡!$A$60:$Z$83,2+5*S409,FALSE),'⚪设计'!$B$85:$H$114,6,FALSE)*VLOOKUP(Q409&amp;"_"&amp;R409,活动关卡!$A$60:$Z$83,5,FALSE)</f>
        <v>3</v>
      </c>
      <c r="F409">
        <v>400</v>
      </c>
      <c r="G409" t="b">
        <v>1</v>
      </c>
      <c r="H409">
        <v>1</v>
      </c>
      <c r="I409">
        <v>1</v>
      </c>
      <c r="J409">
        <v>0.25</v>
      </c>
      <c r="K409" s="55">
        <f>VLOOKUP(VLOOKUP(Q409&amp;"_"&amp;R409,活动关卡!$A$60:$Z$83,2+5*S409,FALSE),'⚪设计'!$B$85:$H$114,7,FALSE)</f>
        <v>1</v>
      </c>
      <c r="L409" s="57" t="s">
        <v>2477</v>
      </c>
      <c r="M409" t="s">
        <v>468</v>
      </c>
      <c r="N409" t="s">
        <v>469</v>
      </c>
      <c r="O409" t="s">
        <v>470</v>
      </c>
      <c r="P409" s="57" t="str">
        <f>IF(VLOOKUP(D409,'⚪设计'!$C$85:$I$113,7,FALSE)="","",VLOOKUP(D409,'⚪设计'!$C$85:$I$113,7,FALSE)&amp;",NormalAttack")</f>
        <v>Skill_Monster_Invisible,NormalAttack</v>
      </c>
      <c r="Q409" s="110" t="str">
        <f t="shared" si="14"/>
        <v>4</v>
      </c>
      <c r="R409" s="110" t="str">
        <f t="shared" si="15"/>
        <v>3</v>
      </c>
      <c r="S409" s="110" t="str">
        <f t="shared" si="16"/>
        <v>1</v>
      </c>
    </row>
    <row r="410" spans="2:19" x14ac:dyDescent="0.2">
      <c r="B410" s="57" t="s">
        <v>2770</v>
      </c>
      <c r="C410" s="57" t="s">
        <v>3062</v>
      </c>
      <c r="D410" s="55" t="str">
        <f>VLOOKUP(VLOOKUP(Q410&amp;"_"&amp;R410,活动关卡!$A$60:$Z$83,2+5*S410,FALSE),'⚪设计'!$B$85:$H$114,2,FALSE)</f>
        <v>ResUnit_BianFu1</v>
      </c>
      <c r="E410" s="55">
        <f>VLOOKUP(VLOOKUP(Q410&amp;"_"&amp;R410,活动关卡!$A$60:$Z$83,2+5*S410,FALSE),'⚪设计'!$B$85:$H$114,6,FALSE)*VLOOKUP(Q410&amp;"_"&amp;R410,活动关卡!$A$60:$Z$83,5,FALSE)</f>
        <v>3</v>
      </c>
      <c r="F410">
        <v>400</v>
      </c>
      <c r="G410" t="b">
        <v>1</v>
      </c>
      <c r="H410">
        <v>1</v>
      </c>
      <c r="I410">
        <v>1</v>
      </c>
      <c r="J410">
        <v>0.25</v>
      </c>
      <c r="K410" s="55">
        <f>VLOOKUP(VLOOKUP(Q410&amp;"_"&amp;R410,活动关卡!$A$60:$Z$83,2+5*S410,FALSE),'⚪设计'!$B$85:$H$114,7,FALSE)</f>
        <v>0.5</v>
      </c>
      <c r="L410" s="57" t="s">
        <v>2478</v>
      </c>
      <c r="M410" t="s">
        <v>468</v>
      </c>
      <c r="N410" t="s">
        <v>469</v>
      </c>
      <c r="O410" t="s">
        <v>470</v>
      </c>
      <c r="P410" s="57" t="str">
        <f>IF(VLOOKUP(D410,'⚪设计'!$C$85:$I$113,7,FALSE)="","",VLOOKUP(D410,'⚪设计'!$C$85:$I$113,7,FALSE)&amp;",NormalAttack")</f>
        <v/>
      </c>
      <c r="Q410" s="110" t="str">
        <f t="shared" si="14"/>
        <v>4</v>
      </c>
      <c r="R410" s="110" t="str">
        <f t="shared" si="15"/>
        <v>3</v>
      </c>
      <c r="S410" s="110" t="str">
        <f t="shared" si="16"/>
        <v>2</v>
      </c>
    </row>
    <row r="411" spans="2:19" x14ac:dyDescent="0.2">
      <c r="B411" s="57" t="s">
        <v>2771</v>
      </c>
      <c r="C411" s="57" t="s">
        <v>3063</v>
      </c>
      <c r="D411" s="55" t="str">
        <f>VLOOKUP(VLOOKUP(Q411&amp;"_"&amp;R411,活动关卡!$A$60:$Z$83,2+5*S411,FALSE),'⚪设计'!$B$85:$H$114,2,FALSE)</f>
        <v>ResUnit_XueRen2</v>
      </c>
      <c r="E411" s="55">
        <f>VLOOKUP(VLOOKUP(Q411&amp;"_"&amp;R411,活动关卡!$A$60:$Z$83,2+5*S411,FALSE),'⚪设计'!$B$85:$H$114,6,FALSE)*VLOOKUP(Q411&amp;"_"&amp;R411,活动关卡!$A$60:$Z$83,5,FALSE)</f>
        <v>3</v>
      </c>
      <c r="F411">
        <v>400</v>
      </c>
      <c r="G411" t="b">
        <v>1</v>
      </c>
      <c r="H411">
        <v>1</v>
      </c>
      <c r="I411">
        <v>1</v>
      </c>
      <c r="J411">
        <v>0.25</v>
      </c>
      <c r="K411" s="55">
        <f>VLOOKUP(VLOOKUP(Q411&amp;"_"&amp;R411,活动关卡!$A$60:$Z$83,2+5*S411,FALSE),'⚪设计'!$B$85:$H$114,7,FALSE)</f>
        <v>1.2</v>
      </c>
      <c r="L411" s="57" t="s">
        <v>2479</v>
      </c>
      <c r="M411" t="s">
        <v>468</v>
      </c>
      <c r="N411" t="s">
        <v>469</v>
      </c>
      <c r="O411" t="s">
        <v>470</v>
      </c>
      <c r="P411" s="57" t="str">
        <f>IF(VLOOKUP(D411,'⚪设计'!$C$85:$I$113,7,FALSE)="","",VLOOKUP(D411,'⚪设计'!$C$85:$I$113,7,FALSE)&amp;",NormalAttack")</f>
        <v/>
      </c>
      <c r="Q411" s="110" t="str">
        <f t="shared" si="14"/>
        <v>4</v>
      </c>
      <c r="R411" s="110" t="str">
        <f t="shared" si="15"/>
        <v>3</v>
      </c>
      <c r="S411" s="110" t="str">
        <f t="shared" si="16"/>
        <v>3</v>
      </c>
    </row>
    <row r="412" spans="2:19" x14ac:dyDescent="0.2">
      <c r="B412" s="57" t="s">
        <v>2772</v>
      </c>
      <c r="C412" s="57" t="s">
        <v>3064</v>
      </c>
      <c r="D412" s="55" t="str">
        <f>VLOOKUP(VLOOKUP(Q412&amp;"_"&amp;R412,活动关卡!$A$60:$Z$83,2+5*S412,FALSE),'⚪设计'!$B$85:$H$114,2,FALSE)</f>
        <v>ResUnit_Gui1</v>
      </c>
      <c r="E412" s="55">
        <f>VLOOKUP(VLOOKUP(Q412&amp;"_"&amp;R412,活动关卡!$A$60:$Z$83,2+5*S412,FALSE),'⚪设计'!$B$85:$H$114,6,FALSE)*VLOOKUP(Q412&amp;"_"&amp;R412,活动关卡!$A$60:$Z$83,5,FALSE)</f>
        <v>3</v>
      </c>
      <c r="F412">
        <v>400</v>
      </c>
      <c r="G412" t="b">
        <v>1</v>
      </c>
      <c r="H412">
        <v>1</v>
      </c>
      <c r="I412">
        <v>1</v>
      </c>
      <c r="J412">
        <v>0.25</v>
      </c>
      <c r="K412" s="55">
        <f>VLOOKUP(VLOOKUP(Q412&amp;"_"&amp;R412,活动关卡!$A$60:$Z$83,2+5*S412,FALSE),'⚪设计'!$B$85:$H$114,7,FALSE)</f>
        <v>1</v>
      </c>
      <c r="L412" s="57" t="s">
        <v>2480</v>
      </c>
      <c r="M412" t="s">
        <v>468</v>
      </c>
      <c r="N412" t="s">
        <v>469</v>
      </c>
      <c r="O412" t="s">
        <v>470</v>
      </c>
      <c r="P412" s="57" t="str">
        <f>IF(VLOOKUP(D412,'⚪设计'!$C$85:$I$113,7,FALSE)="","",VLOOKUP(D412,'⚪设计'!$C$85:$I$113,7,FALSE)&amp;",NormalAttack")</f>
        <v>Skill_Monster_Invisible,NormalAttack</v>
      </c>
      <c r="Q412" s="110" t="str">
        <f t="shared" si="14"/>
        <v>4</v>
      </c>
      <c r="R412" s="110" t="str">
        <f t="shared" si="15"/>
        <v>4</v>
      </c>
      <c r="S412" s="110" t="str">
        <f t="shared" si="16"/>
        <v>1</v>
      </c>
    </row>
    <row r="413" spans="2:19" x14ac:dyDescent="0.2">
      <c r="B413" s="57" t="s">
        <v>2773</v>
      </c>
      <c r="C413" s="57" t="s">
        <v>3065</v>
      </c>
      <c r="D413" s="55" t="str">
        <f>VLOOKUP(VLOOKUP(Q413&amp;"_"&amp;R413,活动关卡!$A$60:$Z$83,2+5*S413,FALSE),'⚪设计'!$B$85:$H$114,2,FALSE)</f>
        <v>ResUnit_ZhiZhu1</v>
      </c>
      <c r="E413" s="55">
        <f>VLOOKUP(VLOOKUP(Q413&amp;"_"&amp;R413,活动关卡!$A$60:$Z$83,2+5*S413,FALSE),'⚪设计'!$B$85:$H$114,6,FALSE)*VLOOKUP(Q413&amp;"_"&amp;R413,活动关卡!$A$60:$Z$83,5,FALSE)</f>
        <v>4.5</v>
      </c>
      <c r="F413">
        <v>400</v>
      </c>
      <c r="G413" t="b">
        <v>1</v>
      </c>
      <c r="H413">
        <v>1</v>
      </c>
      <c r="I413">
        <v>1</v>
      </c>
      <c r="J413">
        <v>0.25</v>
      </c>
      <c r="K413" s="55">
        <f>VLOOKUP(VLOOKUP(Q413&amp;"_"&amp;R413,活动关卡!$A$60:$Z$83,2+5*S413,FALSE),'⚪设计'!$B$85:$H$114,7,FALSE)</f>
        <v>1</v>
      </c>
      <c r="L413" s="57" t="s">
        <v>2481</v>
      </c>
      <c r="M413" t="s">
        <v>468</v>
      </c>
      <c r="N413" t="s">
        <v>469</v>
      </c>
      <c r="O413" t="s">
        <v>470</v>
      </c>
      <c r="P413" s="57" t="str">
        <f>IF(VLOOKUP(D413,'⚪设计'!$C$85:$I$113,7,FALSE)="","",VLOOKUP(D413,'⚪设计'!$C$85:$I$113,7,FALSE)&amp;",NormalAttack")</f>
        <v/>
      </c>
      <c r="Q413" s="110" t="str">
        <f t="shared" si="14"/>
        <v>4</v>
      </c>
      <c r="R413" s="110" t="str">
        <f t="shared" si="15"/>
        <v>4</v>
      </c>
      <c r="S413" s="110" t="str">
        <f t="shared" si="16"/>
        <v>2</v>
      </c>
    </row>
    <row r="414" spans="2:19" x14ac:dyDescent="0.2">
      <c r="B414" s="57" t="s">
        <v>2774</v>
      </c>
      <c r="C414" s="57" t="s">
        <v>3066</v>
      </c>
      <c r="D414" s="55" t="str">
        <f>VLOOKUP(VLOOKUP(Q414&amp;"_"&amp;R414,活动关卡!$A$60:$Z$83,2+5*S414,FALSE),'⚪设计'!$B$85:$H$114,2,FALSE)</f>
        <v>ResUnit_XueRen2</v>
      </c>
      <c r="E414" s="55">
        <f>VLOOKUP(VLOOKUP(Q414&amp;"_"&amp;R414,活动关卡!$A$60:$Z$83,2+5*S414,FALSE),'⚪设计'!$B$85:$H$114,6,FALSE)*VLOOKUP(Q414&amp;"_"&amp;R414,活动关卡!$A$60:$Z$83,5,FALSE)</f>
        <v>3</v>
      </c>
      <c r="F414">
        <v>400</v>
      </c>
      <c r="G414" t="b">
        <v>1</v>
      </c>
      <c r="H414">
        <v>1</v>
      </c>
      <c r="I414">
        <v>1</v>
      </c>
      <c r="J414">
        <v>0.25</v>
      </c>
      <c r="K414" s="55">
        <f>VLOOKUP(VLOOKUP(Q414&amp;"_"&amp;R414,活动关卡!$A$60:$Z$83,2+5*S414,FALSE),'⚪设计'!$B$85:$H$114,7,FALSE)</f>
        <v>1.2</v>
      </c>
      <c r="L414" s="57" t="s">
        <v>2482</v>
      </c>
      <c r="M414" t="s">
        <v>468</v>
      </c>
      <c r="N414" t="s">
        <v>469</v>
      </c>
      <c r="O414" t="s">
        <v>470</v>
      </c>
      <c r="P414" s="57" t="str">
        <f>IF(VLOOKUP(D414,'⚪设计'!$C$85:$I$113,7,FALSE)="","",VLOOKUP(D414,'⚪设计'!$C$85:$I$113,7,FALSE)&amp;",NormalAttack")</f>
        <v/>
      </c>
      <c r="Q414" s="110" t="str">
        <f t="shared" si="14"/>
        <v>4</v>
      </c>
      <c r="R414" s="110" t="str">
        <f t="shared" si="15"/>
        <v>4</v>
      </c>
      <c r="S414" s="110" t="str">
        <f t="shared" si="16"/>
        <v>3</v>
      </c>
    </row>
    <row r="415" spans="2:19" x14ac:dyDescent="0.2">
      <c r="B415" s="57" t="s">
        <v>2775</v>
      </c>
      <c r="C415" s="57" t="s">
        <v>3067</v>
      </c>
      <c r="D415" s="55" t="str">
        <f>VLOOKUP(VLOOKUP(Q415&amp;"_"&amp;R415,活动关卡!$A$60:$Z$83,2+5*S415,FALSE),'⚪设计'!$B$85:$H$114,2,FALSE)</f>
        <v>ResUnit_Gui1</v>
      </c>
      <c r="E415" s="55">
        <f>VLOOKUP(VLOOKUP(Q415&amp;"_"&amp;R415,活动关卡!$A$60:$Z$83,2+5*S415,FALSE),'⚪设计'!$B$85:$H$114,6,FALSE)*VLOOKUP(Q415&amp;"_"&amp;R415,活动关卡!$A$60:$Z$83,5,FALSE)</f>
        <v>3</v>
      </c>
      <c r="F415">
        <v>400</v>
      </c>
      <c r="G415" t="b">
        <v>1</v>
      </c>
      <c r="H415">
        <v>1</v>
      </c>
      <c r="I415">
        <v>1</v>
      </c>
      <c r="J415">
        <v>0.25</v>
      </c>
      <c r="K415" s="55">
        <f>VLOOKUP(VLOOKUP(Q415&amp;"_"&amp;R415,活动关卡!$A$60:$Z$83,2+5*S415,FALSE),'⚪设计'!$B$85:$H$114,7,FALSE)</f>
        <v>1</v>
      </c>
      <c r="L415" s="57" t="s">
        <v>2483</v>
      </c>
      <c r="M415" t="s">
        <v>468</v>
      </c>
      <c r="N415" t="s">
        <v>469</v>
      </c>
      <c r="O415" t="s">
        <v>470</v>
      </c>
      <c r="P415" s="57" t="str">
        <f>IF(VLOOKUP(D415,'⚪设计'!$C$85:$I$113,7,FALSE)="","",VLOOKUP(D415,'⚪设计'!$C$85:$I$113,7,FALSE)&amp;",NormalAttack")</f>
        <v>Skill_Monster_Invisible,NormalAttack</v>
      </c>
      <c r="Q415" s="110" t="str">
        <f t="shared" si="14"/>
        <v>4</v>
      </c>
      <c r="R415" s="110" t="str">
        <f t="shared" si="15"/>
        <v>5</v>
      </c>
      <c r="S415" s="110" t="str">
        <f t="shared" si="16"/>
        <v>1</v>
      </c>
    </row>
    <row r="416" spans="2:19" x14ac:dyDescent="0.2">
      <c r="B416" s="57" t="s">
        <v>2776</v>
      </c>
      <c r="C416" s="57" t="s">
        <v>3068</v>
      </c>
      <c r="D416" s="55" t="str">
        <f>VLOOKUP(VLOOKUP(Q416&amp;"_"&amp;R416,活动关卡!$A$60:$Z$83,2+5*S416,FALSE),'⚪设计'!$B$85:$H$114,2,FALSE)</f>
        <v>ResUnit_ZhongZi1</v>
      </c>
      <c r="E416" s="55">
        <f>VLOOKUP(VLOOKUP(Q416&amp;"_"&amp;R416,活动关卡!$A$60:$Z$83,2+5*S416,FALSE),'⚪设计'!$B$85:$H$114,6,FALSE)*VLOOKUP(Q416&amp;"_"&amp;R416,活动关卡!$A$60:$Z$83,5,FALSE)</f>
        <v>3</v>
      </c>
      <c r="F416">
        <v>400</v>
      </c>
      <c r="G416" t="b">
        <v>1</v>
      </c>
      <c r="H416">
        <v>1</v>
      </c>
      <c r="I416">
        <v>1</v>
      </c>
      <c r="J416">
        <v>0.25</v>
      </c>
      <c r="K416" s="55">
        <f>VLOOKUP(VLOOKUP(Q416&amp;"_"&amp;R416,活动关卡!$A$60:$Z$83,2+5*S416,FALSE),'⚪设计'!$B$85:$H$114,7,FALSE)</f>
        <v>1</v>
      </c>
      <c r="L416" s="57" t="s">
        <v>2484</v>
      </c>
      <c r="M416" t="s">
        <v>468</v>
      </c>
      <c r="N416" t="s">
        <v>469</v>
      </c>
      <c r="O416" t="s">
        <v>470</v>
      </c>
      <c r="P416" s="57" t="str">
        <f>IF(VLOOKUP(D416,'⚪设计'!$C$85:$I$113,7,FALSE)="","",VLOOKUP(D416,'⚪设计'!$C$85:$I$113,7,FALSE)&amp;",NormalAttack")</f>
        <v>Skill_Monster_Heal,NormalAttack</v>
      </c>
      <c r="Q416" s="110" t="str">
        <f t="shared" si="14"/>
        <v>4</v>
      </c>
      <c r="R416" s="110" t="str">
        <f t="shared" si="15"/>
        <v>5</v>
      </c>
      <c r="S416" s="110" t="str">
        <f t="shared" si="16"/>
        <v>2</v>
      </c>
    </row>
    <row r="417" spans="2:19" x14ac:dyDescent="0.2">
      <c r="B417" s="57" t="s">
        <v>2777</v>
      </c>
      <c r="C417" s="57" t="s">
        <v>3069</v>
      </c>
      <c r="D417" s="55" t="str">
        <f>VLOOKUP(VLOOKUP(Q417&amp;"_"&amp;R417,活动关卡!$A$60:$Z$83,2+5*S417,FALSE),'⚪设计'!$B$85:$H$114,2,FALSE)</f>
        <v>ResUnit_XueRen2</v>
      </c>
      <c r="E417" s="55">
        <f>VLOOKUP(VLOOKUP(Q417&amp;"_"&amp;R417,活动关卡!$A$60:$Z$83,2+5*S417,FALSE),'⚪设计'!$B$85:$H$114,6,FALSE)*VLOOKUP(Q417&amp;"_"&amp;R417,活动关卡!$A$60:$Z$83,5,FALSE)</f>
        <v>3</v>
      </c>
      <c r="F417">
        <v>400</v>
      </c>
      <c r="G417" t="b">
        <v>1</v>
      </c>
      <c r="H417">
        <v>1</v>
      </c>
      <c r="I417">
        <v>1</v>
      </c>
      <c r="J417">
        <v>0.25</v>
      </c>
      <c r="K417" s="55">
        <f>VLOOKUP(VLOOKUP(Q417&amp;"_"&amp;R417,活动关卡!$A$60:$Z$83,2+5*S417,FALSE),'⚪设计'!$B$85:$H$114,7,FALSE)</f>
        <v>1.2</v>
      </c>
      <c r="L417" s="57" t="s">
        <v>2485</v>
      </c>
      <c r="M417" t="s">
        <v>468</v>
      </c>
      <c r="N417" t="s">
        <v>469</v>
      </c>
      <c r="O417" t="s">
        <v>470</v>
      </c>
      <c r="P417" s="57" t="str">
        <f>IF(VLOOKUP(D417,'⚪设计'!$C$85:$I$113,7,FALSE)="","",VLOOKUP(D417,'⚪设计'!$C$85:$I$113,7,FALSE)&amp;",NormalAttack")</f>
        <v/>
      </c>
      <c r="Q417" s="110" t="str">
        <f t="shared" si="14"/>
        <v>4</v>
      </c>
      <c r="R417" s="110" t="str">
        <f t="shared" si="15"/>
        <v>5</v>
      </c>
      <c r="S417" s="110" t="str">
        <f t="shared" si="16"/>
        <v>3</v>
      </c>
    </row>
    <row r="418" spans="2:19" x14ac:dyDescent="0.2">
      <c r="B418" s="57" t="s">
        <v>2778</v>
      </c>
      <c r="C418" s="57" t="s">
        <v>3070</v>
      </c>
      <c r="D418" s="55" t="str">
        <f>VLOOKUP(VLOOKUP(Q418&amp;"_"&amp;R418,活动关卡!$A$60:$Z$83,2+5*S418,FALSE),'⚪设计'!$B$85:$H$114,2,FALSE)</f>
        <v>ResUnit_Dan2</v>
      </c>
      <c r="E418" s="55">
        <f>VLOOKUP(VLOOKUP(Q418&amp;"_"&amp;R418,活动关卡!$A$60:$Z$83,2+5*S418,FALSE),'⚪设计'!$B$85:$H$114,6,FALSE)*VLOOKUP(Q418&amp;"_"&amp;R418,活动关卡!$A$60:$Z$83,5,FALSE)</f>
        <v>3</v>
      </c>
      <c r="F418">
        <v>400</v>
      </c>
      <c r="G418" t="b">
        <v>1</v>
      </c>
      <c r="H418">
        <v>1</v>
      </c>
      <c r="I418">
        <v>1</v>
      </c>
      <c r="J418">
        <v>0.25</v>
      </c>
      <c r="K418" s="55">
        <f>VLOOKUP(VLOOKUP(Q418&amp;"_"&amp;R418,活动关卡!$A$60:$Z$83,2+5*S418,FALSE),'⚪设计'!$B$85:$H$114,7,FALSE)</f>
        <v>1.3</v>
      </c>
      <c r="L418" s="57" t="s">
        <v>2486</v>
      </c>
      <c r="M418" t="s">
        <v>468</v>
      </c>
      <c r="N418" t="s">
        <v>469</v>
      </c>
      <c r="O418" t="s">
        <v>470</v>
      </c>
      <c r="P418" s="57" t="str">
        <f>IF(VLOOKUP(D418,'⚪设计'!$C$85:$I$113,7,FALSE)="","",VLOOKUP(D418,'⚪设计'!$C$85:$I$113,7,FALSE)&amp;",NormalAttack")</f>
        <v>Skill_Monster_Weaken,NormalAttack</v>
      </c>
      <c r="Q418" s="110" t="str">
        <f t="shared" ref="Q418:Q481" si="17">LEFT(RIGHT(C418,5),1)</f>
        <v>5</v>
      </c>
      <c r="R418" s="110" t="str">
        <f t="shared" ref="R418:R481" si="18">LEFT(RIGHT(C418,3),1)</f>
        <v>1</v>
      </c>
      <c r="S418" s="110" t="str">
        <f t="shared" ref="S418:S481" si="19">RIGHT(C418,1)</f>
        <v>1</v>
      </c>
    </row>
    <row r="419" spans="2:19" x14ac:dyDescent="0.2">
      <c r="B419" s="57" t="s">
        <v>2779</v>
      </c>
      <c r="C419" s="57" t="s">
        <v>3071</v>
      </c>
      <c r="D419" s="55" t="str">
        <f>VLOOKUP(VLOOKUP(Q419&amp;"_"&amp;R419,活动关卡!$A$60:$Z$83,2+5*S419,FALSE),'⚪设计'!$B$85:$H$114,2,FALSE)</f>
        <v>ResUnit_XueRen2</v>
      </c>
      <c r="E419" s="55">
        <f>VLOOKUP(VLOOKUP(Q419&amp;"_"&amp;R419,活动关卡!$A$60:$Z$83,2+5*S419,FALSE),'⚪设计'!$B$85:$H$114,6,FALSE)*VLOOKUP(Q419&amp;"_"&amp;R419,活动关卡!$A$60:$Z$83,5,FALSE)</f>
        <v>3</v>
      </c>
      <c r="F419">
        <v>400</v>
      </c>
      <c r="G419" t="b">
        <v>1</v>
      </c>
      <c r="H419">
        <v>1</v>
      </c>
      <c r="I419">
        <v>1</v>
      </c>
      <c r="J419">
        <v>0.25</v>
      </c>
      <c r="K419" s="55">
        <f>VLOOKUP(VLOOKUP(Q419&amp;"_"&amp;R419,活动关卡!$A$60:$Z$83,2+5*S419,FALSE),'⚪设计'!$B$85:$H$114,7,FALSE)</f>
        <v>1.2</v>
      </c>
      <c r="L419" s="57" t="s">
        <v>2487</v>
      </c>
      <c r="M419" t="s">
        <v>468</v>
      </c>
      <c r="N419" t="s">
        <v>469</v>
      </c>
      <c r="O419" t="s">
        <v>470</v>
      </c>
      <c r="P419" s="57" t="str">
        <f>IF(VLOOKUP(D419,'⚪设计'!$C$85:$I$113,7,FALSE)="","",VLOOKUP(D419,'⚪设计'!$C$85:$I$113,7,FALSE)&amp;",NormalAttack")</f>
        <v/>
      </c>
      <c r="Q419" s="110" t="str">
        <f t="shared" si="17"/>
        <v>5</v>
      </c>
      <c r="R419" s="110" t="str">
        <f t="shared" si="18"/>
        <v>1</v>
      </c>
      <c r="S419" s="110" t="str">
        <f t="shared" si="19"/>
        <v>2</v>
      </c>
    </row>
    <row r="420" spans="2:19" x14ac:dyDescent="0.2">
      <c r="B420" s="57" t="s">
        <v>2780</v>
      </c>
      <c r="C420" s="57" t="s">
        <v>3072</v>
      </c>
      <c r="D420" s="55" t="str">
        <f>VLOOKUP(VLOOKUP(Q420&amp;"_"&amp;R420,活动关卡!$A$60:$Z$83,2+5*S420,FALSE),'⚪设计'!$B$85:$H$114,2,FALSE)</f>
        <v>ResUnit_Dan2</v>
      </c>
      <c r="E420" s="55">
        <f>VLOOKUP(VLOOKUP(Q420&amp;"_"&amp;R420,活动关卡!$A$60:$Z$83,2+5*S420,FALSE),'⚪设计'!$B$85:$H$114,6,FALSE)*VLOOKUP(Q420&amp;"_"&amp;R420,活动关卡!$A$60:$Z$83,5,FALSE)</f>
        <v>3</v>
      </c>
      <c r="F420">
        <v>400</v>
      </c>
      <c r="G420" t="b">
        <v>1</v>
      </c>
      <c r="H420">
        <v>1</v>
      </c>
      <c r="I420">
        <v>1</v>
      </c>
      <c r="J420">
        <v>0.25</v>
      </c>
      <c r="K420" s="55">
        <f>VLOOKUP(VLOOKUP(Q420&amp;"_"&amp;R420,活动关卡!$A$60:$Z$83,2+5*S420,FALSE),'⚪设计'!$B$85:$H$114,7,FALSE)</f>
        <v>1.3</v>
      </c>
      <c r="L420" s="57" t="s">
        <v>2488</v>
      </c>
      <c r="M420" t="s">
        <v>468</v>
      </c>
      <c r="N420" t="s">
        <v>469</v>
      </c>
      <c r="O420" t="s">
        <v>470</v>
      </c>
      <c r="P420" s="57" t="str">
        <f>IF(VLOOKUP(D420,'⚪设计'!$C$85:$I$113,7,FALSE)="","",VLOOKUP(D420,'⚪设计'!$C$85:$I$113,7,FALSE)&amp;",NormalAttack")</f>
        <v>Skill_Monster_Weaken,NormalAttack</v>
      </c>
      <c r="Q420" s="110" t="str">
        <f t="shared" si="17"/>
        <v>5</v>
      </c>
      <c r="R420" s="110" t="str">
        <f t="shared" si="18"/>
        <v>2</v>
      </c>
      <c r="S420" s="110" t="str">
        <f t="shared" si="19"/>
        <v>1</v>
      </c>
    </row>
    <row r="421" spans="2:19" x14ac:dyDescent="0.2">
      <c r="B421" s="57" t="s">
        <v>2781</v>
      </c>
      <c r="C421" s="57" t="s">
        <v>3073</v>
      </c>
      <c r="D421" s="55" t="str">
        <f>VLOOKUP(VLOOKUP(Q421&amp;"_"&amp;R421,活动关卡!$A$60:$Z$83,2+5*S421,FALSE),'⚪设计'!$B$85:$H$114,2,FALSE)</f>
        <v>ResUnit_BianFu1</v>
      </c>
      <c r="E421" s="55">
        <f>VLOOKUP(VLOOKUP(Q421&amp;"_"&amp;R421,活动关卡!$A$60:$Z$83,2+5*S421,FALSE),'⚪设计'!$B$85:$H$114,6,FALSE)*VLOOKUP(Q421&amp;"_"&amp;R421,活动关卡!$A$60:$Z$83,5,FALSE)</f>
        <v>3</v>
      </c>
      <c r="F421">
        <v>400</v>
      </c>
      <c r="G421" t="b">
        <v>1</v>
      </c>
      <c r="H421">
        <v>1</v>
      </c>
      <c r="I421">
        <v>1</v>
      </c>
      <c r="J421">
        <v>0.25</v>
      </c>
      <c r="K421" s="55">
        <f>VLOOKUP(VLOOKUP(Q421&amp;"_"&amp;R421,活动关卡!$A$60:$Z$83,2+5*S421,FALSE),'⚪设计'!$B$85:$H$114,7,FALSE)</f>
        <v>0.5</v>
      </c>
      <c r="L421" s="57" t="s">
        <v>2489</v>
      </c>
      <c r="M421" t="s">
        <v>468</v>
      </c>
      <c r="N421" t="s">
        <v>469</v>
      </c>
      <c r="O421" t="s">
        <v>470</v>
      </c>
      <c r="P421" s="57" t="str">
        <f>IF(VLOOKUP(D421,'⚪设计'!$C$85:$I$113,7,FALSE)="","",VLOOKUP(D421,'⚪设计'!$C$85:$I$113,7,FALSE)&amp;",NormalAttack")</f>
        <v/>
      </c>
      <c r="Q421" s="110" t="str">
        <f t="shared" si="17"/>
        <v>5</v>
      </c>
      <c r="R421" s="110" t="str">
        <f t="shared" si="18"/>
        <v>2</v>
      </c>
      <c r="S421" s="110" t="str">
        <f t="shared" si="19"/>
        <v>2</v>
      </c>
    </row>
    <row r="422" spans="2:19" x14ac:dyDescent="0.2">
      <c r="B422" s="57" t="s">
        <v>2782</v>
      </c>
      <c r="C422" s="57" t="s">
        <v>3074</v>
      </c>
      <c r="D422" s="55" t="str">
        <f>VLOOKUP(VLOOKUP(Q422&amp;"_"&amp;R422,活动关卡!$A$60:$Z$83,2+5*S422,FALSE),'⚪设计'!$B$85:$H$114,2,FALSE)</f>
        <v>ResUnit_XueRen2</v>
      </c>
      <c r="E422" s="55">
        <f>VLOOKUP(VLOOKUP(Q422&amp;"_"&amp;R422,活动关卡!$A$60:$Z$83,2+5*S422,FALSE),'⚪设计'!$B$85:$H$114,6,FALSE)*VLOOKUP(Q422&amp;"_"&amp;R422,活动关卡!$A$60:$Z$83,5,FALSE)</f>
        <v>3</v>
      </c>
      <c r="F422">
        <v>400</v>
      </c>
      <c r="G422" t="b">
        <v>1</v>
      </c>
      <c r="H422">
        <v>1</v>
      </c>
      <c r="I422">
        <v>1</v>
      </c>
      <c r="J422">
        <v>0.25</v>
      </c>
      <c r="K422" s="55">
        <f>VLOOKUP(VLOOKUP(Q422&amp;"_"&amp;R422,活动关卡!$A$60:$Z$83,2+5*S422,FALSE),'⚪设计'!$B$85:$H$114,7,FALSE)</f>
        <v>1.2</v>
      </c>
      <c r="L422" s="57" t="s">
        <v>2490</v>
      </c>
      <c r="M422" t="s">
        <v>468</v>
      </c>
      <c r="N422" t="s">
        <v>469</v>
      </c>
      <c r="O422" t="s">
        <v>470</v>
      </c>
      <c r="P422" s="57" t="str">
        <f>IF(VLOOKUP(D422,'⚪设计'!$C$85:$I$113,7,FALSE)="","",VLOOKUP(D422,'⚪设计'!$C$85:$I$113,7,FALSE)&amp;",NormalAttack")</f>
        <v/>
      </c>
      <c r="Q422" s="110" t="str">
        <f t="shared" si="17"/>
        <v>5</v>
      </c>
      <c r="R422" s="110" t="str">
        <f t="shared" si="18"/>
        <v>2</v>
      </c>
      <c r="S422" s="110" t="str">
        <f t="shared" si="19"/>
        <v>3</v>
      </c>
    </row>
    <row r="423" spans="2:19" x14ac:dyDescent="0.2">
      <c r="B423" s="57" t="s">
        <v>2783</v>
      </c>
      <c r="C423" s="57" t="s">
        <v>3075</v>
      </c>
      <c r="D423" s="55" t="str">
        <f>VLOOKUP(VLOOKUP(Q423&amp;"_"&amp;R423,活动关卡!$A$60:$Z$83,2+5*S423,FALSE),'⚪设计'!$B$85:$H$114,2,FALSE)</f>
        <v>ResUnit_Dan2</v>
      </c>
      <c r="E423" s="55">
        <f>VLOOKUP(VLOOKUP(Q423&amp;"_"&amp;R423,活动关卡!$A$60:$Z$83,2+5*S423,FALSE),'⚪设计'!$B$85:$H$114,6,FALSE)*VLOOKUP(Q423&amp;"_"&amp;R423,活动关卡!$A$60:$Z$83,5,FALSE)</f>
        <v>3</v>
      </c>
      <c r="F423">
        <v>400</v>
      </c>
      <c r="G423" t="b">
        <v>1</v>
      </c>
      <c r="H423">
        <v>1</v>
      </c>
      <c r="I423">
        <v>1</v>
      </c>
      <c r="J423">
        <v>0.25</v>
      </c>
      <c r="K423" s="55">
        <f>VLOOKUP(VLOOKUP(Q423&amp;"_"&amp;R423,活动关卡!$A$60:$Z$83,2+5*S423,FALSE),'⚪设计'!$B$85:$H$114,7,FALSE)</f>
        <v>1.3</v>
      </c>
      <c r="L423" s="57" t="s">
        <v>2491</v>
      </c>
      <c r="M423" t="s">
        <v>468</v>
      </c>
      <c r="N423" t="s">
        <v>469</v>
      </c>
      <c r="O423" t="s">
        <v>470</v>
      </c>
      <c r="P423" s="57" t="str">
        <f>IF(VLOOKUP(D423,'⚪设计'!$C$85:$I$113,7,FALSE)="","",VLOOKUP(D423,'⚪设计'!$C$85:$I$113,7,FALSE)&amp;",NormalAttack")</f>
        <v>Skill_Monster_Weaken,NormalAttack</v>
      </c>
      <c r="Q423" s="110" t="str">
        <f t="shared" si="17"/>
        <v>5</v>
      </c>
      <c r="R423" s="110" t="str">
        <f t="shared" si="18"/>
        <v>3</v>
      </c>
      <c r="S423" s="110" t="str">
        <f t="shared" si="19"/>
        <v>1</v>
      </c>
    </row>
    <row r="424" spans="2:19" x14ac:dyDescent="0.2">
      <c r="B424" s="57" t="s">
        <v>2784</v>
      </c>
      <c r="C424" s="57" t="s">
        <v>3076</v>
      </c>
      <c r="D424" s="55" t="str">
        <f>VLOOKUP(VLOOKUP(Q424&amp;"_"&amp;R424,活动关卡!$A$60:$Z$83,2+5*S424,FALSE),'⚪设计'!$B$85:$H$114,2,FALSE)</f>
        <v>ResUnit_ZhiZhu1</v>
      </c>
      <c r="E424" s="55">
        <f>VLOOKUP(VLOOKUP(Q424&amp;"_"&amp;R424,活动关卡!$A$60:$Z$83,2+5*S424,FALSE),'⚪设计'!$B$85:$H$114,6,FALSE)*VLOOKUP(Q424&amp;"_"&amp;R424,活动关卡!$A$60:$Z$83,5,FALSE)</f>
        <v>4.5</v>
      </c>
      <c r="F424">
        <v>400</v>
      </c>
      <c r="G424" t="b">
        <v>1</v>
      </c>
      <c r="H424">
        <v>1</v>
      </c>
      <c r="I424">
        <v>1</v>
      </c>
      <c r="J424">
        <v>0.25</v>
      </c>
      <c r="K424" s="55">
        <f>VLOOKUP(VLOOKUP(Q424&amp;"_"&amp;R424,活动关卡!$A$60:$Z$83,2+5*S424,FALSE),'⚪设计'!$B$85:$H$114,7,FALSE)</f>
        <v>1</v>
      </c>
      <c r="L424" s="57" t="s">
        <v>2492</v>
      </c>
      <c r="M424" t="s">
        <v>468</v>
      </c>
      <c r="N424" t="s">
        <v>469</v>
      </c>
      <c r="O424" t="s">
        <v>470</v>
      </c>
      <c r="P424" s="57" t="str">
        <f>IF(VLOOKUP(D424,'⚪设计'!$C$85:$I$113,7,FALSE)="","",VLOOKUP(D424,'⚪设计'!$C$85:$I$113,7,FALSE)&amp;",NormalAttack")</f>
        <v/>
      </c>
      <c r="Q424" s="110" t="str">
        <f t="shared" si="17"/>
        <v>5</v>
      </c>
      <c r="R424" s="110" t="str">
        <f t="shared" si="18"/>
        <v>3</v>
      </c>
      <c r="S424" s="110" t="str">
        <f t="shared" si="19"/>
        <v>2</v>
      </c>
    </row>
    <row r="425" spans="2:19" x14ac:dyDescent="0.2">
      <c r="B425" s="57" t="s">
        <v>2785</v>
      </c>
      <c r="C425" s="57" t="s">
        <v>3077</v>
      </c>
      <c r="D425" s="55" t="str">
        <f>VLOOKUP(VLOOKUP(Q425&amp;"_"&amp;R425,活动关卡!$A$60:$Z$83,2+5*S425,FALSE),'⚪设计'!$B$85:$H$114,2,FALSE)</f>
        <v>ResUnit_Gui1</v>
      </c>
      <c r="E425" s="55">
        <f>VLOOKUP(VLOOKUP(Q425&amp;"_"&amp;R425,活动关卡!$A$60:$Z$83,2+5*S425,FALSE),'⚪设计'!$B$85:$H$114,6,FALSE)*VLOOKUP(Q425&amp;"_"&amp;R425,活动关卡!$A$60:$Z$83,5,FALSE)</f>
        <v>3</v>
      </c>
      <c r="F425">
        <v>400</v>
      </c>
      <c r="G425" t="b">
        <v>1</v>
      </c>
      <c r="H425">
        <v>1</v>
      </c>
      <c r="I425">
        <v>1</v>
      </c>
      <c r="J425">
        <v>0.25</v>
      </c>
      <c r="K425" s="55">
        <f>VLOOKUP(VLOOKUP(Q425&amp;"_"&amp;R425,活动关卡!$A$60:$Z$83,2+5*S425,FALSE),'⚪设计'!$B$85:$H$114,7,FALSE)</f>
        <v>1</v>
      </c>
      <c r="L425" s="57" t="s">
        <v>2493</v>
      </c>
      <c r="M425" t="s">
        <v>468</v>
      </c>
      <c r="N425" t="s">
        <v>469</v>
      </c>
      <c r="O425" t="s">
        <v>470</v>
      </c>
      <c r="P425" s="57" t="str">
        <f>IF(VLOOKUP(D425,'⚪设计'!$C$85:$I$113,7,FALSE)="","",VLOOKUP(D425,'⚪设计'!$C$85:$I$113,7,FALSE)&amp;",NormalAttack")</f>
        <v>Skill_Monster_Invisible,NormalAttack</v>
      </c>
      <c r="Q425" s="110" t="str">
        <f t="shared" si="17"/>
        <v>5</v>
      </c>
      <c r="R425" s="110" t="str">
        <f t="shared" si="18"/>
        <v>3</v>
      </c>
      <c r="S425" s="110" t="str">
        <f t="shared" si="19"/>
        <v>3</v>
      </c>
    </row>
    <row r="426" spans="2:19" x14ac:dyDescent="0.2">
      <c r="B426" s="57" t="s">
        <v>2786</v>
      </c>
      <c r="C426" s="57" t="s">
        <v>3078</v>
      </c>
      <c r="D426" s="55" t="str">
        <f>VLOOKUP(VLOOKUP(Q426&amp;"_"&amp;R426,活动关卡!$A$60:$Z$83,2+5*S426,FALSE),'⚪设计'!$B$85:$H$114,2,FALSE)</f>
        <v>ResUnit_XueRen2</v>
      </c>
      <c r="E426" s="55">
        <f>VLOOKUP(VLOOKUP(Q426&amp;"_"&amp;R426,活动关卡!$A$60:$Z$83,2+5*S426,FALSE),'⚪设计'!$B$85:$H$114,6,FALSE)*VLOOKUP(Q426&amp;"_"&amp;R426,活动关卡!$A$60:$Z$83,5,FALSE)</f>
        <v>3</v>
      </c>
      <c r="F426">
        <v>400</v>
      </c>
      <c r="G426" t="b">
        <v>1</v>
      </c>
      <c r="H426">
        <v>1</v>
      </c>
      <c r="I426">
        <v>1</v>
      </c>
      <c r="J426">
        <v>0.25</v>
      </c>
      <c r="K426" s="55">
        <f>VLOOKUP(VLOOKUP(Q426&amp;"_"&amp;R426,活动关卡!$A$60:$Z$83,2+5*S426,FALSE),'⚪设计'!$B$85:$H$114,7,FALSE)</f>
        <v>1.2</v>
      </c>
      <c r="L426" s="57" t="s">
        <v>2494</v>
      </c>
      <c r="M426" t="s">
        <v>468</v>
      </c>
      <c r="N426" t="s">
        <v>469</v>
      </c>
      <c r="O426" t="s">
        <v>470</v>
      </c>
      <c r="P426" s="57" t="str">
        <f>IF(VLOOKUP(D426,'⚪设计'!$C$85:$I$113,7,FALSE)="","",VLOOKUP(D426,'⚪设计'!$C$85:$I$113,7,FALSE)&amp;",NormalAttack")</f>
        <v/>
      </c>
      <c r="Q426" s="110" t="str">
        <f t="shared" si="17"/>
        <v>5</v>
      </c>
      <c r="R426" s="110" t="str">
        <f t="shared" si="18"/>
        <v>3</v>
      </c>
      <c r="S426" s="110" t="str">
        <f t="shared" si="19"/>
        <v>4</v>
      </c>
    </row>
    <row r="427" spans="2:19" x14ac:dyDescent="0.2">
      <c r="B427" s="57" t="s">
        <v>2787</v>
      </c>
      <c r="C427" s="57" t="s">
        <v>3079</v>
      </c>
      <c r="D427" s="55" t="str">
        <f>VLOOKUP(VLOOKUP(Q427&amp;"_"&amp;R427,活动关卡!$A$60:$Z$83,2+5*S427,FALSE),'⚪设计'!$B$85:$H$114,2,FALSE)</f>
        <v>ResUnit_Dan2</v>
      </c>
      <c r="E427" s="55">
        <f>VLOOKUP(VLOOKUP(Q427&amp;"_"&amp;R427,活动关卡!$A$60:$Z$83,2+5*S427,FALSE),'⚪设计'!$B$85:$H$114,6,FALSE)*VLOOKUP(Q427&amp;"_"&amp;R427,活动关卡!$A$60:$Z$83,5,FALSE)</f>
        <v>3</v>
      </c>
      <c r="F427">
        <v>400</v>
      </c>
      <c r="G427" t="b">
        <v>1</v>
      </c>
      <c r="H427">
        <v>1</v>
      </c>
      <c r="I427">
        <v>1</v>
      </c>
      <c r="J427">
        <v>0.25</v>
      </c>
      <c r="K427" s="55">
        <f>VLOOKUP(VLOOKUP(Q427&amp;"_"&amp;R427,活动关卡!$A$60:$Z$83,2+5*S427,FALSE),'⚪设计'!$B$85:$H$114,7,FALSE)</f>
        <v>1.3</v>
      </c>
      <c r="L427" s="57" t="s">
        <v>2495</v>
      </c>
      <c r="M427" t="s">
        <v>468</v>
      </c>
      <c r="N427" t="s">
        <v>469</v>
      </c>
      <c r="O427" t="s">
        <v>470</v>
      </c>
      <c r="P427" s="57" t="str">
        <f>IF(VLOOKUP(D427,'⚪设计'!$C$85:$I$113,7,FALSE)="","",VLOOKUP(D427,'⚪设计'!$C$85:$I$113,7,FALSE)&amp;",NormalAttack")</f>
        <v>Skill_Monster_Weaken,NormalAttack</v>
      </c>
      <c r="Q427" s="110" t="str">
        <f t="shared" si="17"/>
        <v>5</v>
      </c>
      <c r="R427" s="110" t="str">
        <f t="shared" si="18"/>
        <v>4</v>
      </c>
      <c r="S427" s="110" t="str">
        <f t="shared" si="19"/>
        <v>1</v>
      </c>
    </row>
    <row r="428" spans="2:19" x14ac:dyDescent="0.2">
      <c r="B428" s="57" t="s">
        <v>2788</v>
      </c>
      <c r="C428" s="57" t="s">
        <v>3080</v>
      </c>
      <c r="D428" s="55" t="str">
        <f>VLOOKUP(VLOOKUP(Q428&amp;"_"&amp;R428,活动关卡!$A$60:$Z$83,2+5*S428,FALSE),'⚪设计'!$B$85:$H$114,2,FALSE)</f>
        <v>ResUnit_Gui1</v>
      </c>
      <c r="E428" s="55">
        <f>VLOOKUP(VLOOKUP(Q428&amp;"_"&amp;R428,活动关卡!$A$60:$Z$83,2+5*S428,FALSE),'⚪设计'!$B$85:$H$114,6,FALSE)*VLOOKUP(Q428&amp;"_"&amp;R428,活动关卡!$A$60:$Z$83,5,FALSE)</f>
        <v>3</v>
      </c>
      <c r="F428">
        <v>400</v>
      </c>
      <c r="G428" t="b">
        <v>1</v>
      </c>
      <c r="H428">
        <v>1</v>
      </c>
      <c r="I428">
        <v>1</v>
      </c>
      <c r="J428">
        <v>0.25</v>
      </c>
      <c r="K428" s="55">
        <f>VLOOKUP(VLOOKUP(Q428&amp;"_"&amp;R428,活动关卡!$A$60:$Z$83,2+5*S428,FALSE),'⚪设计'!$B$85:$H$114,7,FALSE)</f>
        <v>1</v>
      </c>
      <c r="L428" s="57" t="s">
        <v>2496</v>
      </c>
      <c r="M428" t="s">
        <v>468</v>
      </c>
      <c r="N428" t="s">
        <v>469</v>
      </c>
      <c r="O428" t="s">
        <v>470</v>
      </c>
      <c r="P428" s="57" t="str">
        <f>IF(VLOOKUP(D428,'⚪设计'!$C$85:$I$113,7,FALSE)="","",VLOOKUP(D428,'⚪设计'!$C$85:$I$113,7,FALSE)&amp;",NormalAttack")</f>
        <v>Skill_Monster_Invisible,NormalAttack</v>
      </c>
      <c r="Q428" s="110" t="str">
        <f t="shared" si="17"/>
        <v>5</v>
      </c>
      <c r="R428" s="110" t="str">
        <f t="shared" si="18"/>
        <v>4</v>
      </c>
      <c r="S428" s="110" t="str">
        <f t="shared" si="19"/>
        <v>2</v>
      </c>
    </row>
    <row r="429" spans="2:19" x14ac:dyDescent="0.2">
      <c r="B429" s="57" t="s">
        <v>2789</v>
      </c>
      <c r="C429" s="57" t="s">
        <v>3081</v>
      </c>
      <c r="D429" s="55" t="str">
        <f>VLOOKUP(VLOOKUP(Q429&amp;"_"&amp;R429,活动关卡!$A$60:$Z$83,2+5*S429,FALSE),'⚪设计'!$B$85:$H$114,2,FALSE)</f>
        <v>ResUnit_XueRen2</v>
      </c>
      <c r="E429" s="55">
        <f>VLOOKUP(VLOOKUP(Q429&amp;"_"&amp;R429,活动关卡!$A$60:$Z$83,2+5*S429,FALSE),'⚪设计'!$B$85:$H$114,6,FALSE)*VLOOKUP(Q429&amp;"_"&amp;R429,活动关卡!$A$60:$Z$83,5,FALSE)</f>
        <v>3</v>
      </c>
      <c r="F429">
        <v>400</v>
      </c>
      <c r="G429" t="b">
        <v>1</v>
      </c>
      <c r="H429">
        <v>1</v>
      </c>
      <c r="I429">
        <v>1</v>
      </c>
      <c r="J429">
        <v>0.25</v>
      </c>
      <c r="K429" s="55">
        <f>VLOOKUP(VLOOKUP(Q429&amp;"_"&amp;R429,活动关卡!$A$60:$Z$83,2+5*S429,FALSE),'⚪设计'!$B$85:$H$114,7,FALSE)</f>
        <v>1.2</v>
      </c>
      <c r="L429" s="57" t="s">
        <v>2497</v>
      </c>
      <c r="M429" t="s">
        <v>468</v>
      </c>
      <c r="N429" t="s">
        <v>469</v>
      </c>
      <c r="O429" t="s">
        <v>470</v>
      </c>
      <c r="P429" s="57" t="str">
        <f>IF(VLOOKUP(D429,'⚪设计'!$C$85:$I$113,7,FALSE)="","",VLOOKUP(D429,'⚪设计'!$C$85:$I$113,7,FALSE)&amp;",NormalAttack")</f>
        <v/>
      </c>
      <c r="Q429" s="110" t="str">
        <f t="shared" si="17"/>
        <v>5</v>
      </c>
      <c r="R429" s="110" t="str">
        <f t="shared" si="18"/>
        <v>4</v>
      </c>
      <c r="S429" s="110" t="str">
        <f t="shared" si="19"/>
        <v>3</v>
      </c>
    </row>
    <row r="430" spans="2:19" x14ac:dyDescent="0.2">
      <c r="B430" s="57" t="s">
        <v>2790</v>
      </c>
      <c r="C430" s="57" t="s">
        <v>3082</v>
      </c>
      <c r="D430" s="55" t="str">
        <f>VLOOKUP(VLOOKUP(Q430&amp;"_"&amp;R430,活动关卡!$A$60:$Z$83,2+5*S430,FALSE),'⚪设计'!$B$85:$H$114,2,FALSE)</f>
        <v>ResUnit_Dan2</v>
      </c>
      <c r="E430" s="55">
        <f>VLOOKUP(VLOOKUP(Q430&amp;"_"&amp;R430,活动关卡!$A$60:$Z$83,2+5*S430,FALSE),'⚪设计'!$B$85:$H$114,6,FALSE)*VLOOKUP(Q430&amp;"_"&amp;R430,活动关卡!$A$60:$Z$83,5,FALSE)</f>
        <v>3</v>
      </c>
      <c r="F430">
        <v>400</v>
      </c>
      <c r="G430" t="b">
        <v>1</v>
      </c>
      <c r="H430">
        <v>1</v>
      </c>
      <c r="I430">
        <v>1</v>
      </c>
      <c r="J430">
        <v>0.25</v>
      </c>
      <c r="K430" s="55">
        <f>VLOOKUP(VLOOKUP(Q430&amp;"_"&amp;R430,活动关卡!$A$60:$Z$83,2+5*S430,FALSE),'⚪设计'!$B$85:$H$114,7,FALSE)</f>
        <v>1.3</v>
      </c>
      <c r="L430" s="57" t="s">
        <v>2498</v>
      </c>
      <c r="M430" t="s">
        <v>468</v>
      </c>
      <c r="N430" t="s">
        <v>469</v>
      </c>
      <c r="O430" t="s">
        <v>470</v>
      </c>
      <c r="P430" s="57" t="str">
        <f>IF(VLOOKUP(D430,'⚪设计'!$C$85:$I$113,7,FALSE)="","",VLOOKUP(D430,'⚪设计'!$C$85:$I$113,7,FALSE)&amp;",NormalAttack")</f>
        <v>Skill_Monster_Weaken,NormalAttack</v>
      </c>
      <c r="Q430" s="110" t="str">
        <f t="shared" si="17"/>
        <v>5</v>
      </c>
      <c r="R430" s="110" t="str">
        <f t="shared" si="18"/>
        <v>5</v>
      </c>
      <c r="S430" s="110" t="str">
        <f t="shared" si="19"/>
        <v>1</v>
      </c>
    </row>
    <row r="431" spans="2:19" x14ac:dyDescent="0.2">
      <c r="B431" s="57" t="s">
        <v>2791</v>
      </c>
      <c r="C431" s="57" t="s">
        <v>3083</v>
      </c>
      <c r="D431" s="55" t="str">
        <f>VLOOKUP(VLOOKUP(Q431&amp;"_"&amp;R431,活动关卡!$A$60:$Z$83,2+5*S431,FALSE),'⚪设计'!$B$85:$H$114,2,FALSE)</f>
        <v>ResUnit_Gui1</v>
      </c>
      <c r="E431" s="55">
        <f>VLOOKUP(VLOOKUP(Q431&amp;"_"&amp;R431,活动关卡!$A$60:$Z$83,2+5*S431,FALSE),'⚪设计'!$B$85:$H$114,6,FALSE)*VLOOKUP(Q431&amp;"_"&amp;R431,活动关卡!$A$60:$Z$83,5,FALSE)</f>
        <v>3</v>
      </c>
      <c r="F431">
        <v>400</v>
      </c>
      <c r="G431" t="b">
        <v>1</v>
      </c>
      <c r="H431">
        <v>1</v>
      </c>
      <c r="I431">
        <v>1</v>
      </c>
      <c r="J431">
        <v>0.25</v>
      </c>
      <c r="K431" s="55">
        <f>VLOOKUP(VLOOKUP(Q431&amp;"_"&amp;R431,活动关卡!$A$60:$Z$83,2+5*S431,FALSE),'⚪设计'!$B$85:$H$114,7,FALSE)</f>
        <v>1</v>
      </c>
      <c r="L431" s="57" t="s">
        <v>2499</v>
      </c>
      <c r="M431" t="s">
        <v>468</v>
      </c>
      <c r="N431" t="s">
        <v>469</v>
      </c>
      <c r="O431" t="s">
        <v>470</v>
      </c>
      <c r="P431" s="57" t="str">
        <f>IF(VLOOKUP(D431,'⚪设计'!$C$85:$I$113,7,FALSE)="","",VLOOKUP(D431,'⚪设计'!$C$85:$I$113,7,FALSE)&amp;",NormalAttack")</f>
        <v>Skill_Monster_Invisible,NormalAttack</v>
      </c>
      <c r="Q431" s="110" t="str">
        <f t="shared" si="17"/>
        <v>5</v>
      </c>
      <c r="R431" s="110" t="str">
        <f t="shared" si="18"/>
        <v>5</v>
      </c>
      <c r="S431" s="110" t="str">
        <f t="shared" si="19"/>
        <v>2</v>
      </c>
    </row>
    <row r="432" spans="2:19" x14ac:dyDescent="0.2">
      <c r="B432" s="57" t="s">
        <v>2792</v>
      </c>
      <c r="C432" s="57" t="s">
        <v>3084</v>
      </c>
      <c r="D432" s="55" t="str">
        <f>VLOOKUP(VLOOKUP(Q432&amp;"_"&amp;R432,活动关卡!$A$60:$Z$83,2+5*S432,FALSE),'⚪设计'!$B$85:$H$114,2,FALSE)</f>
        <v>ResUnit_ZhongZi1</v>
      </c>
      <c r="E432" s="55">
        <f>VLOOKUP(VLOOKUP(Q432&amp;"_"&amp;R432,活动关卡!$A$60:$Z$83,2+5*S432,FALSE),'⚪设计'!$B$85:$H$114,6,FALSE)*VLOOKUP(Q432&amp;"_"&amp;R432,活动关卡!$A$60:$Z$83,5,FALSE)</f>
        <v>3</v>
      </c>
      <c r="F432">
        <v>400</v>
      </c>
      <c r="G432" t="b">
        <v>1</v>
      </c>
      <c r="H432">
        <v>1</v>
      </c>
      <c r="I432">
        <v>1</v>
      </c>
      <c r="J432">
        <v>0.25</v>
      </c>
      <c r="K432" s="55">
        <f>VLOOKUP(VLOOKUP(Q432&amp;"_"&amp;R432,活动关卡!$A$60:$Z$83,2+5*S432,FALSE),'⚪设计'!$B$85:$H$114,7,FALSE)</f>
        <v>1</v>
      </c>
      <c r="L432" s="57" t="s">
        <v>2500</v>
      </c>
      <c r="M432" t="s">
        <v>468</v>
      </c>
      <c r="N432" t="s">
        <v>469</v>
      </c>
      <c r="O432" t="s">
        <v>470</v>
      </c>
      <c r="P432" s="57" t="str">
        <f>IF(VLOOKUP(D432,'⚪设计'!$C$85:$I$113,7,FALSE)="","",VLOOKUP(D432,'⚪设计'!$C$85:$I$113,7,FALSE)&amp;",NormalAttack")</f>
        <v>Skill_Monster_Heal,NormalAttack</v>
      </c>
      <c r="Q432" s="110" t="str">
        <f t="shared" si="17"/>
        <v>5</v>
      </c>
      <c r="R432" s="110" t="str">
        <f t="shared" si="18"/>
        <v>5</v>
      </c>
      <c r="S432" s="110" t="str">
        <f t="shared" si="19"/>
        <v>3</v>
      </c>
    </row>
    <row r="433" spans="2:19" x14ac:dyDescent="0.2">
      <c r="B433" s="57" t="s">
        <v>2793</v>
      </c>
      <c r="C433" s="57" t="s">
        <v>3085</v>
      </c>
      <c r="D433" s="55" t="str">
        <f>VLOOKUP(VLOOKUP(Q433&amp;"_"&amp;R433,活动关卡!$A$60:$Z$83,2+5*S433,FALSE),'⚪设计'!$B$85:$H$114,2,FALSE)</f>
        <v>ResUnit_XueRen2</v>
      </c>
      <c r="E433" s="55">
        <f>VLOOKUP(VLOOKUP(Q433&amp;"_"&amp;R433,活动关卡!$A$60:$Z$83,2+5*S433,FALSE),'⚪设计'!$B$85:$H$114,6,FALSE)*VLOOKUP(Q433&amp;"_"&amp;R433,活动关卡!$A$60:$Z$83,5,FALSE)</f>
        <v>3</v>
      </c>
      <c r="F433">
        <v>400</v>
      </c>
      <c r="G433" t="b">
        <v>1</v>
      </c>
      <c r="H433">
        <v>1</v>
      </c>
      <c r="I433">
        <v>1</v>
      </c>
      <c r="J433">
        <v>0.25</v>
      </c>
      <c r="K433" s="55">
        <f>VLOOKUP(VLOOKUP(Q433&amp;"_"&amp;R433,活动关卡!$A$60:$Z$83,2+5*S433,FALSE),'⚪设计'!$B$85:$H$114,7,FALSE)</f>
        <v>1.2</v>
      </c>
      <c r="L433" s="57" t="s">
        <v>2501</v>
      </c>
      <c r="M433" t="s">
        <v>468</v>
      </c>
      <c r="N433" t="s">
        <v>469</v>
      </c>
      <c r="O433" t="s">
        <v>470</v>
      </c>
      <c r="P433" s="57" t="str">
        <f>IF(VLOOKUP(D433,'⚪设计'!$C$85:$I$113,7,FALSE)="","",VLOOKUP(D433,'⚪设计'!$C$85:$I$113,7,FALSE)&amp;",NormalAttack")</f>
        <v/>
      </c>
      <c r="Q433" s="110" t="str">
        <f t="shared" si="17"/>
        <v>5</v>
      </c>
      <c r="R433" s="110" t="str">
        <f t="shared" si="18"/>
        <v>5</v>
      </c>
      <c r="S433" s="110" t="str">
        <f t="shared" si="19"/>
        <v>4</v>
      </c>
    </row>
    <row r="434" spans="2:19" x14ac:dyDescent="0.2">
      <c r="B434" s="57" t="s">
        <v>2794</v>
      </c>
      <c r="C434" s="57" t="s">
        <v>3086</v>
      </c>
      <c r="D434" s="55" t="str">
        <f>VLOOKUP(VLOOKUP(Q434&amp;"_"&amp;R434,活动关卡!$A$60:$Z$83,2+5*S434,FALSE),'⚪设计'!$B$85:$H$114,2,FALSE)</f>
        <v>ResUnit_Dan2</v>
      </c>
      <c r="E434" s="55">
        <f>VLOOKUP(VLOOKUP(Q434&amp;"_"&amp;R434,活动关卡!$A$60:$Z$83,2+5*S434,FALSE),'⚪设计'!$B$85:$H$114,6,FALSE)*VLOOKUP(Q434&amp;"_"&amp;R434,活动关卡!$A$60:$Z$83,5,FALSE)</f>
        <v>3</v>
      </c>
      <c r="F434">
        <v>400</v>
      </c>
      <c r="G434" t="b">
        <v>1</v>
      </c>
      <c r="H434">
        <v>1</v>
      </c>
      <c r="I434">
        <v>1</v>
      </c>
      <c r="J434">
        <v>0.25</v>
      </c>
      <c r="K434" s="55">
        <f>VLOOKUP(VLOOKUP(Q434&amp;"_"&amp;R434,活动关卡!$A$60:$Z$83,2+5*S434,FALSE),'⚪设计'!$B$85:$H$114,7,FALSE)</f>
        <v>1.3</v>
      </c>
      <c r="L434" s="57" t="s">
        <v>2502</v>
      </c>
      <c r="M434" t="s">
        <v>468</v>
      </c>
      <c r="N434" t="s">
        <v>469</v>
      </c>
      <c r="O434" t="s">
        <v>470</v>
      </c>
      <c r="P434" s="57" t="str">
        <f>IF(VLOOKUP(D434,'⚪设计'!$C$85:$I$113,7,FALSE)="","",VLOOKUP(D434,'⚪设计'!$C$85:$I$113,7,FALSE)&amp;",NormalAttack")</f>
        <v>Skill_Monster_Weaken,NormalAttack</v>
      </c>
      <c r="Q434" s="110" t="str">
        <f t="shared" si="17"/>
        <v>5</v>
      </c>
      <c r="R434" s="110" t="str">
        <f t="shared" si="18"/>
        <v>6</v>
      </c>
      <c r="S434" s="110" t="str">
        <f t="shared" si="19"/>
        <v>1</v>
      </c>
    </row>
    <row r="435" spans="2:19" x14ac:dyDescent="0.2">
      <c r="B435" s="57" t="s">
        <v>2795</v>
      </c>
      <c r="C435" s="57" t="s">
        <v>3087</v>
      </c>
      <c r="D435" s="55" t="str">
        <f>VLOOKUP(VLOOKUP(Q435&amp;"_"&amp;R435,活动关卡!$A$60:$Z$83,2+5*S435,FALSE),'⚪设计'!$B$85:$H$114,2,FALSE)</f>
        <v>ResUnit_ZhongZi2</v>
      </c>
      <c r="E435" s="55">
        <f>VLOOKUP(VLOOKUP(Q435&amp;"_"&amp;R435,活动关卡!$A$60:$Z$83,2+5*S435,FALSE),'⚪设计'!$B$85:$H$114,6,FALSE)*VLOOKUP(Q435&amp;"_"&amp;R435,活动关卡!$A$60:$Z$83,5,FALSE)</f>
        <v>3</v>
      </c>
      <c r="F435">
        <v>400</v>
      </c>
      <c r="G435" t="b">
        <v>1</v>
      </c>
      <c r="H435">
        <v>1</v>
      </c>
      <c r="I435">
        <v>1</v>
      </c>
      <c r="J435">
        <v>0.25</v>
      </c>
      <c r="K435" s="55">
        <f>VLOOKUP(VLOOKUP(Q435&amp;"_"&amp;R435,活动关卡!$A$60:$Z$83,2+5*S435,FALSE),'⚪设计'!$B$85:$H$114,7,FALSE)</f>
        <v>1.2</v>
      </c>
      <c r="L435" s="57" t="s">
        <v>2503</v>
      </c>
      <c r="M435" t="s">
        <v>468</v>
      </c>
      <c r="N435" t="s">
        <v>469</v>
      </c>
      <c r="O435" t="s">
        <v>470</v>
      </c>
      <c r="P435" s="57" t="str">
        <f>IF(VLOOKUP(D435,'⚪设计'!$C$85:$I$113,7,FALSE)="","",VLOOKUP(D435,'⚪设计'!$C$85:$I$113,7,FALSE)&amp;",NormalAttack")</f>
        <v>Skill_Monster_Heal,NormalAttack</v>
      </c>
      <c r="Q435" s="110" t="str">
        <f t="shared" si="17"/>
        <v>5</v>
      </c>
      <c r="R435" s="110" t="str">
        <f t="shared" si="18"/>
        <v>6</v>
      </c>
      <c r="S435" s="110" t="str">
        <f t="shared" si="19"/>
        <v>2</v>
      </c>
    </row>
    <row r="436" spans="2:19" x14ac:dyDescent="0.2">
      <c r="B436" s="57" t="s">
        <v>2796</v>
      </c>
      <c r="C436" s="57" t="s">
        <v>3088</v>
      </c>
      <c r="D436" s="55" t="str">
        <f>VLOOKUP(VLOOKUP(Q436&amp;"_"&amp;R436,活动关卡!$A$60:$Z$83,2+5*S436,FALSE),'⚪设计'!$B$85:$H$114,2,FALSE)</f>
        <v>ResUnit_ZhiZhu2</v>
      </c>
      <c r="E436" s="55">
        <f>VLOOKUP(VLOOKUP(Q436&amp;"_"&amp;R436,活动关卡!$A$60:$Z$83,2+5*S436,FALSE),'⚪设计'!$B$85:$H$114,6,FALSE)*VLOOKUP(Q436&amp;"_"&amp;R436,活动关卡!$A$60:$Z$83,5,FALSE)</f>
        <v>4.5</v>
      </c>
      <c r="F436">
        <v>400</v>
      </c>
      <c r="G436" t="b">
        <v>1</v>
      </c>
      <c r="H436">
        <v>1</v>
      </c>
      <c r="I436">
        <v>1</v>
      </c>
      <c r="J436">
        <v>0.25</v>
      </c>
      <c r="K436" s="55">
        <f>VLOOKUP(VLOOKUP(Q436&amp;"_"&amp;R436,活动关卡!$A$60:$Z$83,2+5*S436,FALSE),'⚪设计'!$B$85:$H$114,7,FALSE)</f>
        <v>1</v>
      </c>
      <c r="L436" s="57" t="s">
        <v>2504</v>
      </c>
      <c r="M436" t="s">
        <v>468</v>
      </c>
      <c r="N436" t="s">
        <v>469</v>
      </c>
      <c r="O436" t="s">
        <v>470</v>
      </c>
      <c r="P436" s="57" t="str">
        <f>IF(VLOOKUP(D436,'⚪设计'!$C$85:$I$113,7,FALSE)="","",VLOOKUP(D436,'⚪设计'!$C$85:$I$113,7,FALSE)&amp;",NormalAttack")</f>
        <v/>
      </c>
      <c r="Q436" s="110" t="str">
        <f t="shared" si="17"/>
        <v>5</v>
      </c>
      <c r="R436" s="110" t="str">
        <f t="shared" si="18"/>
        <v>6</v>
      </c>
      <c r="S436" s="110" t="str">
        <f t="shared" si="19"/>
        <v>3</v>
      </c>
    </row>
    <row r="437" spans="2:19" x14ac:dyDescent="0.2">
      <c r="B437" s="57" t="s">
        <v>2797</v>
      </c>
      <c r="C437" s="57" t="s">
        <v>3089</v>
      </c>
      <c r="D437" s="55" t="str">
        <f>VLOOKUP(VLOOKUP(Q437&amp;"_"&amp;R437,活动关卡!$A$60:$Z$83,2+5*S437,FALSE),'⚪设计'!$B$85:$H$114,2,FALSE)</f>
        <v>ResUnit_XueRen2</v>
      </c>
      <c r="E437" s="55">
        <f>VLOOKUP(VLOOKUP(Q437&amp;"_"&amp;R437,活动关卡!$A$60:$Z$83,2+5*S437,FALSE),'⚪设计'!$B$85:$H$114,6,FALSE)*VLOOKUP(Q437&amp;"_"&amp;R437,活动关卡!$A$60:$Z$83,5,FALSE)</f>
        <v>3</v>
      </c>
      <c r="F437">
        <v>400</v>
      </c>
      <c r="G437" t="b">
        <v>1</v>
      </c>
      <c r="H437">
        <v>1</v>
      </c>
      <c r="I437">
        <v>1</v>
      </c>
      <c r="J437">
        <v>0.25</v>
      </c>
      <c r="K437" s="55">
        <f>VLOOKUP(VLOOKUP(Q437&amp;"_"&amp;R437,活动关卡!$A$60:$Z$83,2+5*S437,FALSE),'⚪设计'!$B$85:$H$114,7,FALSE)</f>
        <v>1.2</v>
      </c>
      <c r="L437" s="57" t="s">
        <v>2505</v>
      </c>
      <c r="M437" t="s">
        <v>468</v>
      </c>
      <c r="N437" t="s">
        <v>469</v>
      </c>
      <c r="O437" t="s">
        <v>470</v>
      </c>
      <c r="P437" s="57" t="str">
        <f>IF(VLOOKUP(D437,'⚪设计'!$C$85:$I$113,7,FALSE)="","",VLOOKUP(D437,'⚪设计'!$C$85:$I$113,7,FALSE)&amp;",NormalAttack")</f>
        <v/>
      </c>
      <c r="Q437" s="110" t="str">
        <f t="shared" si="17"/>
        <v>5</v>
      </c>
      <c r="R437" s="110" t="str">
        <f t="shared" si="18"/>
        <v>6</v>
      </c>
      <c r="S437" s="110" t="str">
        <f t="shared" si="19"/>
        <v>4</v>
      </c>
    </row>
    <row r="438" spans="2:19" x14ac:dyDescent="0.2">
      <c r="B438" s="57" t="s">
        <v>2798</v>
      </c>
      <c r="C438" s="57" t="s">
        <v>3090</v>
      </c>
      <c r="D438" s="55" t="str">
        <f>VLOOKUP(VLOOKUP(Q438&amp;"_"&amp;R438,活动关卡!$A$60:$Z$83,2+5*S438,FALSE),'⚪设计'!$B$85:$H$114,2,FALSE)</f>
        <v>ResUnit_Dan2</v>
      </c>
      <c r="E438" s="55">
        <f>VLOOKUP(VLOOKUP(Q438&amp;"_"&amp;R438,活动关卡!$A$60:$Z$83,2+5*S438,FALSE),'⚪设计'!$B$85:$H$114,6,FALSE)*VLOOKUP(Q438&amp;"_"&amp;R438,活动关卡!$A$60:$Z$83,5,FALSE)</f>
        <v>3</v>
      </c>
      <c r="F438">
        <v>400</v>
      </c>
      <c r="G438" t="b">
        <v>1</v>
      </c>
      <c r="H438">
        <v>1</v>
      </c>
      <c r="I438">
        <v>1</v>
      </c>
      <c r="J438">
        <v>0.25</v>
      </c>
      <c r="K438" s="55">
        <f>VLOOKUP(VLOOKUP(Q438&amp;"_"&amp;R438,活动关卡!$A$60:$Z$83,2+5*S438,FALSE),'⚪设计'!$B$85:$H$114,7,FALSE)</f>
        <v>1.3</v>
      </c>
      <c r="L438" s="57" t="s">
        <v>2506</v>
      </c>
      <c r="M438" t="s">
        <v>468</v>
      </c>
      <c r="N438" t="s">
        <v>469</v>
      </c>
      <c r="O438" t="s">
        <v>470</v>
      </c>
      <c r="P438" s="57" t="str">
        <f>IF(VLOOKUP(D438,'⚪设计'!$C$85:$I$113,7,FALSE)="","",VLOOKUP(D438,'⚪设计'!$C$85:$I$113,7,FALSE)&amp;",NormalAttack")</f>
        <v>Skill_Monster_Weaken,NormalAttack</v>
      </c>
      <c r="Q438" s="110" t="str">
        <f t="shared" si="17"/>
        <v>5</v>
      </c>
      <c r="R438" s="110" t="str">
        <f t="shared" si="18"/>
        <v>7</v>
      </c>
      <c r="S438" s="110" t="str">
        <f t="shared" si="19"/>
        <v>1</v>
      </c>
    </row>
    <row r="439" spans="2:19" x14ac:dyDescent="0.2">
      <c r="B439" s="57" t="s">
        <v>2799</v>
      </c>
      <c r="C439" s="57" t="s">
        <v>3091</v>
      </c>
      <c r="D439" s="55" t="str">
        <f>VLOOKUP(VLOOKUP(Q439&amp;"_"&amp;R439,活动关卡!$A$60:$Z$83,2+5*S439,FALSE),'⚪设计'!$B$85:$H$114,2,FALSE)</f>
        <v>ResUnit_Gui2</v>
      </c>
      <c r="E439" s="55">
        <f>VLOOKUP(VLOOKUP(Q439&amp;"_"&amp;R439,活动关卡!$A$60:$Z$83,2+5*S439,FALSE),'⚪设计'!$B$85:$H$114,6,FALSE)*VLOOKUP(Q439&amp;"_"&amp;R439,活动关卡!$A$60:$Z$83,5,FALSE)</f>
        <v>3</v>
      </c>
      <c r="F439">
        <v>400</v>
      </c>
      <c r="G439" t="b">
        <v>1</v>
      </c>
      <c r="H439">
        <v>1</v>
      </c>
      <c r="I439">
        <v>1</v>
      </c>
      <c r="J439">
        <v>0.25</v>
      </c>
      <c r="K439" s="55">
        <f>VLOOKUP(VLOOKUP(Q439&amp;"_"&amp;R439,活动关卡!$A$60:$Z$83,2+5*S439,FALSE),'⚪设计'!$B$85:$H$114,7,FALSE)</f>
        <v>1</v>
      </c>
      <c r="L439" s="57" t="s">
        <v>2507</v>
      </c>
      <c r="M439" t="s">
        <v>468</v>
      </c>
      <c r="N439" t="s">
        <v>469</v>
      </c>
      <c r="O439" t="s">
        <v>470</v>
      </c>
      <c r="P439" s="57" t="str">
        <f>IF(VLOOKUP(D439,'⚪设计'!$C$85:$I$113,7,FALSE)="","",VLOOKUP(D439,'⚪设计'!$C$85:$I$113,7,FALSE)&amp;",NormalAttack")</f>
        <v>Skill_Monster_Invisible,NormalAttack</v>
      </c>
      <c r="Q439" s="110" t="str">
        <f t="shared" si="17"/>
        <v>5</v>
      </c>
      <c r="R439" s="110" t="str">
        <f t="shared" si="18"/>
        <v>7</v>
      </c>
      <c r="S439" s="110" t="str">
        <f t="shared" si="19"/>
        <v>2</v>
      </c>
    </row>
    <row r="440" spans="2:19" x14ac:dyDescent="0.2">
      <c r="B440" s="57" t="s">
        <v>2800</v>
      </c>
      <c r="C440" s="57" t="s">
        <v>3092</v>
      </c>
      <c r="D440" s="55" t="str">
        <f>VLOOKUP(VLOOKUP(Q440&amp;"_"&amp;R440,活动关卡!$A$60:$Z$83,2+5*S440,FALSE),'⚪设计'!$B$85:$H$114,2,FALSE)</f>
        <v>ResUnit_BianFu2</v>
      </c>
      <c r="E440" s="55">
        <f>VLOOKUP(VLOOKUP(Q440&amp;"_"&amp;R440,活动关卡!$A$60:$Z$83,2+5*S440,FALSE),'⚪设计'!$B$85:$H$114,6,FALSE)*VLOOKUP(Q440&amp;"_"&amp;R440,活动关卡!$A$60:$Z$83,5,FALSE)</f>
        <v>3</v>
      </c>
      <c r="F440">
        <v>400</v>
      </c>
      <c r="G440" t="b">
        <v>1</v>
      </c>
      <c r="H440">
        <v>1</v>
      </c>
      <c r="I440">
        <v>1</v>
      </c>
      <c r="J440">
        <v>0.25</v>
      </c>
      <c r="K440" s="55">
        <f>VLOOKUP(VLOOKUP(Q440&amp;"_"&amp;R440,活动关卡!$A$60:$Z$83,2+5*S440,FALSE),'⚪设计'!$B$85:$H$114,7,FALSE)</f>
        <v>0.5</v>
      </c>
      <c r="L440" s="57" t="s">
        <v>2508</v>
      </c>
      <c r="M440" t="s">
        <v>468</v>
      </c>
      <c r="N440" t="s">
        <v>469</v>
      </c>
      <c r="O440" t="s">
        <v>470</v>
      </c>
      <c r="P440" s="57" t="str">
        <f>IF(VLOOKUP(D440,'⚪设计'!$C$85:$I$113,7,FALSE)="","",VLOOKUP(D440,'⚪设计'!$C$85:$I$113,7,FALSE)&amp;",NormalAttack")</f>
        <v/>
      </c>
      <c r="Q440" s="110" t="str">
        <f t="shared" si="17"/>
        <v>5</v>
      </c>
      <c r="R440" s="110" t="str">
        <f t="shared" si="18"/>
        <v>7</v>
      </c>
      <c r="S440" s="110" t="str">
        <f t="shared" si="19"/>
        <v>3</v>
      </c>
    </row>
    <row r="441" spans="2:19" x14ac:dyDescent="0.2">
      <c r="B441" s="57" t="s">
        <v>2801</v>
      </c>
      <c r="C441" s="57" t="s">
        <v>3093</v>
      </c>
      <c r="D441" s="55" t="str">
        <f>VLOOKUP(VLOOKUP(Q441&amp;"_"&amp;R441,活动关卡!$A$60:$Z$83,2+5*S441,FALSE),'⚪设计'!$B$85:$H$114,2,FALSE)</f>
        <v>ResUnit_XueRen2</v>
      </c>
      <c r="E441" s="55">
        <f>VLOOKUP(VLOOKUP(Q441&amp;"_"&amp;R441,活动关卡!$A$60:$Z$83,2+5*S441,FALSE),'⚪设计'!$B$85:$H$114,6,FALSE)*VLOOKUP(Q441&amp;"_"&amp;R441,活动关卡!$A$60:$Z$83,5,FALSE)</f>
        <v>3</v>
      </c>
      <c r="F441">
        <v>400</v>
      </c>
      <c r="G441" t="b">
        <v>1</v>
      </c>
      <c r="H441">
        <v>1</v>
      </c>
      <c r="I441">
        <v>1</v>
      </c>
      <c r="J441">
        <v>0.25</v>
      </c>
      <c r="K441" s="55">
        <f>VLOOKUP(VLOOKUP(Q441&amp;"_"&amp;R441,活动关卡!$A$60:$Z$83,2+5*S441,FALSE),'⚪设计'!$B$85:$H$114,7,FALSE)</f>
        <v>1.2</v>
      </c>
      <c r="L441" s="57" t="s">
        <v>2509</v>
      </c>
      <c r="M441" t="s">
        <v>468</v>
      </c>
      <c r="N441" t="s">
        <v>469</v>
      </c>
      <c r="O441" t="s">
        <v>470</v>
      </c>
      <c r="P441" s="57" t="str">
        <f>IF(VLOOKUP(D441,'⚪设计'!$C$85:$I$113,7,FALSE)="","",VLOOKUP(D441,'⚪设计'!$C$85:$I$113,7,FALSE)&amp;",NormalAttack")</f>
        <v/>
      </c>
      <c r="Q441" s="110" t="str">
        <f t="shared" si="17"/>
        <v>5</v>
      </c>
      <c r="R441" s="110" t="str">
        <f t="shared" si="18"/>
        <v>7</v>
      </c>
      <c r="S441" s="110" t="str">
        <f t="shared" si="19"/>
        <v>4</v>
      </c>
    </row>
    <row r="442" spans="2:19" x14ac:dyDescent="0.2">
      <c r="B442" s="57" t="s">
        <v>2802</v>
      </c>
      <c r="C442" s="57" t="s">
        <v>3094</v>
      </c>
      <c r="D442" s="55" t="str">
        <f>VLOOKUP(VLOOKUP(Q442&amp;"_"&amp;R442,活动关卡!$A$60:$Z$83,2+5*S442,FALSE),'⚪设计'!$B$85:$H$114,2,FALSE)</f>
        <v>ResUnit_Dan3</v>
      </c>
      <c r="E442" s="55">
        <f>VLOOKUP(VLOOKUP(Q442&amp;"_"&amp;R442,活动关卡!$A$60:$Z$83,2+5*S442,FALSE),'⚪设计'!$B$85:$H$114,6,FALSE)*VLOOKUP(Q442&amp;"_"&amp;R442,活动关卡!$A$60:$Z$83,5,FALSE)</f>
        <v>1.25</v>
      </c>
      <c r="F442">
        <v>400</v>
      </c>
      <c r="G442" t="b">
        <v>1</v>
      </c>
      <c r="H442">
        <v>1</v>
      </c>
      <c r="I442">
        <v>1</v>
      </c>
      <c r="J442">
        <v>0.25</v>
      </c>
      <c r="K442" s="55">
        <f>VLOOKUP(VLOOKUP(Q442&amp;"_"&amp;R442,活动关卡!$A$60:$Z$83,2+5*S442,FALSE),'⚪设计'!$B$85:$H$114,7,FALSE)</f>
        <v>2.5</v>
      </c>
      <c r="L442" s="57" t="s">
        <v>2510</v>
      </c>
      <c r="M442" t="s">
        <v>468</v>
      </c>
      <c r="N442" t="s">
        <v>469</v>
      </c>
      <c r="O442" t="s">
        <v>470</v>
      </c>
      <c r="P442" s="57" t="str">
        <f>IF(VLOOKUP(D442,'⚪设计'!$C$85:$I$113,7,FALSE)="","",VLOOKUP(D442,'⚪设计'!$C$85:$I$113,7,FALSE)&amp;",NormalAttack")</f>
        <v>Skill_Monster_Weaken,NormalAttack</v>
      </c>
      <c r="Q442" s="110" t="str">
        <f t="shared" si="17"/>
        <v>5</v>
      </c>
      <c r="R442" s="110" t="str">
        <f t="shared" si="18"/>
        <v>8</v>
      </c>
      <c r="S442" s="110" t="str">
        <f t="shared" si="19"/>
        <v>1</v>
      </c>
    </row>
    <row r="443" spans="2:19" x14ac:dyDescent="0.2">
      <c r="B443" s="57" t="s">
        <v>2803</v>
      </c>
      <c r="C443" s="57" t="s">
        <v>3095</v>
      </c>
      <c r="D443" s="55" t="str">
        <f>VLOOKUP(VLOOKUP(Q443&amp;"_"&amp;R443,活动关卡!$A$60:$Z$83,2+5*S443,FALSE),'⚪设计'!$B$85:$H$114,2,FALSE)</f>
        <v>ResUnit_Gui2</v>
      </c>
      <c r="E443" s="55">
        <f>VLOOKUP(VLOOKUP(Q443&amp;"_"&amp;R443,活动关卡!$A$60:$Z$83,2+5*S443,FALSE),'⚪设计'!$B$85:$H$114,6,FALSE)*VLOOKUP(Q443&amp;"_"&amp;R443,活动关卡!$A$60:$Z$83,5,FALSE)</f>
        <v>3</v>
      </c>
      <c r="F443">
        <v>400</v>
      </c>
      <c r="G443" t="b">
        <v>1</v>
      </c>
      <c r="H443">
        <v>1</v>
      </c>
      <c r="I443">
        <v>1</v>
      </c>
      <c r="J443">
        <v>0.25</v>
      </c>
      <c r="K443" s="55">
        <f>VLOOKUP(VLOOKUP(Q443&amp;"_"&amp;R443,活动关卡!$A$60:$Z$83,2+5*S443,FALSE),'⚪设计'!$B$85:$H$114,7,FALSE)</f>
        <v>1</v>
      </c>
      <c r="L443" s="57" t="s">
        <v>2511</v>
      </c>
      <c r="M443" t="s">
        <v>468</v>
      </c>
      <c r="N443" t="s">
        <v>469</v>
      </c>
      <c r="O443" t="s">
        <v>470</v>
      </c>
      <c r="P443" s="57" t="str">
        <f>IF(VLOOKUP(D443,'⚪设计'!$C$85:$I$113,7,FALSE)="","",VLOOKUP(D443,'⚪设计'!$C$85:$I$113,7,FALSE)&amp;",NormalAttack")</f>
        <v>Skill_Monster_Invisible,NormalAttack</v>
      </c>
      <c r="Q443" s="110" t="str">
        <f t="shared" si="17"/>
        <v>5</v>
      </c>
      <c r="R443" s="110" t="str">
        <f t="shared" si="18"/>
        <v>8</v>
      </c>
      <c r="S443" s="110" t="str">
        <f t="shared" si="19"/>
        <v>2</v>
      </c>
    </row>
    <row r="444" spans="2:19" x14ac:dyDescent="0.2">
      <c r="B444" s="57" t="s">
        <v>2804</v>
      </c>
      <c r="C444" s="57" t="s">
        <v>3096</v>
      </c>
      <c r="D444" s="55" t="str">
        <f>VLOOKUP(VLOOKUP(Q444&amp;"_"&amp;R444,活动关卡!$A$60:$Z$83,2+5*S444,FALSE),'⚪设计'!$B$85:$H$114,2,FALSE)</f>
        <v>ResUnit_ZhongZi2</v>
      </c>
      <c r="E444" s="55">
        <f>VLOOKUP(VLOOKUP(Q444&amp;"_"&amp;R444,活动关卡!$A$60:$Z$83,2+5*S444,FALSE),'⚪设计'!$B$85:$H$114,6,FALSE)*VLOOKUP(Q444&amp;"_"&amp;R444,活动关卡!$A$60:$Z$83,5,FALSE)</f>
        <v>3</v>
      </c>
      <c r="F444">
        <v>400</v>
      </c>
      <c r="G444" t="b">
        <v>1</v>
      </c>
      <c r="H444">
        <v>1</v>
      </c>
      <c r="I444">
        <v>1</v>
      </c>
      <c r="J444">
        <v>0.25</v>
      </c>
      <c r="K444" s="55">
        <f>VLOOKUP(VLOOKUP(Q444&amp;"_"&amp;R444,活动关卡!$A$60:$Z$83,2+5*S444,FALSE),'⚪设计'!$B$85:$H$114,7,FALSE)</f>
        <v>1.2</v>
      </c>
      <c r="L444" s="57" t="s">
        <v>2512</v>
      </c>
      <c r="M444" t="s">
        <v>468</v>
      </c>
      <c r="N444" t="s">
        <v>469</v>
      </c>
      <c r="O444" t="s">
        <v>470</v>
      </c>
      <c r="P444" s="57" t="str">
        <f>IF(VLOOKUP(D444,'⚪设计'!$C$85:$I$113,7,FALSE)="","",VLOOKUP(D444,'⚪设计'!$C$85:$I$113,7,FALSE)&amp;",NormalAttack")</f>
        <v>Skill_Monster_Heal,NormalAttack</v>
      </c>
      <c r="Q444" s="110" t="str">
        <f t="shared" si="17"/>
        <v>5</v>
      </c>
      <c r="R444" s="110" t="str">
        <f t="shared" si="18"/>
        <v>8</v>
      </c>
      <c r="S444" s="110" t="str">
        <f t="shared" si="19"/>
        <v>3</v>
      </c>
    </row>
    <row r="445" spans="2:19" x14ac:dyDescent="0.2">
      <c r="B445" s="57" t="s">
        <v>2805</v>
      </c>
      <c r="C445" s="57" t="s">
        <v>3097</v>
      </c>
      <c r="D445" s="55" t="str">
        <f>VLOOKUP(VLOOKUP(Q445&amp;"_"&amp;R445,活动关卡!$A$60:$Z$83,2+5*S445,FALSE),'⚪设计'!$B$85:$H$114,2,FALSE)</f>
        <v>ResUnit_XueRen3</v>
      </c>
      <c r="E445" s="55">
        <f>VLOOKUP(VLOOKUP(Q445&amp;"_"&amp;R445,活动关卡!$A$60:$Z$83,2+5*S445,FALSE),'⚪设计'!$B$85:$H$114,6,FALSE)*VLOOKUP(Q445&amp;"_"&amp;R445,活动关卡!$A$60:$Z$83,5,FALSE)</f>
        <v>3</v>
      </c>
      <c r="F445">
        <v>400</v>
      </c>
      <c r="G445" t="b">
        <v>1</v>
      </c>
      <c r="H445">
        <v>1</v>
      </c>
      <c r="I445">
        <v>1</v>
      </c>
      <c r="J445">
        <v>0.25</v>
      </c>
      <c r="K445" s="55">
        <f>VLOOKUP(VLOOKUP(Q445&amp;"_"&amp;R445,活动关卡!$A$60:$Z$83,2+5*S445,FALSE),'⚪设计'!$B$85:$H$114,7,FALSE)</f>
        <v>1.8</v>
      </c>
      <c r="L445" s="57" t="s">
        <v>2513</v>
      </c>
      <c r="M445" t="s">
        <v>468</v>
      </c>
      <c r="N445" t="s">
        <v>469</v>
      </c>
      <c r="O445" t="s">
        <v>470</v>
      </c>
      <c r="P445" s="57" t="str">
        <f>IF(VLOOKUP(D445,'⚪设计'!$C$85:$I$113,7,FALSE)="","",VLOOKUP(D445,'⚪设计'!$C$85:$I$113,7,FALSE)&amp;",NormalAttack")</f>
        <v/>
      </c>
      <c r="Q445" s="110" t="str">
        <f t="shared" si="17"/>
        <v>5</v>
      </c>
      <c r="R445" s="110" t="str">
        <f t="shared" si="18"/>
        <v>8</v>
      </c>
      <c r="S445" s="110" t="str">
        <f t="shared" si="19"/>
        <v>4</v>
      </c>
    </row>
    <row r="446" spans="2:19" x14ac:dyDescent="0.2">
      <c r="B446" s="57"/>
      <c r="C446" s="57"/>
      <c r="D446" s="55"/>
      <c r="E446" s="55"/>
      <c r="K446" s="55"/>
      <c r="L446" s="57"/>
      <c r="P446" s="57"/>
      <c r="Q446" s="110"/>
      <c r="R446" s="110"/>
      <c r="S446" s="110"/>
    </row>
    <row r="447" spans="2:19" x14ac:dyDescent="0.2">
      <c r="B447" s="57" t="s">
        <v>2806</v>
      </c>
      <c r="C447" s="57" t="s">
        <v>3098</v>
      </c>
      <c r="D447" s="55" t="str">
        <f>VLOOKUP(VLOOKUP(Q447&amp;"_"&amp;R447,活动关卡!$A$88:$Z$111,2+5*S447,FALSE),'⚪设计'!$B$85:$H$114,2,FALSE)</f>
        <v>ResUnit_MiFeng1</v>
      </c>
      <c r="E447" s="55">
        <f>VLOOKUP(VLOOKUP(Q447&amp;"_"&amp;R447,活动关卡!$A$88:$Z$111,2+5*S447,FALSE),'⚪设计'!$B$85:$H$114,6,FALSE)*VLOOKUP(Q447&amp;"_"&amp;R447,活动关卡!$A$88:$Z$111,5,FALSE)</f>
        <v>3</v>
      </c>
      <c r="F447">
        <v>400</v>
      </c>
      <c r="G447" t="b">
        <v>1</v>
      </c>
      <c r="H447">
        <v>1</v>
      </c>
      <c r="I447">
        <v>1</v>
      </c>
      <c r="J447">
        <v>0.25</v>
      </c>
      <c r="K447" s="55">
        <f>VLOOKUP(VLOOKUP(Q447&amp;"_"&amp;R447,活动关卡!$A$88:$Z$111,2+5*S447,FALSE),'⚪设计'!$B$85:$H$114,7,FALSE)</f>
        <v>0.5</v>
      </c>
      <c r="L447" s="57" t="s">
        <v>2514</v>
      </c>
      <c r="M447" t="s">
        <v>468</v>
      </c>
      <c r="N447" t="s">
        <v>469</v>
      </c>
      <c r="O447" t="s">
        <v>470</v>
      </c>
      <c r="P447" s="57" t="str">
        <f>IF(VLOOKUP(D447,'⚪设计'!$C$85:$I$113,7,FALSE)="","",VLOOKUP(D447,'⚪设计'!$C$85:$I$113,7,FALSE)&amp;",NormalAttack")</f>
        <v/>
      </c>
      <c r="Q447" s="110" t="str">
        <f t="shared" si="17"/>
        <v>1</v>
      </c>
      <c r="R447" s="110" t="str">
        <f t="shared" si="18"/>
        <v>1</v>
      </c>
      <c r="S447" s="110" t="str">
        <f t="shared" si="19"/>
        <v>1</v>
      </c>
    </row>
    <row r="448" spans="2:19" x14ac:dyDescent="0.2">
      <c r="B448" s="57" t="s">
        <v>2807</v>
      </c>
      <c r="C448" s="57" t="s">
        <v>3099</v>
      </c>
      <c r="D448" s="55" t="str">
        <f>VLOOKUP(VLOOKUP(Q448&amp;"_"&amp;R448,活动关卡!$A$88:$Z$111,2+5*S448,FALSE),'⚪设计'!$B$85:$H$114,2,FALSE)</f>
        <v>ResUnit_WuGui1</v>
      </c>
      <c r="E448" s="55">
        <f>VLOOKUP(VLOOKUP(Q448&amp;"_"&amp;R448,活动关卡!$A$88:$Z$111,2+5*S448,FALSE),'⚪设计'!$B$85:$H$114,6,FALSE)*VLOOKUP(Q448&amp;"_"&amp;R448,活动关卡!$A$88:$Z$111,5,FALSE)</f>
        <v>1.5</v>
      </c>
      <c r="F448">
        <v>400</v>
      </c>
      <c r="G448" t="b">
        <v>1</v>
      </c>
      <c r="H448">
        <v>1</v>
      </c>
      <c r="I448">
        <v>1</v>
      </c>
      <c r="J448">
        <v>0.25</v>
      </c>
      <c r="K448" s="55">
        <f>VLOOKUP(VLOOKUP(Q448&amp;"_"&amp;R448,活动关卡!$A$88:$Z$111,2+5*S448,FALSE),'⚪设计'!$B$85:$H$114,7,FALSE)</f>
        <v>1</v>
      </c>
      <c r="L448" s="57" t="s">
        <v>2515</v>
      </c>
      <c r="M448" t="s">
        <v>468</v>
      </c>
      <c r="N448" t="s">
        <v>469</v>
      </c>
      <c r="O448" t="s">
        <v>470</v>
      </c>
      <c r="P448" s="57" t="str">
        <f>IF(VLOOKUP(D448,'⚪设计'!$C$85:$I$113,7,FALSE)="","",VLOOKUP(D448,'⚪设计'!$C$85:$I$113,7,FALSE)&amp;",NormalAttack")</f>
        <v/>
      </c>
      <c r="Q448" s="110" t="str">
        <f t="shared" si="17"/>
        <v>1</v>
      </c>
      <c r="R448" s="110" t="str">
        <f t="shared" si="18"/>
        <v>1</v>
      </c>
      <c r="S448" s="110" t="str">
        <f t="shared" si="19"/>
        <v>2</v>
      </c>
    </row>
    <row r="449" spans="2:19" x14ac:dyDescent="0.2">
      <c r="B449" s="57" t="s">
        <v>2808</v>
      </c>
      <c r="C449" s="57" t="s">
        <v>3100</v>
      </c>
      <c r="D449" s="55" t="str">
        <f>VLOOKUP(VLOOKUP(Q449&amp;"_"&amp;R449,活动关卡!$A$88:$Z$111,2+5*S449,FALSE),'⚪设计'!$B$85:$H$114,2,FALSE)</f>
        <v>ResUnit_MiFeng1</v>
      </c>
      <c r="E449" s="55">
        <f>VLOOKUP(VLOOKUP(Q449&amp;"_"&amp;R449,活动关卡!$A$88:$Z$111,2+5*S449,FALSE),'⚪设计'!$B$85:$H$114,6,FALSE)*VLOOKUP(Q449&amp;"_"&amp;R449,活动关卡!$A$88:$Z$111,5,FALSE)</f>
        <v>3</v>
      </c>
      <c r="F449">
        <v>400</v>
      </c>
      <c r="G449" t="b">
        <v>1</v>
      </c>
      <c r="H449">
        <v>1</v>
      </c>
      <c r="I449">
        <v>1</v>
      </c>
      <c r="J449">
        <v>0.25</v>
      </c>
      <c r="K449" s="55">
        <f>VLOOKUP(VLOOKUP(Q449&amp;"_"&amp;R449,活动关卡!$A$88:$Z$111,2+5*S449,FALSE),'⚪设计'!$B$85:$H$114,7,FALSE)</f>
        <v>0.5</v>
      </c>
      <c r="L449" s="57" t="s">
        <v>2516</v>
      </c>
      <c r="M449" t="s">
        <v>468</v>
      </c>
      <c r="N449" t="s">
        <v>469</v>
      </c>
      <c r="O449" t="s">
        <v>470</v>
      </c>
      <c r="P449" s="57" t="str">
        <f>IF(VLOOKUP(D449,'⚪设计'!$C$85:$I$113,7,FALSE)="","",VLOOKUP(D449,'⚪设计'!$C$85:$I$113,7,FALSE)&amp;",NormalAttack")</f>
        <v/>
      </c>
      <c r="Q449" s="110" t="str">
        <f t="shared" si="17"/>
        <v>1</v>
      </c>
      <c r="R449" s="110" t="str">
        <f t="shared" si="18"/>
        <v>2</v>
      </c>
      <c r="S449" s="110" t="str">
        <f t="shared" si="19"/>
        <v>1</v>
      </c>
    </row>
    <row r="450" spans="2:19" x14ac:dyDescent="0.2">
      <c r="B450" s="57" t="s">
        <v>2809</v>
      </c>
      <c r="C450" s="57" t="s">
        <v>3101</v>
      </c>
      <c r="D450" s="55" t="str">
        <f>VLOOKUP(VLOOKUP(Q450&amp;"_"&amp;R450,活动关卡!$A$88:$Z$111,2+5*S450,FALSE),'⚪设计'!$B$85:$H$114,2,FALSE)</f>
        <v>ResUnit_WuGui1</v>
      </c>
      <c r="E450" s="55">
        <f>VLOOKUP(VLOOKUP(Q450&amp;"_"&amp;R450,活动关卡!$A$88:$Z$111,2+5*S450,FALSE),'⚪设计'!$B$85:$H$114,6,FALSE)*VLOOKUP(Q450&amp;"_"&amp;R450,活动关卡!$A$88:$Z$111,5,FALSE)</f>
        <v>1.5</v>
      </c>
      <c r="F450">
        <v>400</v>
      </c>
      <c r="G450" t="b">
        <v>1</v>
      </c>
      <c r="H450">
        <v>1</v>
      </c>
      <c r="I450">
        <v>1</v>
      </c>
      <c r="J450">
        <v>0.25</v>
      </c>
      <c r="K450" s="55">
        <f>VLOOKUP(VLOOKUP(Q450&amp;"_"&amp;R450,活动关卡!$A$88:$Z$111,2+5*S450,FALSE),'⚪设计'!$B$85:$H$114,7,FALSE)</f>
        <v>1</v>
      </c>
      <c r="L450" s="57" t="s">
        <v>2517</v>
      </c>
      <c r="M450" t="s">
        <v>468</v>
      </c>
      <c r="N450" t="s">
        <v>469</v>
      </c>
      <c r="O450" t="s">
        <v>470</v>
      </c>
      <c r="P450" s="57" t="str">
        <f>IF(VLOOKUP(D450,'⚪设计'!$C$85:$I$113,7,FALSE)="","",VLOOKUP(D450,'⚪设计'!$C$85:$I$113,7,FALSE)&amp;",NormalAttack")</f>
        <v/>
      </c>
      <c r="Q450" s="110" t="str">
        <f t="shared" si="17"/>
        <v>1</v>
      </c>
      <c r="R450" s="110" t="str">
        <f t="shared" si="18"/>
        <v>2</v>
      </c>
      <c r="S450" s="110" t="str">
        <f t="shared" si="19"/>
        <v>2</v>
      </c>
    </row>
    <row r="451" spans="2:19" x14ac:dyDescent="0.2">
      <c r="B451" s="57" t="s">
        <v>2810</v>
      </c>
      <c r="C451" s="57" t="s">
        <v>3102</v>
      </c>
      <c r="D451" s="55" t="str">
        <f>VLOOKUP(VLOOKUP(Q451&amp;"_"&amp;R451,活动关卡!$A$88:$Z$111,2+5*S451,FALSE),'⚪设计'!$B$85:$H$114,2,FALSE)</f>
        <v>ResUnit_MiFeng1</v>
      </c>
      <c r="E451" s="55">
        <f>VLOOKUP(VLOOKUP(Q451&amp;"_"&amp;R451,活动关卡!$A$88:$Z$111,2+5*S451,FALSE),'⚪设计'!$B$85:$H$114,6,FALSE)*VLOOKUP(Q451&amp;"_"&amp;R451,活动关卡!$A$88:$Z$111,5,FALSE)</f>
        <v>3</v>
      </c>
      <c r="F451">
        <v>400</v>
      </c>
      <c r="G451" t="b">
        <v>1</v>
      </c>
      <c r="H451">
        <v>1</v>
      </c>
      <c r="I451">
        <v>1</v>
      </c>
      <c r="J451">
        <v>0.25</v>
      </c>
      <c r="K451" s="55">
        <f>VLOOKUP(VLOOKUP(Q451&amp;"_"&amp;R451,活动关卡!$A$88:$Z$111,2+5*S451,FALSE),'⚪设计'!$B$85:$H$114,7,FALSE)</f>
        <v>0.5</v>
      </c>
      <c r="L451" s="57" t="s">
        <v>2518</v>
      </c>
      <c r="M451" t="s">
        <v>468</v>
      </c>
      <c r="N451" t="s">
        <v>469</v>
      </c>
      <c r="O451" t="s">
        <v>470</v>
      </c>
      <c r="P451" s="57" t="str">
        <f>IF(VLOOKUP(D451,'⚪设计'!$C$85:$I$113,7,FALSE)="","",VLOOKUP(D451,'⚪设计'!$C$85:$I$113,7,FALSE)&amp;",NormalAttack")</f>
        <v/>
      </c>
      <c r="Q451" s="110" t="str">
        <f t="shared" si="17"/>
        <v>1</v>
      </c>
      <c r="R451" s="110" t="str">
        <f t="shared" si="18"/>
        <v>3</v>
      </c>
      <c r="S451" s="110" t="str">
        <f t="shared" si="19"/>
        <v>1</v>
      </c>
    </row>
    <row r="452" spans="2:19" x14ac:dyDescent="0.2">
      <c r="B452" s="57" t="s">
        <v>2811</v>
      </c>
      <c r="C452" s="57" t="s">
        <v>3103</v>
      </c>
      <c r="D452" s="55" t="str">
        <f>VLOOKUP(VLOOKUP(Q452&amp;"_"&amp;R452,活动关卡!$A$88:$Z$111,2+5*S452,FALSE),'⚪设计'!$B$85:$H$114,2,FALSE)</f>
        <v>ResUnit_MiFeng2</v>
      </c>
      <c r="E452" s="55">
        <f>VLOOKUP(VLOOKUP(Q452&amp;"_"&amp;R452,活动关卡!$A$88:$Z$111,2+5*S452,FALSE),'⚪设计'!$B$85:$H$114,6,FALSE)*VLOOKUP(Q452&amp;"_"&amp;R452,活动关卡!$A$88:$Z$111,5,FALSE)</f>
        <v>3</v>
      </c>
      <c r="F452">
        <v>400</v>
      </c>
      <c r="G452" t="b">
        <v>1</v>
      </c>
      <c r="H452">
        <v>1</v>
      </c>
      <c r="I452">
        <v>1</v>
      </c>
      <c r="J452">
        <v>0.25</v>
      </c>
      <c r="K452" s="55">
        <f>VLOOKUP(VLOOKUP(Q452&amp;"_"&amp;R452,活动关卡!$A$88:$Z$111,2+5*S452,FALSE),'⚪设计'!$B$85:$H$114,7,FALSE)</f>
        <v>0.8</v>
      </c>
      <c r="L452" s="57" t="s">
        <v>2519</v>
      </c>
      <c r="M452" t="s">
        <v>468</v>
      </c>
      <c r="N452" t="s">
        <v>469</v>
      </c>
      <c r="O452" t="s">
        <v>470</v>
      </c>
      <c r="P452" s="57" t="str">
        <f>IF(VLOOKUP(D452,'⚪设计'!$C$85:$I$113,7,FALSE)="","",VLOOKUP(D452,'⚪设计'!$C$85:$I$113,7,FALSE)&amp;",NormalAttack")</f>
        <v/>
      </c>
      <c r="Q452" s="110" t="str">
        <f t="shared" si="17"/>
        <v>1</v>
      </c>
      <c r="R452" s="110" t="str">
        <f t="shared" si="18"/>
        <v>3</v>
      </c>
      <c r="S452" s="110" t="str">
        <f t="shared" si="19"/>
        <v>2</v>
      </c>
    </row>
    <row r="453" spans="2:19" x14ac:dyDescent="0.2">
      <c r="B453" s="57" t="s">
        <v>2812</v>
      </c>
      <c r="C453" s="57" t="s">
        <v>3104</v>
      </c>
      <c r="D453" s="55" t="str">
        <f>VLOOKUP(VLOOKUP(Q453&amp;"_"&amp;R453,活动关卡!$A$88:$Z$111,2+5*S453,FALSE),'⚪设计'!$B$85:$H$114,2,FALSE)</f>
        <v>ResUnit_WuGui1</v>
      </c>
      <c r="E453" s="55">
        <f>VLOOKUP(VLOOKUP(Q453&amp;"_"&amp;R453,活动关卡!$A$88:$Z$111,2+5*S453,FALSE),'⚪设计'!$B$85:$H$114,6,FALSE)*VLOOKUP(Q453&amp;"_"&amp;R453,活动关卡!$A$88:$Z$111,5,FALSE)</f>
        <v>1.5</v>
      </c>
      <c r="F453">
        <v>400</v>
      </c>
      <c r="G453" t="b">
        <v>1</v>
      </c>
      <c r="H453">
        <v>1</v>
      </c>
      <c r="I453">
        <v>1</v>
      </c>
      <c r="J453">
        <v>0.25</v>
      </c>
      <c r="K453" s="55">
        <f>VLOOKUP(VLOOKUP(Q453&amp;"_"&amp;R453,活动关卡!$A$88:$Z$111,2+5*S453,FALSE),'⚪设计'!$B$85:$H$114,7,FALSE)</f>
        <v>1</v>
      </c>
      <c r="L453" s="57" t="s">
        <v>2520</v>
      </c>
      <c r="M453" t="s">
        <v>468</v>
      </c>
      <c r="N453" t="s">
        <v>469</v>
      </c>
      <c r="O453" t="s">
        <v>470</v>
      </c>
      <c r="P453" s="57" t="str">
        <f>IF(VLOOKUP(D453,'⚪设计'!$C$85:$I$113,7,FALSE)="","",VLOOKUP(D453,'⚪设计'!$C$85:$I$113,7,FALSE)&amp;",NormalAttack")</f>
        <v/>
      </c>
      <c r="Q453" s="110" t="str">
        <f t="shared" si="17"/>
        <v>1</v>
      </c>
      <c r="R453" s="110" t="str">
        <f t="shared" si="18"/>
        <v>3</v>
      </c>
      <c r="S453" s="110" t="str">
        <f t="shared" si="19"/>
        <v>3</v>
      </c>
    </row>
    <row r="454" spans="2:19" x14ac:dyDescent="0.2">
      <c r="B454" s="57" t="s">
        <v>2813</v>
      </c>
      <c r="C454" s="57" t="s">
        <v>3105</v>
      </c>
      <c r="D454" s="55" t="str">
        <f>VLOOKUP(VLOOKUP(Q454&amp;"_"&amp;R454,活动关卡!$A$88:$Z$111,2+5*S454,FALSE),'⚪设计'!$B$85:$H$114,2,FALSE)</f>
        <v>ResUnit_ZhiZhu1</v>
      </c>
      <c r="E454" s="55">
        <f>VLOOKUP(VLOOKUP(Q454&amp;"_"&amp;R454,活动关卡!$A$88:$Z$111,2+5*S454,FALSE),'⚪设计'!$B$85:$H$114,6,FALSE)*VLOOKUP(Q454&amp;"_"&amp;R454,活动关卡!$A$88:$Z$111,5,FALSE)</f>
        <v>4.5</v>
      </c>
      <c r="F454">
        <v>400</v>
      </c>
      <c r="G454" t="b">
        <v>1</v>
      </c>
      <c r="H454">
        <v>1</v>
      </c>
      <c r="I454">
        <v>1</v>
      </c>
      <c r="J454">
        <v>0.25</v>
      </c>
      <c r="K454" s="55">
        <f>VLOOKUP(VLOOKUP(Q454&amp;"_"&amp;R454,活动关卡!$A$88:$Z$111,2+5*S454,FALSE),'⚪设计'!$B$85:$H$114,7,FALSE)</f>
        <v>1</v>
      </c>
      <c r="L454" s="57" t="s">
        <v>2521</v>
      </c>
      <c r="M454" t="s">
        <v>468</v>
      </c>
      <c r="N454" t="s">
        <v>469</v>
      </c>
      <c r="O454" t="s">
        <v>470</v>
      </c>
      <c r="P454" s="57" t="str">
        <f>IF(VLOOKUP(D454,'⚪设计'!$C$85:$I$113,7,FALSE)="","",VLOOKUP(D454,'⚪设计'!$C$85:$I$113,7,FALSE)&amp;",NormalAttack")</f>
        <v/>
      </c>
      <c r="Q454" s="110" t="str">
        <f t="shared" si="17"/>
        <v>2</v>
      </c>
      <c r="R454" s="110" t="str">
        <f t="shared" si="18"/>
        <v>1</v>
      </c>
      <c r="S454" s="110" t="str">
        <f t="shared" si="19"/>
        <v>1</v>
      </c>
    </row>
    <row r="455" spans="2:19" x14ac:dyDescent="0.2">
      <c r="B455" s="57" t="s">
        <v>2814</v>
      </c>
      <c r="C455" s="57" t="s">
        <v>3106</v>
      </c>
      <c r="D455" s="55" t="str">
        <f>VLOOKUP(VLOOKUP(Q455&amp;"_"&amp;R455,活动关卡!$A$88:$Z$111,2+5*S455,FALSE),'⚪设计'!$B$85:$H$114,2,FALSE)</f>
        <v>ResUnit_WuGui1</v>
      </c>
      <c r="E455" s="55">
        <f>VLOOKUP(VLOOKUP(Q455&amp;"_"&amp;R455,活动关卡!$A$88:$Z$111,2+5*S455,FALSE),'⚪设计'!$B$85:$H$114,6,FALSE)*VLOOKUP(Q455&amp;"_"&amp;R455,活动关卡!$A$88:$Z$111,5,FALSE)</f>
        <v>1.5</v>
      </c>
      <c r="F455">
        <v>400</v>
      </c>
      <c r="G455" t="b">
        <v>1</v>
      </c>
      <c r="H455">
        <v>1</v>
      </c>
      <c r="I455">
        <v>1</v>
      </c>
      <c r="J455">
        <v>0.25</v>
      </c>
      <c r="K455" s="55">
        <f>VLOOKUP(VLOOKUP(Q455&amp;"_"&amp;R455,活动关卡!$A$88:$Z$111,2+5*S455,FALSE),'⚪设计'!$B$85:$H$114,7,FALSE)</f>
        <v>1</v>
      </c>
      <c r="L455" s="57" t="s">
        <v>2522</v>
      </c>
      <c r="M455" t="s">
        <v>468</v>
      </c>
      <c r="N455" t="s">
        <v>469</v>
      </c>
      <c r="O455" t="s">
        <v>470</v>
      </c>
      <c r="P455" s="57" t="str">
        <f>IF(VLOOKUP(D455,'⚪设计'!$C$85:$I$113,7,FALSE)="","",VLOOKUP(D455,'⚪设计'!$C$85:$I$113,7,FALSE)&amp;",NormalAttack")</f>
        <v/>
      </c>
      <c r="Q455" s="110" t="str">
        <f t="shared" si="17"/>
        <v>2</v>
      </c>
      <c r="R455" s="110" t="str">
        <f t="shared" si="18"/>
        <v>1</v>
      </c>
      <c r="S455" s="110" t="str">
        <f t="shared" si="19"/>
        <v>2</v>
      </c>
    </row>
    <row r="456" spans="2:19" x14ac:dyDescent="0.2">
      <c r="B456" s="57" t="s">
        <v>2815</v>
      </c>
      <c r="C456" s="57" t="s">
        <v>3107</v>
      </c>
      <c r="D456" s="55" t="str">
        <f>VLOOKUP(VLOOKUP(Q456&amp;"_"&amp;R456,活动关卡!$A$88:$Z$111,2+5*S456,FALSE),'⚪设计'!$B$85:$H$114,2,FALSE)</f>
        <v>ResUnit_ZhiZhu1</v>
      </c>
      <c r="E456" s="55">
        <f>VLOOKUP(VLOOKUP(Q456&amp;"_"&amp;R456,活动关卡!$A$88:$Z$111,2+5*S456,FALSE),'⚪设计'!$B$85:$H$114,6,FALSE)*VLOOKUP(Q456&amp;"_"&amp;R456,活动关卡!$A$88:$Z$111,5,FALSE)</f>
        <v>4.5</v>
      </c>
      <c r="F456">
        <v>400</v>
      </c>
      <c r="G456" t="b">
        <v>1</v>
      </c>
      <c r="H456">
        <v>1</v>
      </c>
      <c r="I456">
        <v>1</v>
      </c>
      <c r="J456">
        <v>0.25</v>
      </c>
      <c r="K456" s="55">
        <f>VLOOKUP(VLOOKUP(Q456&amp;"_"&amp;R456,活动关卡!$A$88:$Z$111,2+5*S456,FALSE),'⚪设计'!$B$85:$H$114,7,FALSE)</f>
        <v>1</v>
      </c>
      <c r="L456" s="57" t="s">
        <v>2523</v>
      </c>
      <c r="M456" t="s">
        <v>468</v>
      </c>
      <c r="N456" t="s">
        <v>469</v>
      </c>
      <c r="O456" t="s">
        <v>470</v>
      </c>
      <c r="P456" s="57" t="str">
        <f>IF(VLOOKUP(D456,'⚪设计'!$C$85:$I$113,7,FALSE)="","",VLOOKUP(D456,'⚪设计'!$C$85:$I$113,7,FALSE)&amp;",NormalAttack")</f>
        <v/>
      </c>
      <c r="Q456" s="110" t="str">
        <f t="shared" si="17"/>
        <v>2</v>
      </c>
      <c r="R456" s="110" t="str">
        <f t="shared" si="18"/>
        <v>2</v>
      </c>
      <c r="S456" s="110" t="str">
        <f t="shared" si="19"/>
        <v>1</v>
      </c>
    </row>
    <row r="457" spans="2:19" x14ac:dyDescent="0.2">
      <c r="B457" s="57" t="s">
        <v>2816</v>
      </c>
      <c r="C457" s="57" t="s">
        <v>3108</v>
      </c>
      <c r="D457" s="55" t="str">
        <f>VLOOKUP(VLOOKUP(Q457&amp;"_"&amp;R457,活动关卡!$A$88:$Z$111,2+5*S457,FALSE),'⚪设计'!$B$85:$H$114,2,FALSE)</f>
        <v>ResUnit_MiFeng2</v>
      </c>
      <c r="E457" s="55">
        <f>VLOOKUP(VLOOKUP(Q457&amp;"_"&amp;R457,活动关卡!$A$88:$Z$111,2+5*S457,FALSE),'⚪设计'!$B$85:$H$114,6,FALSE)*VLOOKUP(Q457&amp;"_"&amp;R457,活动关卡!$A$88:$Z$111,5,FALSE)</f>
        <v>3</v>
      </c>
      <c r="F457">
        <v>400</v>
      </c>
      <c r="G457" t="b">
        <v>1</v>
      </c>
      <c r="H457">
        <v>1</v>
      </c>
      <c r="I457">
        <v>1</v>
      </c>
      <c r="J457">
        <v>0.25</v>
      </c>
      <c r="K457" s="55">
        <f>VLOOKUP(VLOOKUP(Q457&amp;"_"&amp;R457,活动关卡!$A$88:$Z$111,2+5*S457,FALSE),'⚪设计'!$B$85:$H$114,7,FALSE)</f>
        <v>0.8</v>
      </c>
      <c r="L457" s="57" t="s">
        <v>2524</v>
      </c>
      <c r="M457" t="s">
        <v>468</v>
      </c>
      <c r="N457" t="s">
        <v>469</v>
      </c>
      <c r="O457" t="s">
        <v>470</v>
      </c>
      <c r="P457" s="57" t="str">
        <f>IF(VLOOKUP(D457,'⚪设计'!$C$85:$I$113,7,FALSE)="","",VLOOKUP(D457,'⚪设计'!$C$85:$I$113,7,FALSE)&amp;",NormalAttack")</f>
        <v/>
      </c>
      <c r="Q457" s="110" t="str">
        <f t="shared" si="17"/>
        <v>2</v>
      </c>
      <c r="R457" s="110" t="str">
        <f t="shared" si="18"/>
        <v>2</v>
      </c>
      <c r="S457" s="110" t="str">
        <f t="shared" si="19"/>
        <v>2</v>
      </c>
    </row>
    <row r="458" spans="2:19" x14ac:dyDescent="0.2">
      <c r="B458" s="57" t="s">
        <v>2817</v>
      </c>
      <c r="C458" s="57" t="s">
        <v>3109</v>
      </c>
      <c r="D458" s="55" t="str">
        <f>VLOOKUP(VLOOKUP(Q458&amp;"_"&amp;R458,活动关卡!$A$88:$Z$111,2+5*S458,FALSE),'⚪设计'!$B$85:$H$114,2,FALSE)</f>
        <v>ResUnit_WuGui1</v>
      </c>
      <c r="E458" s="55">
        <f>VLOOKUP(VLOOKUP(Q458&amp;"_"&amp;R458,活动关卡!$A$88:$Z$111,2+5*S458,FALSE),'⚪设计'!$B$85:$H$114,6,FALSE)*VLOOKUP(Q458&amp;"_"&amp;R458,活动关卡!$A$88:$Z$111,5,FALSE)</f>
        <v>1.5</v>
      </c>
      <c r="F458">
        <v>400</v>
      </c>
      <c r="G458" t="b">
        <v>1</v>
      </c>
      <c r="H458">
        <v>1</v>
      </c>
      <c r="I458">
        <v>1</v>
      </c>
      <c r="J458">
        <v>0.25</v>
      </c>
      <c r="K458" s="55">
        <f>VLOOKUP(VLOOKUP(Q458&amp;"_"&amp;R458,活动关卡!$A$88:$Z$111,2+5*S458,FALSE),'⚪设计'!$B$85:$H$114,7,FALSE)</f>
        <v>1</v>
      </c>
      <c r="L458" s="57" t="s">
        <v>2525</v>
      </c>
      <c r="M458" t="s">
        <v>468</v>
      </c>
      <c r="N458" t="s">
        <v>469</v>
      </c>
      <c r="O458" t="s">
        <v>470</v>
      </c>
      <c r="P458" s="57" t="str">
        <f>IF(VLOOKUP(D458,'⚪设计'!$C$85:$I$113,7,FALSE)="","",VLOOKUP(D458,'⚪设计'!$C$85:$I$113,7,FALSE)&amp;",NormalAttack")</f>
        <v/>
      </c>
      <c r="Q458" s="110" t="str">
        <f t="shared" si="17"/>
        <v>2</v>
      </c>
      <c r="R458" s="110" t="str">
        <f t="shared" si="18"/>
        <v>2</v>
      </c>
      <c r="S458" s="110" t="str">
        <f t="shared" si="19"/>
        <v>3</v>
      </c>
    </row>
    <row r="459" spans="2:19" x14ac:dyDescent="0.2">
      <c r="B459" s="57" t="s">
        <v>2818</v>
      </c>
      <c r="C459" s="57" t="s">
        <v>3110</v>
      </c>
      <c r="D459" s="55" t="str">
        <f>VLOOKUP(VLOOKUP(Q459&amp;"_"&amp;R459,活动关卡!$A$88:$Z$111,2+5*S459,FALSE),'⚪设计'!$B$85:$H$114,2,FALSE)</f>
        <v>ResUnit_ZhiZhu1</v>
      </c>
      <c r="E459" s="55">
        <f>VLOOKUP(VLOOKUP(Q459&amp;"_"&amp;R459,活动关卡!$A$88:$Z$111,2+5*S459,FALSE),'⚪设计'!$B$85:$H$114,6,FALSE)*VLOOKUP(Q459&amp;"_"&amp;R459,活动关卡!$A$88:$Z$111,5,FALSE)</f>
        <v>4.5</v>
      </c>
      <c r="F459">
        <v>400</v>
      </c>
      <c r="G459" t="b">
        <v>1</v>
      </c>
      <c r="H459">
        <v>1</v>
      </c>
      <c r="I459">
        <v>1</v>
      </c>
      <c r="J459">
        <v>0.25</v>
      </c>
      <c r="K459" s="55">
        <f>VLOOKUP(VLOOKUP(Q459&amp;"_"&amp;R459,活动关卡!$A$88:$Z$111,2+5*S459,FALSE),'⚪设计'!$B$85:$H$114,7,FALSE)</f>
        <v>1</v>
      </c>
      <c r="L459" s="57" t="s">
        <v>2526</v>
      </c>
      <c r="M459" t="s">
        <v>468</v>
      </c>
      <c r="N459" t="s">
        <v>469</v>
      </c>
      <c r="O459" t="s">
        <v>470</v>
      </c>
      <c r="P459" s="57" t="str">
        <f>IF(VLOOKUP(D459,'⚪设计'!$C$85:$I$113,7,FALSE)="","",VLOOKUP(D459,'⚪设计'!$C$85:$I$113,7,FALSE)&amp;",NormalAttack")</f>
        <v/>
      </c>
      <c r="Q459" s="110" t="str">
        <f t="shared" si="17"/>
        <v>2</v>
      </c>
      <c r="R459" s="110" t="str">
        <f t="shared" si="18"/>
        <v>3</v>
      </c>
      <c r="S459" s="110" t="str">
        <f t="shared" si="19"/>
        <v>1</v>
      </c>
    </row>
    <row r="460" spans="2:19" x14ac:dyDescent="0.2">
      <c r="B460" s="57" t="s">
        <v>2819</v>
      </c>
      <c r="C460" s="57" t="s">
        <v>3111</v>
      </c>
      <c r="D460" s="55" t="str">
        <f>VLOOKUP(VLOOKUP(Q460&amp;"_"&amp;R460,活动关卡!$A$88:$Z$111,2+5*S460,FALSE),'⚪设计'!$B$85:$H$114,2,FALSE)</f>
        <v>ResUnit_BianFu1</v>
      </c>
      <c r="E460" s="55">
        <f>VLOOKUP(VLOOKUP(Q460&amp;"_"&amp;R460,活动关卡!$A$88:$Z$111,2+5*S460,FALSE),'⚪设计'!$B$85:$H$114,6,FALSE)*VLOOKUP(Q460&amp;"_"&amp;R460,活动关卡!$A$88:$Z$111,5,FALSE)</f>
        <v>3</v>
      </c>
      <c r="F460">
        <v>400</v>
      </c>
      <c r="G460" t="b">
        <v>1</v>
      </c>
      <c r="H460">
        <v>1</v>
      </c>
      <c r="I460">
        <v>1</v>
      </c>
      <c r="J460">
        <v>0.25</v>
      </c>
      <c r="K460" s="55">
        <f>VLOOKUP(VLOOKUP(Q460&amp;"_"&amp;R460,活动关卡!$A$88:$Z$111,2+5*S460,FALSE),'⚪设计'!$B$85:$H$114,7,FALSE)</f>
        <v>0.5</v>
      </c>
      <c r="L460" s="57" t="s">
        <v>2527</v>
      </c>
      <c r="M460" t="s">
        <v>468</v>
      </c>
      <c r="N460" t="s">
        <v>469</v>
      </c>
      <c r="O460" t="s">
        <v>470</v>
      </c>
      <c r="P460" s="57" t="str">
        <f>IF(VLOOKUP(D460,'⚪设计'!$C$85:$I$113,7,FALSE)="","",VLOOKUP(D460,'⚪设计'!$C$85:$I$113,7,FALSE)&amp;",NormalAttack")</f>
        <v/>
      </c>
      <c r="Q460" s="110" t="str">
        <f t="shared" si="17"/>
        <v>2</v>
      </c>
      <c r="R460" s="110" t="str">
        <f t="shared" si="18"/>
        <v>3</v>
      </c>
      <c r="S460" s="110" t="str">
        <f t="shared" si="19"/>
        <v>2</v>
      </c>
    </row>
    <row r="461" spans="2:19" x14ac:dyDescent="0.2">
      <c r="B461" s="57" t="s">
        <v>2820</v>
      </c>
      <c r="C461" s="57" t="s">
        <v>3112</v>
      </c>
      <c r="D461" s="55" t="str">
        <f>VLOOKUP(VLOOKUP(Q461&amp;"_"&amp;R461,活动关卡!$A$88:$Z$111,2+5*S461,FALSE),'⚪设计'!$B$85:$H$114,2,FALSE)</f>
        <v>ResUnit_WuGui1</v>
      </c>
      <c r="E461" s="55">
        <f>VLOOKUP(VLOOKUP(Q461&amp;"_"&amp;R461,活动关卡!$A$88:$Z$111,2+5*S461,FALSE),'⚪设计'!$B$85:$H$114,6,FALSE)*VLOOKUP(Q461&amp;"_"&amp;R461,活动关卡!$A$88:$Z$111,5,FALSE)</f>
        <v>1.5</v>
      </c>
      <c r="F461">
        <v>400</v>
      </c>
      <c r="G461" t="b">
        <v>1</v>
      </c>
      <c r="H461">
        <v>1</v>
      </c>
      <c r="I461">
        <v>1</v>
      </c>
      <c r="J461">
        <v>0.25</v>
      </c>
      <c r="K461" s="55">
        <f>VLOOKUP(VLOOKUP(Q461&amp;"_"&amp;R461,活动关卡!$A$88:$Z$111,2+5*S461,FALSE),'⚪设计'!$B$85:$H$114,7,FALSE)</f>
        <v>1</v>
      </c>
      <c r="L461" s="57" t="s">
        <v>2528</v>
      </c>
      <c r="M461" t="s">
        <v>468</v>
      </c>
      <c r="N461" t="s">
        <v>469</v>
      </c>
      <c r="O461" t="s">
        <v>470</v>
      </c>
      <c r="P461" s="57" t="str">
        <f>IF(VLOOKUP(D461,'⚪设计'!$C$85:$I$113,7,FALSE)="","",VLOOKUP(D461,'⚪设计'!$C$85:$I$113,7,FALSE)&amp;",NormalAttack")</f>
        <v/>
      </c>
      <c r="Q461" s="110" t="str">
        <f t="shared" si="17"/>
        <v>2</v>
      </c>
      <c r="R461" s="110" t="str">
        <f t="shared" si="18"/>
        <v>3</v>
      </c>
      <c r="S461" s="110" t="str">
        <f t="shared" si="19"/>
        <v>3</v>
      </c>
    </row>
    <row r="462" spans="2:19" x14ac:dyDescent="0.2">
      <c r="B462" s="57" t="s">
        <v>2821</v>
      </c>
      <c r="C462" s="57" t="s">
        <v>3113</v>
      </c>
      <c r="D462" s="55" t="str">
        <f>VLOOKUP(VLOOKUP(Q462&amp;"_"&amp;R462,活动关卡!$A$88:$Z$111,2+5*S462,FALSE),'⚪设计'!$B$85:$H$114,2,FALSE)</f>
        <v>ResUnit_ZhiZhu1</v>
      </c>
      <c r="E462" s="55">
        <f>VLOOKUP(VLOOKUP(Q462&amp;"_"&amp;R462,活动关卡!$A$88:$Z$111,2+5*S462,FALSE),'⚪设计'!$B$85:$H$114,6,FALSE)*VLOOKUP(Q462&amp;"_"&amp;R462,活动关卡!$A$88:$Z$111,5,FALSE)</f>
        <v>4.5</v>
      </c>
      <c r="F462">
        <v>400</v>
      </c>
      <c r="G462" t="b">
        <v>1</v>
      </c>
      <c r="H462">
        <v>1</v>
      </c>
      <c r="I462">
        <v>1</v>
      </c>
      <c r="J462">
        <v>0.25</v>
      </c>
      <c r="K462" s="55">
        <f>VLOOKUP(VLOOKUP(Q462&amp;"_"&amp;R462,活动关卡!$A$88:$Z$111,2+5*S462,FALSE),'⚪设计'!$B$85:$H$114,7,FALSE)</f>
        <v>1</v>
      </c>
      <c r="L462" s="57" t="s">
        <v>2529</v>
      </c>
      <c r="M462" t="s">
        <v>468</v>
      </c>
      <c r="N462" t="s">
        <v>469</v>
      </c>
      <c r="O462" t="s">
        <v>470</v>
      </c>
      <c r="P462" s="57" t="str">
        <f>IF(VLOOKUP(D462,'⚪设计'!$C$85:$I$113,7,FALSE)="","",VLOOKUP(D462,'⚪设计'!$C$85:$I$113,7,FALSE)&amp;",NormalAttack")</f>
        <v/>
      </c>
      <c r="Q462" s="110" t="str">
        <f t="shared" si="17"/>
        <v>2</v>
      </c>
      <c r="R462" s="110" t="str">
        <f t="shared" si="18"/>
        <v>4</v>
      </c>
      <c r="S462" s="110" t="str">
        <f t="shared" si="19"/>
        <v>1</v>
      </c>
    </row>
    <row r="463" spans="2:19" x14ac:dyDescent="0.2">
      <c r="B463" s="57" t="s">
        <v>2822</v>
      </c>
      <c r="C463" s="57" t="s">
        <v>3114</v>
      </c>
      <c r="D463" s="55" t="str">
        <f>VLOOKUP(VLOOKUP(Q463&amp;"_"&amp;R463,活动关卡!$A$88:$Z$111,2+5*S463,FALSE),'⚪设计'!$B$85:$H$114,2,FALSE)</f>
        <v>ResUnit_BianFu1</v>
      </c>
      <c r="E463" s="55">
        <f>VLOOKUP(VLOOKUP(Q463&amp;"_"&amp;R463,活动关卡!$A$88:$Z$111,2+5*S463,FALSE),'⚪设计'!$B$85:$H$114,6,FALSE)*VLOOKUP(Q463&amp;"_"&amp;R463,活动关卡!$A$88:$Z$111,5,FALSE)</f>
        <v>3</v>
      </c>
      <c r="F463">
        <v>400</v>
      </c>
      <c r="G463" t="b">
        <v>1</v>
      </c>
      <c r="H463">
        <v>1</v>
      </c>
      <c r="I463">
        <v>1</v>
      </c>
      <c r="J463">
        <v>0.25</v>
      </c>
      <c r="K463" s="55">
        <f>VLOOKUP(VLOOKUP(Q463&amp;"_"&amp;R463,活动关卡!$A$88:$Z$111,2+5*S463,FALSE),'⚪设计'!$B$85:$H$114,7,FALSE)</f>
        <v>0.5</v>
      </c>
      <c r="L463" s="57" t="s">
        <v>2530</v>
      </c>
      <c r="M463" t="s">
        <v>468</v>
      </c>
      <c r="N463" t="s">
        <v>469</v>
      </c>
      <c r="O463" t="s">
        <v>470</v>
      </c>
      <c r="P463" s="57" t="str">
        <f>IF(VLOOKUP(D463,'⚪设计'!$C$85:$I$113,7,FALSE)="","",VLOOKUP(D463,'⚪设计'!$C$85:$I$113,7,FALSE)&amp;",NormalAttack")</f>
        <v/>
      </c>
      <c r="Q463" s="110" t="str">
        <f t="shared" si="17"/>
        <v>2</v>
      </c>
      <c r="R463" s="110" t="str">
        <f t="shared" si="18"/>
        <v>4</v>
      </c>
      <c r="S463" s="110" t="str">
        <f t="shared" si="19"/>
        <v>2</v>
      </c>
    </row>
    <row r="464" spans="2:19" x14ac:dyDescent="0.2">
      <c r="B464" s="57" t="s">
        <v>2823</v>
      </c>
      <c r="C464" s="57" t="s">
        <v>3115</v>
      </c>
      <c r="D464" s="55" t="str">
        <f>VLOOKUP(VLOOKUP(Q464&amp;"_"&amp;R464,活动关卡!$A$88:$Z$111,2+5*S464,FALSE),'⚪设计'!$B$85:$H$114,2,FALSE)</f>
        <v>ResUnit_MiFeng2</v>
      </c>
      <c r="E464" s="55">
        <f>VLOOKUP(VLOOKUP(Q464&amp;"_"&amp;R464,活动关卡!$A$88:$Z$111,2+5*S464,FALSE),'⚪设计'!$B$85:$H$114,6,FALSE)*VLOOKUP(Q464&amp;"_"&amp;R464,活动关卡!$A$88:$Z$111,5,FALSE)</f>
        <v>3</v>
      </c>
      <c r="F464">
        <v>400</v>
      </c>
      <c r="G464" t="b">
        <v>1</v>
      </c>
      <c r="H464">
        <v>1</v>
      </c>
      <c r="I464">
        <v>1</v>
      </c>
      <c r="J464">
        <v>0.25</v>
      </c>
      <c r="K464" s="55">
        <f>VLOOKUP(VLOOKUP(Q464&amp;"_"&amp;R464,活动关卡!$A$88:$Z$111,2+5*S464,FALSE),'⚪设计'!$B$85:$H$114,7,FALSE)</f>
        <v>0.8</v>
      </c>
      <c r="L464" s="57" t="s">
        <v>2531</v>
      </c>
      <c r="M464" t="s">
        <v>468</v>
      </c>
      <c r="N464" t="s">
        <v>469</v>
      </c>
      <c r="O464" t="s">
        <v>470</v>
      </c>
      <c r="P464" s="57" t="str">
        <f>IF(VLOOKUP(D464,'⚪设计'!$C$85:$I$113,7,FALSE)="","",VLOOKUP(D464,'⚪设计'!$C$85:$I$113,7,FALSE)&amp;",NormalAttack")</f>
        <v/>
      </c>
      <c r="Q464" s="110" t="str">
        <f t="shared" si="17"/>
        <v>2</v>
      </c>
      <c r="R464" s="110" t="str">
        <f t="shared" si="18"/>
        <v>4</v>
      </c>
      <c r="S464" s="110" t="str">
        <f t="shared" si="19"/>
        <v>3</v>
      </c>
    </row>
    <row r="465" spans="2:19" x14ac:dyDescent="0.2">
      <c r="B465" s="57" t="s">
        <v>2824</v>
      </c>
      <c r="C465" s="57" t="s">
        <v>3116</v>
      </c>
      <c r="D465" s="55" t="str">
        <f>VLOOKUP(VLOOKUP(Q465&amp;"_"&amp;R465,活动关卡!$A$88:$Z$111,2+5*S465,FALSE),'⚪设计'!$B$85:$H$114,2,FALSE)</f>
        <v>ResUnit_WuGui1</v>
      </c>
      <c r="E465" s="55">
        <f>VLOOKUP(VLOOKUP(Q465&amp;"_"&amp;R465,活动关卡!$A$88:$Z$111,2+5*S465,FALSE),'⚪设计'!$B$85:$H$114,6,FALSE)*VLOOKUP(Q465&amp;"_"&amp;R465,活动关卡!$A$88:$Z$111,5,FALSE)</f>
        <v>1.5</v>
      </c>
      <c r="F465">
        <v>400</v>
      </c>
      <c r="G465" t="b">
        <v>1</v>
      </c>
      <c r="H465">
        <v>1</v>
      </c>
      <c r="I465">
        <v>1</v>
      </c>
      <c r="J465">
        <v>0.25</v>
      </c>
      <c r="K465" s="55">
        <f>VLOOKUP(VLOOKUP(Q465&amp;"_"&amp;R465,活动关卡!$A$88:$Z$111,2+5*S465,FALSE),'⚪设计'!$B$85:$H$114,7,FALSE)</f>
        <v>1</v>
      </c>
      <c r="L465" s="57" t="s">
        <v>2532</v>
      </c>
      <c r="M465" t="s">
        <v>468</v>
      </c>
      <c r="N465" t="s">
        <v>469</v>
      </c>
      <c r="O465" t="s">
        <v>470</v>
      </c>
      <c r="P465" s="57" t="str">
        <f>IF(VLOOKUP(D465,'⚪设计'!$C$85:$I$113,7,FALSE)="","",VLOOKUP(D465,'⚪设计'!$C$85:$I$113,7,FALSE)&amp;",NormalAttack")</f>
        <v/>
      </c>
      <c r="Q465" s="110" t="str">
        <f t="shared" si="17"/>
        <v>2</v>
      </c>
      <c r="R465" s="110" t="str">
        <f t="shared" si="18"/>
        <v>4</v>
      </c>
      <c r="S465" s="110" t="str">
        <f t="shared" si="19"/>
        <v>4</v>
      </c>
    </row>
    <row r="466" spans="2:19" x14ac:dyDescent="0.2">
      <c r="B466" s="57" t="s">
        <v>2825</v>
      </c>
      <c r="C466" s="57" t="s">
        <v>3117</v>
      </c>
      <c r="D466" s="55" t="str">
        <f>VLOOKUP(VLOOKUP(Q466&amp;"_"&amp;R466,活动关卡!$A$88:$Z$111,2+5*S466,FALSE),'⚪设计'!$B$85:$H$114,2,FALSE)</f>
        <v>ResUnit_ZhiZhu1</v>
      </c>
      <c r="E466" s="55">
        <f>VLOOKUP(VLOOKUP(Q466&amp;"_"&amp;R466,活动关卡!$A$88:$Z$111,2+5*S466,FALSE),'⚪设计'!$B$85:$H$114,6,FALSE)*VLOOKUP(Q466&amp;"_"&amp;R466,活动关卡!$A$88:$Z$111,5,FALSE)</f>
        <v>4.5</v>
      </c>
      <c r="F466">
        <v>400</v>
      </c>
      <c r="G466" t="b">
        <v>1</v>
      </c>
      <c r="H466">
        <v>1</v>
      </c>
      <c r="I466">
        <v>1</v>
      </c>
      <c r="J466">
        <v>0.25</v>
      </c>
      <c r="K466" s="55">
        <f>VLOOKUP(VLOOKUP(Q466&amp;"_"&amp;R466,活动关卡!$A$88:$Z$111,2+5*S466,FALSE),'⚪设计'!$B$85:$H$114,7,FALSE)</f>
        <v>1</v>
      </c>
      <c r="L466" s="57" t="s">
        <v>2533</v>
      </c>
      <c r="M466" t="s">
        <v>468</v>
      </c>
      <c r="N466" t="s">
        <v>469</v>
      </c>
      <c r="O466" t="s">
        <v>470</v>
      </c>
      <c r="P466" s="57" t="str">
        <f>IF(VLOOKUP(D466,'⚪设计'!$C$85:$I$113,7,FALSE)="","",VLOOKUP(D466,'⚪设计'!$C$85:$I$113,7,FALSE)&amp;",NormalAttack")</f>
        <v/>
      </c>
      <c r="Q466" s="110" t="str">
        <f t="shared" si="17"/>
        <v>2</v>
      </c>
      <c r="R466" s="110" t="str">
        <f t="shared" si="18"/>
        <v>5</v>
      </c>
      <c r="S466" s="110" t="str">
        <f t="shared" si="19"/>
        <v>1</v>
      </c>
    </row>
    <row r="467" spans="2:19" x14ac:dyDescent="0.2">
      <c r="B467" s="57" t="s">
        <v>2826</v>
      </c>
      <c r="C467" s="57" t="s">
        <v>3118</v>
      </c>
      <c r="D467" s="55" t="str">
        <f>VLOOKUP(VLOOKUP(Q467&amp;"_"&amp;R467,活动关卡!$A$88:$Z$111,2+5*S467,FALSE),'⚪设计'!$B$85:$H$114,2,FALSE)</f>
        <v>ResUnit_BianFu1</v>
      </c>
      <c r="E467" s="55">
        <f>VLOOKUP(VLOOKUP(Q467&amp;"_"&amp;R467,活动关卡!$A$88:$Z$111,2+5*S467,FALSE),'⚪设计'!$B$85:$H$114,6,FALSE)*VLOOKUP(Q467&amp;"_"&amp;R467,活动关卡!$A$88:$Z$111,5,FALSE)</f>
        <v>3</v>
      </c>
      <c r="F467">
        <v>400</v>
      </c>
      <c r="G467" t="b">
        <v>1</v>
      </c>
      <c r="H467">
        <v>1</v>
      </c>
      <c r="I467">
        <v>1</v>
      </c>
      <c r="J467">
        <v>0.25</v>
      </c>
      <c r="K467" s="55">
        <f>VLOOKUP(VLOOKUP(Q467&amp;"_"&amp;R467,活动关卡!$A$88:$Z$111,2+5*S467,FALSE),'⚪设计'!$B$85:$H$114,7,FALSE)</f>
        <v>0.5</v>
      </c>
      <c r="L467" s="57" t="s">
        <v>2534</v>
      </c>
      <c r="M467" t="s">
        <v>468</v>
      </c>
      <c r="N467" t="s">
        <v>469</v>
      </c>
      <c r="O467" t="s">
        <v>470</v>
      </c>
      <c r="P467" s="57" t="str">
        <f>IF(VLOOKUP(D467,'⚪设计'!$C$85:$I$113,7,FALSE)="","",VLOOKUP(D467,'⚪设计'!$C$85:$I$113,7,FALSE)&amp;",NormalAttack")</f>
        <v/>
      </c>
      <c r="Q467" s="110" t="str">
        <f t="shared" si="17"/>
        <v>2</v>
      </c>
      <c r="R467" s="110" t="str">
        <f t="shared" si="18"/>
        <v>5</v>
      </c>
      <c r="S467" s="110" t="str">
        <f t="shared" si="19"/>
        <v>2</v>
      </c>
    </row>
    <row r="468" spans="2:19" x14ac:dyDescent="0.2">
      <c r="B468" s="57" t="s">
        <v>2827</v>
      </c>
      <c r="C468" s="57" t="s">
        <v>3119</v>
      </c>
      <c r="D468" s="55" t="str">
        <f>VLOOKUP(VLOOKUP(Q468&amp;"_"&amp;R468,活动关卡!$A$88:$Z$111,2+5*S468,FALSE),'⚪设计'!$B$85:$H$114,2,FALSE)</f>
        <v>ResUnit_MiFeng2</v>
      </c>
      <c r="E468" s="55">
        <f>VLOOKUP(VLOOKUP(Q468&amp;"_"&amp;R468,活动关卡!$A$88:$Z$111,2+5*S468,FALSE),'⚪设计'!$B$85:$H$114,6,FALSE)*VLOOKUP(Q468&amp;"_"&amp;R468,活动关卡!$A$88:$Z$111,5,FALSE)</f>
        <v>3</v>
      </c>
      <c r="F468">
        <v>400</v>
      </c>
      <c r="G468" t="b">
        <v>1</v>
      </c>
      <c r="H468">
        <v>1</v>
      </c>
      <c r="I468">
        <v>1</v>
      </c>
      <c r="J468">
        <v>0.25</v>
      </c>
      <c r="K468" s="55">
        <f>VLOOKUP(VLOOKUP(Q468&amp;"_"&amp;R468,活动关卡!$A$88:$Z$111,2+5*S468,FALSE),'⚪设计'!$B$85:$H$114,7,FALSE)</f>
        <v>0.8</v>
      </c>
      <c r="L468" s="57" t="s">
        <v>2535</v>
      </c>
      <c r="M468" t="s">
        <v>468</v>
      </c>
      <c r="N468" t="s">
        <v>469</v>
      </c>
      <c r="O468" t="s">
        <v>470</v>
      </c>
      <c r="P468" s="57" t="str">
        <f>IF(VLOOKUP(D468,'⚪设计'!$C$85:$I$113,7,FALSE)="","",VLOOKUP(D468,'⚪设计'!$C$85:$I$113,7,FALSE)&amp;",NormalAttack")</f>
        <v/>
      </c>
      <c r="Q468" s="110" t="str">
        <f t="shared" si="17"/>
        <v>2</v>
      </c>
      <c r="R468" s="110" t="str">
        <f t="shared" si="18"/>
        <v>5</v>
      </c>
      <c r="S468" s="110" t="str">
        <f t="shared" si="19"/>
        <v>3</v>
      </c>
    </row>
    <row r="469" spans="2:19" x14ac:dyDescent="0.2">
      <c r="B469" s="57" t="s">
        <v>2828</v>
      </c>
      <c r="C469" s="57" t="s">
        <v>3120</v>
      </c>
      <c r="D469" s="55" t="str">
        <f>VLOOKUP(VLOOKUP(Q469&amp;"_"&amp;R469,活动关卡!$A$88:$Z$111,2+5*S469,FALSE),'⚪设计'!$B$85:$H$114,2,FALSE)</f>
        <v>ResUnit_WuGui1</v>
      </c>
      <c r="E469" s="55">
        <f>VLOOKUP(VLOOKUP(Q469&amp;"_"&amp;R469,活动关卡!$A$88:$Z$111,2+5*S469,FALSE),'⚪设计'!$B$85:$H$114,6,FALSE)*VLOOKUP(Q469&amp;"_"&amp;R469,活动关卡!$A$88:$Z$111,5,FALSE)</f>
        <v>1.5</v>
      </c>
      <c r="F469">
        <v>400</v>
      </c>
      <c r="G469" t="b">
        <v>1</v>
      </c>
      <c r="H469">
        <v>1</v>
      </c>
      <c r="I469">
        <v>1</v>
      </c>
      <c r="J469">
        <v>0.25</v>
      </c>
      <c r="K469" s="55">
        <f>VLOOKUP(VLOOKUP(Q469&amp;"_"&amp;R469,活动关卡!$A$88:$Z$111,2+5*S469,FALSE),'⚪设计'!$B$85:$H$114,7,FALSE)</f>
        <v>1</v>
      </c>
      <c r="L469" s="57" t="s">
        <v>2536</v>
      </c>
      <c r="M469" t="s">
        <v>468</v>
      </c>
      <c r="N469" t="s">
        <v>469</v>
      </c>
      <c r="O469" t="s">
        <v>470</v>
      </c>
      <c r="P469" s="57" t="str">
        <f>IF(VLOOKUP(D469,'⚪设计'!$C$85:$I$113,7,FALSE)="","",VLOOKUP(D469,'⚪设计'!$C$85:$I$113,7,FALSE)&amp;",NormalAttack")</f>
        <v/>
      </c>
      <c r="Q469" s="110" t="str">
        <f t="shared" si="17"/>
        <v>2</v>
      </c>
      <c r="R469" s="110" t="str">
        <f t="shared" si="18"/>
        <v>5</v>
      </c>
      <c r="S469" s="110" t="str">
        <f t="shared" si="19"/>
        <v>4</v>
      </c>
    </row>
    <row r="470" spans="2:19" x14ac:dyDescent="0.2">
      <c r="B470" s="57" t="s">
        <v>2829</v>
      </c>
      <c r="C470" s="57" t="s">
        <v>3121</v>
      </c>
      <c r="D470" s="55" t="str">
        <f>VLOOKUP(VLOOKUP(Q470&amp;"_"&amp;R470,活动关卡!$A$88:$Z$111,2+5*S470,FALSE),'⚪设计'!$B$85:$H$114,2,FALSE)</f>
        <v>ResUnit_ZhongZi1</v>
      </c>
      <c r="E470" s="55">
        <f>VLOOKUP(VLOOKUP(Q470&amp;"_"&amp;R470,活动关卡!$A$88:$Z$111,2+5*S470,FALSE),'⚪设计'!$B$85:$H$114,6,FALSE)*VLOOKUP(Q470&amp;"_"&amp;R470,活动关卡!$A$88:$Z$111,5,FALSE)</f>
        <v>3</v>
      </c>
      <c r="F470">
        <v>400</v>
      </c>
      <c r="G470" t="b">
        <v>1</v>
      </c>
      <c r="H470">
        <v>1</v>
      </c>
      <c r="I470">
        <v>1</v>
      </c>
      <c r="J470">
        <v>0.25</v>
      </c>
      <c r="K470" s="55">
        <f>VLOOKUP(VLOOKUP(Q470&amp;"_"&amp;R470,活动关卡!$A$88:$Z$111,2+5*S470,FALSE),'⚪设计'!$B$85:$H$114,7,FALSE)</f>
        <v>1</v>
      </c>
      <c r="L470" s="57" t="s">
        <v>2537</v>
      </c>
      <c r="M470" t="s">
        <v>468</v>
      </c>
      <c r="N470" t="s">
        <v>469</v>
      </c>
      <c r="O470" t="s">
        <v>470</v>
      </c>
      <c r="P470" s="57" t="str">
        <f>IF(VLOOKUP(D470,'⚪设计'!$C$85:$I$113,7,FALSE)="","",VLOOKUP(D470,'⚪设计'!$C$85:$I$113,7,FALSE)&amp;",NormalAttack")</f>
        <v>Skill_Monster_Heal,NormalAttack</v>
      </c>
      <c r="Q470" s="110" t="str">
        <f t="shared" si="17"/>
        <v>3</v>
      </c>
      <c r="R470" s="110" t="str">
        <f t="shared" si="18"/>
        <v>1</v>
      </c>
      <c r="S470" s="110" t="str">
        <f t="shared" si="19"/>
        <v>1</v>
      </c>
    </row>
    <row r="471" spans="2:19" x14ac:dyDescent="0.2">
      <c r="B471" s="57" t="s">
        <v>2830</v>
      </c>
      <c r="C471" s="57" t="s">
        <v>3122</v>
      </c>
      <c r="D471" s="55" t="str">
        <f>VLOOKUP(VLOOKUP(Q471&amp;"_"&amp;R471,活动关卡!$A$88:$Z$111,2+5*S471,FALSE),'⚪设计'!$B$85:$H$114,2,FALSE)</f>
        <v>ResUnit_WuGui2</v>
      </c>
      <c r="E471" s="55">
        <f>VLOOKUP(VLOOKUP(Q471&amp;"_"&amp;R471,活动关卡!$A$88:$Z$111,2+5*S471,FALSE),'⚪设计'!$B$85:$H$114,6,FALSE)*VLOOKUP(Q471&amp;"_"&amp;R471,活动关卡!$A$88:$Z$111,5,FALSE)</f>
        <v>1.5</v>
      </c>
      <c r="F471">
        <v>400</v>
      </c>
      <c r="G471" t="b">
        <v>1</v>
      </c>
      <c r="H471">
        <v>1</v>
      </c>
      <c r="I471">
        <v>1</v>
      </c>
      <c r="J471">
        <v>0.25</v>
      </c>
      <c r="K471" s="55">
        <f>VLOOKUP(VLOOKUP(Q471&amp;"_"&amp;R471,活动关卡!$A$88:$Z$111,2+5*S471,FALSE),'⚪设计'!$B$85:$H$114,7,FALSE)</f>
        <v>1.2</v>
      </c>
      <c r="L471" s="57" t="s">
        <v>2538</v>
      </c>
      <c r="M471" t="s">
        <v>468</v>
      </c>
      <c r="N471" t="s">
        <v>469</v>
      </c>
      <c r="O471" t="s">
        <v>470</v>
      </c>
      <c r="P471" s="57" t="str">
        <f>IF(VLOOKUP(D471,'⚪设计'!$C$85:$I$113,7,FALSE)="","",VLOOKUP(D471,'⚪设计'!$C$85:$I$113,7,FALSE)&amp;",NormalAttack")</f>
        <v/>
      </c>
      <c r="Q471" s="110" t="str">
        <f t="shared" si="17"/>
        <v>3</v>
      </c>
      <c r="R471" s="110" t="str">
        <f t="shared" si="18"/>
        <v>1</v>
      </c>
      <c r="S471" s="110" t="str">
        <f t="shared" si="19"/>
        <v>2</v>
      </c>
    </row>
    <row r="472" spans="2:19" x14ac:dyDescent="0.2">
      <c r="B472" s="57" t="s">
        <v>2831</v>
      </c>
      <c r="C472" s="57" t="s">
        <v>3123</v>
      </c>
      <c r="D472" s="55" t="str">
        <f>VLOOKUP(VLOOKUP(Q472&amp;"_"&amp;R472,活动关卡!$A$88:$Z$111,2+5*S472,FALSE),'⚪设计'!$B$85:$H$114,2,FALSE)</f>
        <v>ResUnit_ZhongZi1</v>
      </c>
      <c r="E472" s="55">
        <f>VLOOKUP(VLOOKUP(Q472&amp;"_"&amp;R472,活动关卡!$A$88:$Z$111,2+5*S472,FALSE),'⚪设计'!$B$85:$H$114,6,FALSE)*VLOOKUP(Q472&amp;"_"&amp;R472,活动关卡!$A$88:$Z$111,5,FALSE)</f>
        <v>3</v>
      </c>
      <c r="F472">
        <v>400</v>
      </c>
      <c r="G472" t="b">
        <v>1</v>
      </c>
      <c r="H472">
        <v>1</v>
      </c>
      <c r="I472">
        <v>1</v>
      </c>
      <c r="J472">
        <v>0.25</v>
      </c>
      <c r="K472" s="55">
        <f>VLOOKUP(VLOOKUP(Q472&amp;"_"&amp;R472,活动关卡!$A$88:$Z$111,2+5*S472,FALSE),'⚪设计'!$B$85:$H$114,7,FALSE)</f>
        <v>1</v>
      </c>
      <c r="L472" s="57" t="s">
        <v>2539</v>
      </c>
      <c r="M472" t="s">
        <v>468</v>
      </c>
      <c r="N472" t="s">
        <v>469</v>
      </c>
      <c r="O472" t="s">
        <v>470</v>
      </c>
      <c r="P472" s="57" t="str">
        <f>IF(VLOOKUP(D472,'⚪设计'!$C$85:$I$113,7,FALSE)="","",VLOOKUP(D472,'⚪设计'!$C$85:$I$113,7,FALSE)&amp;",NormalAttack")</f>
        <v>Skill_Monster_Heal,NormalAttack</v>
      </c>
      <c r="Q472" s="110" t="str">
        <f t="shared" si="17"/>
        <v>3</v>
      </c>
      <c r="R472" s="110" t="str">
        <f t="shared" si="18"/>
        <v>2</v>
      </c>
      <c r="S472" s="110" t="str">
        <f t="shared" si="19"/>
        <v>1</v>
      </c>
    </row>
    <row r="473" spans="2:19" x14ac:dyDescent="0.2">
      <c r="B473" s="57" t="s">
        <v>2832</v>
      </c>
      <c r="C473" s="57" t="s">
        <v>3124</v>
      </c>
      <c r="D473" s="55" t="str">
        <f>VLOOKUP(VLOOKUP(Q473&amp;"_"&amp;R473,活动关卡!$A$88:$Z$111,2+5*S473,FALSE),'⚪设计'!$B$85:$H$114,2,FALSE)</f>
        <v>ResUnit_MiFeng2</v>
      </c>
      <c r="E473" s="55">
        <f>VLOOKUP(VLOOKUP(Q473&amp;"_"&amp;R473,活动关卡!$A$88:$Z$111,2+5*S473,FALSE),'⚪设计'!$B$85:$H$114,6,FALSE)*VLOOKUP(Q473&amp;"_"&amp;R473,活动关卡!$A$88:$Z$111,5,FALSE)</f>
        <v>3</v>
      </c>
      <c r="F473">
        <v>400</v>
      </c>
      <c r="G473" t="b">
        <v>1</v>
      </c>
      <c r="H473">
        <v>1</v>
      </c>
      <c r="I473">
        <v>1</v>
      </c>
      <c r="J473">
        <v>0.25</v>
      </c>
      <c r="K473" s="55">
        <f>VLOOKUP(VLOOKUP(Q473&amp;"_"&amp;R473,活动关卡!$A$88:$Z$111,2+5*S473,FALSE),'⚪设计'!$B$85:$H$114,7,FALSE)</f>
        <v>0.8</v>
      </c>
      <c r="L473" s="57" t="s">
        <v>2540</v>
      </c>
      <c r="M473" t="s">
        <v>468</v>
      </c>
      <c r="N473" t="s">
        <v>469</v>
      </c>
      <c r="O473" t="s">
        <v>470</v>
      </c>
      <c r="P473" s="57" t="str">
        <f>IF(VLOOKUP(D473,'⚪设计'!$C$85:$I$113,7,FALSE)="","",VLOOKUP(D473,'⚪设计'!$C$85:$I$113,7,FALSE)&amp;",NormalAttack")</f>
        <v/>
      </c>
      <c r="Q473" s="110" t="str">
        <f t="shared" si="17"/>
        <v>3</v>
      </c>
      <c r="R473" s="110" t="str">
        <f t="shared" si="18"/>
        <v>2</v>
      </c>
      <c r="S473" s="110" t="str">
        <f t="shared" si="19"/>
        <v>2</v>
      </c>
    </row>
    <row r="474" spans="2:19" x14ac:dyDescent="0.2">
      <c r="B474" s="57" t="s">
        <v>2833</v>
      </c>
      <c r="C474" s="57" t="s">
        <v>3125</v>
      </c>
      <c r="D474" s="55" t="str">
        <f>VLOOKUP(VLOOKUP(Q474&amp;"_"&amp;R474,活动关卡!$A$88:$Z$111,2+5*S474,FALSE),'⚪设计'!$B$85:$H$114,2,FALSE)</f>
        <v>ResUnit_WuGui2</v>
      </c>
      <c r="E474" s="55">
        <f>VLOOKUP(VLOOKUP(Q474&amp;"_"&amp;R474,活动关卡!$A$88:$Z$111,2+5*S474,FALSE),'⚪设计'!$B$85:$H$114,6,FALSE)*VLOOKUP(Q474&amp;"_"&amp;R474,活动关卡!$A$88:$Z$111,5,FALSE)</f>
        <v>1.5</v>
      </c>
      <c r="F474">
        <v>400</v>
      </c>
      <c r="G474" t="b">
        <v>1</v>
      </c>
      <c r="H474">
        <v>1</v>
      </c>
      <c r="I474">
        <v>1</v>
      </c>
      <c r="J474">
        <v>0.25</v>
      </c>
      <c r="K474" s="55">
        <f>VLOOKUP(VLOOKUP(Q474&amp;"_"&amp;R474,活动关卡!$A$88:$Z$111,2+5*S474,FALSE),'⚪设计'!$B$85:$H$114,7,FALSE)</f>
        <v>1.2</v>
      </c>
      <c r="L474" s="57" t="s">
        <v>2541</v>
      </c>
      <c r="M474" t="s">
        <v>468</v>
      </c>
      <c r="N474" t="s">
        <v>469</v>
      </c>
      <c r="O474" t="s">
        <v>470</v>
      </c>
      <c r="P474" s="57" t="str">
        <f>IF(VLOOKUP(D474,'⚪设计'!$C$85:$I$113,7,FALSE)="","",VLOOKUP(D474,'⚪设计'!$C$85:$I$113,7,FALSE)&amp;",NormalAttack")</f>
        <v/>
      </c>
      <c r="Q474" s="110" t="str">
        <f t="shared" si="17"/>
        <v>3</v>
      </c>
      <c r="R474" s="110" t="str">
        <f t="shared" si="18"/>
        <v>2</v>
      </c>
      <c r="S474" s="110" t="str">
        <f t="shared" si="19"/>
        <v>3</v>
      </c>
    </row>
    <row r="475" spans="2:19" x14ac:dyDescent="0.2">
      <c r="B475" s="57" t="s">
        <v>2834</v>
      </c>
      <c r="C475" s="57" t="s">
        <v>3126</v>
      </c>
      <c r="D475" s="55" t="str">
        <f>VLOOKUP(VLOOKUP(Q475&amp;"_"&amp;R475,活动关卡!$A$88:$Z$111,2+5*S475,FALSE),'⚪设计'!$B$85:$H$114,2,FALSE)</f>
        <v>ResUnit_ZhongZi1</v>
      </c>
      <c r="E475" s="55">
        <f>VLOOKUP(VLOOKUP(Q475&amp;"_"&amp;R475,活动关卡!$A$88:$Z$111,2+5*S475,FALSE),'⚪设计'!$B$85:$H$114,6,FALSE)*VLOOKUP(Q475&amp;"_"&amp;R475,活动关卡!$A$88:$Z$111,5,FALSE)</f>
        <v>3</v>
      </c>
      <c r="F475">
        <v>400</v>
      </c>
      <c r="G475" t="b">
        <v>1</v>
      </c>
      <c r="H475">
        <v>1</v>
      </c>
      <c r="I475">
        <v>1</v>
      </c>
      <c r="J475">
        <v>0.25</v>
      </c>
      <c r="K475" s="55">
        <f>VLOOKUP(VLOOKUP(Q475&amp;"_"&amp;R475,活动关卡!$A$88:$Z$111,2+5*S475,FALSE),'⚪设计'!$B$85:$H$114,7,FALSE)</f>
        <v>1</v>
      </c>
      <c r="L475" s="57" t="s">
        <v>2542</v>
      </c>
      <c r="M475" t="s">
        <v>468</v>
      </c>
      <c r="N475" t="s">
        <v>469</v>
      </c>
      <c r="O475" t="s">
        <v>470</v>
      </c>
      <c r="P475" s="57" t="str">
        <f>IF(VLOOKUP(D475,'⚪设计'!$C$85:$I$113,7,FALSE)="","",VLOOKUP(D475,'⚪设计'!$C$85:$I$113,7,FALSE)&amp;",NormalAttack")</f>
        <v>Skill_Monster_Heal,NormalAttack</v>
      </c>
      <c r="Q475" s="110" t="str">
        <f t="shared" si="17"/>
        <v>3</v>
      </c>
      <c r="R475" s="110" t="str">
        <f t="shared" si="18"/>
        <v>3</v>
      </c>
      <c r="S475" s="110" t="str">
        <f t="shared" si="19"/>
        <v>1</v>
      </c>
    </row>
    <row r="476" spans="2:19" x14ac:dyDescent="0.2">
      <c r="B476" s="57" t="s">
        <v>2835</v>
      </c>
      <c r="C476" s="57" t="s">
        <v>3127</v>
      </c>
      <c r="D476" s="55" t="str">
        <f>VLOOKUP(VLOOKUP(Q476&amp;"_"&amp;R476,活动关卡!$A$88:$Z$111,2+5*S476,FALSE),'⚪设计'!$B$85:$H$114,2,FALSE)</f>
        <v>ResUnit_BianFu1</v>
      </c>
      <c r="E476" s="55">
        <f>VLOOKUP(VLOOKUP(Q476&amp;"_"&amp;R476,活动关卡!$A$88:$Z$111,2+5*S476,FALSE),'⚪设计'!$B$85:$H$114,6,FALSE)*VLOOKUP(Q476&amp;"_"&amp;R476,活动关卡!$A$88:$Z$111,5,FALSE)</f>
        <v>3</v>
      </c>
      <c r="F476">
        <v>400</v>
      </c>
      <c r="G476" t="b">
        <v>1</v>
      </c>
      <c r="H476">
        <v>1</v>
      </c>
      <c r="I476">
        <v>1</v>
      </c>
      <c r="J476">
        <v>0.25</v>
      </c>
      <c r="K476" s="55">
        <f>VLOOKUP(VLOOKUP(Q476&amp;"_"&amp;R476,活动关卡!$A$88:$Z$111,2+5*S476,FALSE),'⚪设计'!$B$85:$H$114,7,FALSE)</f>
        <v>0.5</v>
      </c>
      <c r="L476" s="57" t="s">
        <v>2543</v>
      </c>
      <c r="M476" t="s">
        <v>468</v>
      </c>
      <c r="N476" t="s">
        <v>469</v>
      </c>
      <c r="O476" t="s">
        <v>470</v>
      </c>
      <c r="P476" s="57" t="str">
        <f>IF(VLOOKUP(D476,'⚪设计'!$C$85:$I$113,7,FALSE)="","",VLOOKUP(D476,'⚪设计'!$C$85:$I$113,7,FALSE)&amp;",NormalAttack")</f>
        <v/>
      </c>
      <c r="Q476" s="110" t="str">
        <f t="shared" si="17"/>
        <v>3</v>
      </c>
      <c r="R476" s="110" t="str">
        <f t="shared" si="18"/>
        <v>3</v>
      </c>
      <c r="S476" s="110" t="str">
        <f t="shared" si="19"/>
        <v>2</v>
      </c>
    </row>
    <row r="477" spans="2:19" x14ac:dyDescent="0.2">
      <c r="B477" s="57" t="s">
        <v>2836</v>
      </c>
      <c r="C477" s="57" t="s">
        <v>3128</v>
      </c>
      <c r="D477" s="55" t="str">
        <f>VLOOKUP(VLOOKUP(Q477&amp;"_"&amp;R477,活动关卡!$A$88:$Z$111,2+5*S477,FALSE),'⚪设计'!$B$85:$H$114,2,FALSE)</f>
        <v>ResUnit_WuGui2</v>
      </c>
      <c r="E477" s="55">
        <f>VLOOKUP(VLOOKUP(Q477&amp;"_"&amp;R477,活动关卡!$A$88:$Z$111,2+5*S477,FALSE),'⚪设计'!$B$85:$H$114,6,FALSE)*VLOOKUP(Q477&amp;"_"&amp;R477,活动关卡!$A$88:$Z$111,5,FALSE)</f>
        <v>1.5</v>
      </c>
      <c r="F477">
        <v>400</v>
      </c>
      <c r="G477" t="b">
        <v>1</v>
      </c>
      <c r="H477">
        <v>1</v>
      </c>
      <c r="I477">
        <v>1</v>
      </c>
      <c r="J477">
        <v>0.25</v>
      </c>
      <c r="K477" s="55">
        <f>VLOOKUP(VLOOKUP(Q477&amp;"_"&amp;R477,活动关卡!$A$88:$Z$111,2+5*S477,FALSE),'⚪设计'!$B$85:$H$114,7,FALSE)</f>
        <v>1.2</v>
      </c>
      <c r="L477" s="57" t="s">
        <v>2544</v>
      </c>
      <c r="M477" t="s">
        <v>468</v>
      </c>
      <c r="N477" t="s">
        <v>469</v>
      </c>
      <c r="O477" t="s">
        <v>470</v>
      </c>
      <c r="P477" s="57" t="str">
        <f>IF(VLOOKUP(D477,'⚪设计'!$C$85:$I$113,7,FALSE)="","",VLOOKUP(D477,'⚪设计'!$C$85:$I$113,7,FALSE)&amp;",NormalAttack")</f>
        <v/>
      </c>
      <c r="Q477" s="110" t="str">
        <f t="shared" si="17"/>
        <v>3</v>
      </c>
      <c r="R477" s="110" t="str">
        <f t="shared" si="18"/>
        <v>3</v>
      </c>
      <c r="S477" s="110" t="str">
        <f t="shared" si="19"/>
        <v>3</v>
      </c>
    </row>
    <row r="478" spans="2:19" x14ac:dyDescent="0.2">
      <c r="B478" s="57" t="s">
        <v>2837</v>
      </c>
      <c r="C478" s="57" t="s">
        <v>3129</v>
      </c>
      <c r="D478" s="55" t="str">
        <f>VLOOKUP(VLOOKUP(Q478&amp;"_"&amp;R478,活动关卡!$A$88:$Z$111,2+5*S478,FALSE),'⚪设计'!$B$85:$H$114,2,FALSE)</f>
        <v>ResUnit_Gui1</v>
      </c>
      <c r="E478" s="55">
        <f>VLOOKUP(VLOOKUP(Q478&amp;"_"&amp;R478,活动关卡!$A$88:$Z$111,2+5*S478,FALSE),'⚪设计'!$B$85:$H$114,6,FALSE)*VLOOKUP(Q478&amp;"_"&amp;R478,活动关卡!$A$88:$Z$111,5,FALSE)</f>
        <v>3</v>
      </c>
      <c r="F478">
        <v>400</v>
      </c>
      <c r="G478" t="b">
        <v>1</v>
      </c>
      <c r="H478">
        <v>1</v>
      </c>
      <c r="I478">
        <v>1</v>
      </c>
      <c r="J478">
        <v>0.25</v>
      </c>
      <c r="K478" s="55">
        <f>VLOOKUP(VLOOKUP(Q478&amp;"_"&amp;R478,活动关卡!$A$88:$Z$111,2+5*S478,FALSE),'⚪设计'!$B$85:$H$114,7,FALSE)</f>
        <v>1</v>
      </c>
      <c r="L478" s="57" t="s">
        <v>2545</v>
      </c>
      <c r="M478" t="s">
        <v>468</v>
      </c>
      <c r="N478" t="s">
        <v>469</v>
      </c>
      <c r="O478" t="s">
        <v>470</v>
      </c>
      <c r="P478" s="57" t="str">
        <f>IF(VLOOKUP(D478,'⚪设计'!$C$85:$I$113,7,FALSE)="","",VLOOKUP(D478,'⚪设计'!$C$85:$I$113,7,FALSE)&amp;",NormalAttack")</f>
        <v>Skill_Monster_Invisible,NormalAttack</v>
      </c>
      <c r="Q478" s="110" t="str">
        <f t="shared" si="17"/>
        <v>4</v>
      </c>
      <c r="R478" s="110" t="str">
        <f t="shared" si="18"/>
        <v>1</v>
      </c>
      <c r="S478" s="110" t="str">
        <f t="shared" si="19"/>
        <v>1</v>
      </c>
    </row>
    <row r="479" spans="2:19" x14ac:dyDescent="0.2">
      <c r="B479" s="57" t="s">
        <v>2838</v>
      </c>
      <c r="C479" s="57" t="s">
        <v>3130</v>
      </c>
      <c r="D479" s="55" t="str">
        <f>VLOOKUP(VLOOKUP(Q479&amp;"_"&amp;R479,活动关卡!$A$88:$Z$111,2+5*S479,FALSE),'⚪设计'!$B$85:$H$114,2,FALSE)</f>
        <v>ResUnit_WuGui2</v>
      </c>
      <c r="E479" s="55">
        <f>VLOOKUP(VLOOKUP(Q479&amp;"_"&amp;R479,活动关卡!$A$88:$Z$111,2+5*S479,FALSE),'⚪设计'!$B$85:$H$114,6,FALSE)*VLOOKUP(Q479&amp;"_"&amp;R479,活动关卡!$A$88:$Z$111,5,FALSE)</f>
        <v>1.5</v>
      </c>
      <c r="F479">
        <v>400</v>
      </c>
      <c r="G479" t="b">
        <v>1</v>
      </c>
      <c r="H479">
        <v>1</v>
      </c>
      <c r="I479">
        <v>1</v>
      </c>
      <c r="J479">
        <v>0.25</v>
      </c>
      <c r="K479" s="55">
        <f>VLOOKUP(VLOOKUP(Q479&amp;"_"&amp;R479,活动关卡!$A$88:$Z$111,2+5*S479,FALSE),'⚪设计'!$B$85:$H$114,7,FALSE)</f>
        <v>1.2</v>
      </c>
      <c r="L479" s="57" t="s">
        <v>2546</v>
      </c>
      <c r="M479" t="s">
        <v>468</v>
      </c>
      <c r="N479" t="s">
        <v>469</v>
      </c>
      <c r="O479" t="s">
        <v>470</v>
      </c>
      <c r="P479" s="57" t="str">
        <f>IF(VLOOKUP(D479,'⚪设计'!$C$85:$I$113,7,FALSE)="","",VLOOKUP(D479,'⚪设计'!$C$85:$I$113,7,FALSE)&amp;",NormalAttack")</f>
        <v/>
      </c>
      <c r="Q479" s="110" t="str">
        <f t="shared" si="17"/>
        <v>4</v>
      </c>
      <c r="R479" s="110" t="str">
        <f t="shared" si="18"/>
        <v>1</v>
      </c>
      <c r="S479" s="110" t="str">
        <f t="shared" si="19"/>
        <v>2</v>
      </c>
    </row>
    <row r="480" spans="2:19" x14ac:dyDescent="0.2">
      <c r="B480" s="57" t="s">
        <v>2839</v>
      </c>
      <c r="C480" s="57" t="s">
        <v>3131</v>
      </c>
      <c r="D480" s="55" t="str">
        <f>VLOOKUP(VLOOKUP(Q480&amp;"_"&amp;R480,活动关卡!$A$88:$Z$111,2+5*S480,FALSE),'⚪设计'!$B$85:$H$114,2,FALSE)</f>
        <v>ResUnit_Gui1</v>
      </c>
      <c r="E480" s="55">
        <f>VLOOKUP(VLOOKUP(Q480&amp;"_"&amp;R480,活动关卡!$A$88:$Z$111,2+5*S480,FALSE),'⚪设计'!$B$85:$H$114,6,FALSE)*VLOOKUP(Q480&amp;"_"&amp;R480,活动关卡!$A$88:$Z$111,5,FALSE)</f>
        <v>3</v>
      </c>
      <c r="F480">
        <v>400</v>
      </c>
      <c r="G480" t="b">
        <v>1</v>
      </c>
      <c r="H480">
        <v>1</v>
      </c>
      <c r="I480">
        <v>1</v>
      </c>
      <c r="J480">
        <v>0.25</v>
      </c>
      <c r="K480" s="55">
        <f>VLOOKUP(VLOOKUP(Q480&amp;"_"&amp;R480,活动关卡!$A$88:$Z$111,2+5*S480,FALSE),'⚪设计'!$B$85:$H$114,7,FALSE)</f>
        <v>1</v>
      </c>
      <c r="L480" s="57" t="s">
        <v>2547</v>
      </c>
      <c r="M480" t="s">
        <v>468</v>
      </c>
      <c r="N480" t="s">
        <v>469</v>
      </c>
      <c r="O480" t="s">
        <v>470</v>
      </c>
      <c r="P480" s="57" t="str">
        <f>IF(VLOOKUP(D480,'⚪设计'!$C$85:$I$113,7,FALSE)="","",VLOOKUP(D480,'⚪设计'!$C$85:$I$113,7,FALSE)&amp;",NormalAttack")</f>
        <v>Skill_Monster_Invisible,NormalAttack</v>
      </c>
      <c r="Q480" s="110" t="str">
        <f t="shared" si="17"/>
        <v>4</v>
      </c>
      <c r="R480" s="110" t="str">
        <f t="shared" si="18"/>
        <v>2</v>
      </c>
      <c r="S480" s="110" t="str">
        <f t="shared" si="19"/>
        <v>1</v>
      </c>
    </row>
    <row r="481" spans="2:19" x14ac:dyDescent="0.2">
      <c r="B481" s="57" t="s">
        <v>2840</v>
      </c>
      <c r="C481" s="57" t="s">
        <v>3132</v>
      </c>
      <c r="D481" s="55" t="str">
        <f>VLOOKUP(VLOOKUP(Q481&amp;"_"&amp;R481,活动关卡!$A$88:$Z$111,2+5*S481,FALSE),'⚪设计'!$B$85:$H$114,2,FALSE)</f>
        <v>ResUnit_MiFeng2</v>
      </c>
      <c r="E481" s="55">
        <f>VLOOKUP(VLOOKUP(Q481&amp;"_"&amp;R481,活动关卡!$A$88:$Z$111,2+5*S481,FALSE),'⚪设计'!$B$85:$H$114,6,FALSE)*VLOOKUP(Q481&amp;"_"&amp;R481,活动关卡!$A$88:$Z$111,5,FALSE)</f>
        <v>3</v>
      </c>
      <c r="F481">
        <v>400</v>
      </c>
      <c r="G481" t="b">
        <v>1</v>
      </c>
      <c r="H481">
        <v>1</v>
      </c>
      <c r="I481">
        <v>1</v>
      </c>
      <c r="J481">
        <v>0.25</v>
      </c>
      <c r="K481" s="55">
        <f>VLOOKUP(VLOOKUP(Q481&amp;"_"&amp;R481,活动关卡!$A$88:$Z$111,2+5*S481,FALSE),'⚪设计'!$B$85:$H$114,7,FALSE)</f>
        <v>0.8</v>
      </c>
      <c r="L481" s="57" t="s">
        <v>2548</v>
      </c>
      <c r="M481" t="s">
        <v>468</v>
      </c>
      <c r="N481" t="s">
        <v>469</v>
      </c>
      <c r="O481" t="s">
        <v>470</v>
      </c>
      <c r="P481" s="57" t="str">
        <f>IF(VLOOKUP(D481,'⚪设计'!$C$85:$I$113,7,FALSE)="","",VLOOKUP(D481,'⚪设计'!$C$85:$I$113,7,FALSE)&amp;",NormalAttack")</f>
        <v/>
      </c>
      <c r="Q481" s="110" t="str">
        <f t="shared" si="17"/>
        <v>4</v>
      </c>
      <c r="R481" s="110" t="str">
        <f t="shared" si="18"/>
        <v>2</v>
      </c>
      <c r="S481" s="110" t="str">
        <f t="shared" si="19"/>
        <v>2</v>
      </c>
    </row>
    <row r="482" spans="2:19" x14ac:dyDescent="0.2">
      <c r="B482" s="57" t="s">
        <v>2841</v>
      </c>
      <c r="C482" s="57" t="s">
        <v>3133</v>
      </c>
      <c r="D482" s="55" t="str">
        <f>VLOOKUP(VLOOKUP(Q482&amp;"_"&amp;R482,活动关卡!$A$88:$Z$111,2+5*S482,FALSE),'⚪设计'!$B$85:$H$114,2,FALSE)</f>
        <v>ResUnit_WuGui2</v>
      </c>
      <c r="E482" s="55">
        <f>VLOOKUP(VLOOKUP(Q482&amp;"_"&amp;R482,活动关卡!$A$88:$Z$111,2+5*S482,FALSE),'⚪设计'!$B$85:$H$114,6,FALSE)*VLOOKUP(Q482&amp;"_"&amp;R482,活动关卡!$A$88:$Z$111,5,FALSE)</f>
        <v>1.5</v>
      </c>
      <c r="F482">
        <v>400</v>
      </c>
      <c r="G482" t="b">
        <v>1</v>
      </c>
      <c r="H482">
        <v>1</v>
      </c>
      <c r="I482">
        <v>1</v>
      </c>
      <c r="J482">
        <v>0.25</v>
      </c>
      <c r="K482" s="55">
        <f>VLOOKUP(VLOOKUP(Q482&amp;"_"&amp;R482,活动关卡!$A$88:$Z$111,2+5*S482,FALSE),'⚪设计'!$B$85:$H$114,7,FALSE)</f>
        <v>1.2</v>
      </c>
      <c r="L482" s="57" t="s">
        <v>2549</v>
      </c>
      <c r="M482" t="s">
        <v>468</v>
      </c>
      <c r="N482" t="s">
        <v>469</v>
      </c>
      <c r="O482" t="s">
        <v>470</v>
      </c>
      <c r="P482" s="57" t="str">
        <f>IF(VLOOKUP(D482,'⚪设计'!$C$85:$I$113,7,FALSE)="","",VLOOKUP(D482,'⚪设计'!$C$85:$I$113,7,FALSE)&amp;",NormalAttack")</f>
        <v/>
      </c>
      <c r="Q482" s="110" t="str">
        <f t="shared" ref="Q482:Q519" si="20">LEFT(RIGHT(C482,5),1)</f>
        <v>4</v>
      </c>
      <c r="R482" s="110" t="str">
        <f t="shared" ref="R482:R519" si="21">LEFT(RIGHT(C482,3),1)</f>
        <v>2</v>
      </c>
      <c r="S482" s="110" t="str">
        <f t="shared" ref="S482:S519" si="22">RIGHT(C482,1)</f>
        <v>3</v>
      </c>
    </row>
    <row r="483" spans="2:19" x14ac:dyDescent="0.2">
      <c r="B483" s="57" t="s">
        <v>2842</v>
      </c>
      <c r="C483" s="57" t="s">
        <v>3134</v>
      </c>
      <c r="D483" s="55" t="str">
        <f>VLOOKUP(VLOOKUP(Q483&amp;"_"&amp;R483,活动关卡!$A$88:$Z$111,2+5*S483,FALSE),'⚪设计'!$B$85:$H$114,2,FALSE)</f>
        <v>ResUnit_Gui1</v>
      </c>
      <c r="E483" s="55">
        <f>VLOOKUP(VLOOKUP(Q483&amp;"_"&amp;R483,活动关卡!$A$88:$Z$111,2+5*S483,FALSE),'⚪设计'!$B$85:$H$114,6,FALSE)*VLOOKUP(Q483&amp;"_"&amp;R483,活动关卡!$A$88:$Z$111,5,FALSE)</f>
        <v>3</v>
      </c>
      <c r="F483">
        <v>400</v>
      </c>
      <c r="G483" t="b">
        <v>1</v>
      </c>
      <c r="H483">
        <v>1</v>
      </c>
      <c r="I483">
        <v>1</v>
      </c>
      <c r="J483">
        <v>0.25</v>
      </c>
      <c r="K483" s="55">
        <f>VLOOKUP(VLOOKUP(Q483&amp;"_"&amp;R483,活动关卡!$A$88:$Z$111,2+5*S483,FALSE),'⚪设计'!$B$85:$H$114,7,FALSE)</f>
        <v>1</v>
      </c>
      <c r="L483" s="57" t="s">
        <v>2550</v>
      </c>
      <c r="M483" t="s">
        <v>468</v>
      </c>
      <c r="N483" t="s">
        <v>469</v>
      </c>
      <c r="O483" t="s">
        <v>470</v>
      </c>
      <c r="P483" s="57" t="str">
        <f>IF(VLOOKUP(D483,'⚪设计'!$C$85:$I$113,7,FALSE)="","",VLOOKUP(D483,'⚪设计'!$C$85:$I$113,7,FALSE)&amp;",NormalAttack")</f>
        <v>Skill_Monster_Invisible,NormalAttack</v>
      </c>
      <c r="Q483" s="110" t="str">
        <f t="shared" si="20"/>
        <v>4</v>
      </c>
      <c r="R483" s="110" t="str">
        <f t="shared" si="21"/>
        <v>3</v>
      </c>
      <c r="S483" s="110" t="str">
        <f t="shared" si="22"/>
        <v>1</v>
      </c>
    </row>
    <row r="484" spans="2:19" x14ac:dyDescent="0.2">
      <c r="B484" s="57" t="s">
        <v>2843</v>
      </c>
      <c r="C484" s="57" t="s">
        <v>3135</v>
      </c>
      <c r="D484" s="55" t="str">
        <f>VLOOKUP(VLOOKUP(Q484&amp;"_"&amp;R484,活动关卡!$A$88:$Z$111,2+5*S484,FALSE),'⚪设计'!$B$85:$H$114,2,FALSE)</f>
        <v>ResUnit_BianFu1</v>
      </c>
      <c r="E484" s="55">
        <f>VLOOKUP(VLOOKUP(Q484&amp;"_"&amp;R484,活动关卡!$A$88:$Z$111,2+5*S484,FALSE),'⚪设计'!$B$85:$H$114,6,FALSE)*VLOOKUP(Q484&amp;"_"&amp;R484,活动关卡!$A$88:$Z$111,5,FALSE)</f>
        <v>3</v>
      </c>
      <c r="F484">
        <v>400</v>
      </c>
      <c r="G484" t="b">
        <v>1</v>
      </c>
      <c r="H484">
        <v>1</v>
      </c>
      <c r="I484">
        <v>1</v>
      </c>
      <c r="J484">
        <v>0.25</v>
      </c>
      <c r="K484" s="55">
        <f>VLOOKUP(VLOOKUP(Q484&amp;"_"&amp;R484,活动关卡!$A$88:$Z$111,2+5*S484,FALSE),'⚪设计'!$B$85:$H$114,7,FALSE)</f>
        <v>0.5</v>
      </c>
      <c r="L484" s="57" t="s">
        <v>2551</v>
      </c>
      <c r="M484" t="s">
        <v>468</v>
      </c>
      <c r="N484" t="s">
        <v>469</v>
      </c>
      <c r="O484" t="s">
        <v>470</v>
      </c>
      <c r="P484" s="57" t="str">
        <f>IF(VLOOKUP(D484,'⚪设计'!$C$85:$I$113,7,FALSE)="","",VLOOKUP(D484,'⚪设计'!$C$85:$I$113,7,FALSE)&amp;",NormalAttack")</f>
        <v/>
      </c>
      <c r="Q484" s="110" t="str">
        <f t="shared" si="20"/>
        <v>4</v>
      </c>
      <c r="R484" s="110" t="str">
        <f t="shared" si="21"/>
        <v>3</v>
      </c>
      <c r="S484" s="110" t="str">
        <f t="shared" si="22"/>
        <v>2</v>
      </c>
    </row>
    <row r="485" spans="2:19" x14ac:dyDescent="0.2">
      <c r="B485" s="57" t="s">
        <v>2844</v>
      </c>
      <c r="C485" s="57" t="s">
        <v>3136</v>
      </c>
      <c r="D485" s="55" t="str">
        <f>VLOOKUP(VLOOKUP(Q485&amp;"_"&amp;R485,活动关卡!$A$88:$Z$111,2+5*S485,FALSE),'⚪设计'!$B$85:$H$114,2,FALSE)</f>
        <v>ResUnit_WuGui2</v>
      </c>
      <c r="E485" s="55">
        <f>VLOOKUP(VLOOKUP(Q485&amp;"_"&amp;R485,活动关卡!$A$88:$Z$111,2+5*S485,FALSE),'⚪设计'!$B$85:$H$114,6,FALSE)*VLOOKUP(Q485&amp;"_"&amp;R485,活动关卡!$A$88:$Z$111,5,FALSE)</f>
        <v>1.5</v>
      </c>
      <c r="F485">
        <v>400</v>
      </c>
      <c r="G485" t="b">
        <v>1</v>
      </c>
      <c r="H485">
        <v>1</v>
      </c>
      <c r="I485">
        <v>1</v>
      </c>
      <c r="J485">
        <v>0.25</v>
      </c>
      <c r="K485" s="55">
        <f>VLOOKUP(VLOOKUP(Q485&amp;"_"&amp;R485,活动关卡!$A$88:$Z$111,2+5*S485,FALSE),'⚪设计'!$B$85:$H$114,7,FALSE)</f>
        <v>1.2</v>
      </c>
      <c r="L485" s="57" t="s">
        <v>2552</v>
      </c>
      <c r="M485" t="s">
        <v>468</v>
      </c>
      <c r="N485" t="s">
        <v>469</v>
      </c>
      <c r="O485" t="s">
        <v>470</v>
      </c>
      <c r="P485" s="57" t="str">
        <f>IF(VLOOKUP(D485,'⚪设计'!$C$85:$I$113,7,FALSE)="","",VLOOKUP(D485,'⚪设计'!$C$85:$I$113,7,FALSE)&amp;",NormalAttack")</f>
        <v/>
      </c>
      <c r="Q485" s="110" t="str">
        <f t="shared" si="20"/>
        <v>4</v>
      </c>
      <c r="R485" s="110" t="str">
        <f t="shared" si="21"/>
        <v>3</v>
      </c>
      <c r="S485" s="110" t="str">
        <f t="shared" si="22"/>
        <v>3</v>
      </c>
    </row>
    <row r="486" spans="2:19" x14ac:dyDescent="0.2">
      <c r="B486" s="57" t="s">
        <v>2845</v>
      </c>
      <c r="C486" s="57" t="s">
        <v>3137</v>
      </c>
      <c r="D486" s="55" t="str">
        <f>VLOOKUP(VLOOKUP(Q486&amp;"_"&amp;R486,活动关卡!$A$88:$Z$111,2+5*S486,FALSE),'⚪设计'!$B$85:$H$114,2,FALSE)</f>
        <v>ResUnit_Gui1</v>
      </c>
      <c r="E486" s="55">
        <f>VLOOKUP(VLOOKUP(Q486&amp;"_"&amp;R486,活动关卡!$A$88:$Z$111,2+5*S486,FALSE),'⚪设计'!$B$85:$H$114,6,FALSE)*VLOOKUP(Q486&amp;"_"&amp;R486,活动关卡!$A$88:$Z$111,5,FALSE)</f>
        <v>3</v>
      </c>
      <c r="F486">
        <v>400</v>
      </c>
      <c r="G486" t="b">
        <v>1</v>
      </c>
      <c r="H486">
        <v>1</v>
      </c>
      <c r="I486">
        <v>1</v>
      </c>
      <c r="J486">
        <v>0.25</v>
      </c>
      <c r="K486" s="55">
        <f>VLOOKUP(VLOOKUP(Q486&amp;"_"&amp;R486,活动关卡!$A$88:$Z$111,2+5*S486,FALSE),'⚪设计'!$B$85:$H$114,7,FALSE)</f>
        <v>1</v>
      </c>
      <c r="L486" s="57" t="s">
        <v>2553</v>
      </c>
      <c r="M486" t="s">
        <v>468</v>
      </c>
      <c r="N486" t="s">
        <v>469</v>
      </c>
      <c r="O486" t="s">
        <v>470</v>
      </c>
      <c r="P486" s="57" t="str">
        <f>IF(VLOOKUP(D486,'⚪设计'!$C$85:$I$113,7,FALSE)="","",VLOOKUP(D486,'⚪设计'!$C$85:$I$113,7,FALSE)&amp;",NormalAttack")</f>
        <v>Skill_Monster_Invisible,NormalAttack</v>
      </c>
      <c r="Q486" s="110" t="str">
        <f t="shared" si="20"/>
        <v>4</v>
      </c>
      <c r="R486" s="110" t="str">
        <f t="shared" si="21"/>
        <v>4</v>
      </c>
      <c r="S486" s="110" t="str">
        <f t="shared" si="22"/>
        <v>1</v>
      </c>
    </row>
    <row r="487" spans="2:19" x14ac:dyDescent="0.2">
      <c r="B487" s="57" t="s">
        <v>2846</v>
      </c>
      <c r="C487" s="57" t="s">
        <v>3138</v>
      </c>
      <c r="D487" s="55" t="str">
        <f>VLOOKUP(VLOOKUP(Q487&amp;"_"&amp;R487,活动关卡!$A$88:$Z$111,2+5*S487,FALSE),'⚪设计'!$B$85:$H$114,2,FALSE)</f>
        <v>ResUnit_ZhiZhu1</v>
      </c>
      <c r="E487" s="55">
        <f>VLOOKUP(VLOOKUP(Q487&amp;"_"&amp;R487,活动关卡!$A$88:$Z$111,2+5*S487,FALSE),'⚪设计'!$B$85:$H$114,6,FALSE)*VLOOKUP(Q487&amp;"_"&amp;R487,活动关卡!$A$88:$Z$111,5,FALSE)</f>
        <v>4.5</v>
      </c>
      <c r="F487">
        <v>400</v>
      </c>
      <c r="G487" t="b">
        <v>1</v>
      </c>
      <c r="H487">
        <v>1</v>
      </c>
      <c r="I487">
        <v>1</v>
      </c>
      <c r="J487">
        <v>0.25</v>
      </c>
      <c r="K487" s="55">
        <f>VLOOKUP(VLOOKUP(Q487&amp;"_"&amp;R487,活动关卡!$A$88:$Z$111,2+5*S487,FALSE),'⚪设计'!$B$85:$H$114,7,FALSE)</f>
        <v>1</v>
      </c>
      <c r="L487" s="57" t="s">
        <v>2554</v>
      </c>
      <c r="M487" t="s">
        <v>468</v>
      </c>
      <c r="N487" t="s">
        <v>469</v>
      </c>
      <c r="O487" t="s">
        <v>470</v>
      </c>
      <c r="P487" s="57" t="str">
        <f>IF(VLOOKUP(D487,'⚪设计'!$C$85:$I$113,7,FALSE)="","",VLOOKUP(D487,'⚪设计'!$C$85:$I$113,7,FALSE)&amp;",NormalAttack")</f>
        <v/>
      </c>
      <c r="Q487" s="110" t="str">
        <f t="shared" si="20"/>
        <v>4</v>
      </c>
      <c r="R487" s="110" t="str">
        <f t="shared" si="21"/>
        <v>4</v>
      </c>
      <c r="S487" s="110" t="str">
        <f t="shared" si="22"/>
        <v>2</v>
      </c>
    </row>
    <row r="488" spans="2:19" x14ac:dyDescent="0.2">
      <c r="B488" s="57" t="s">
        <v>2847</v>
      </c>
      <c r="C488" s="57" t="s">
        <v>3139</v>
      </c>
      <c r="D488" s="55" t="str">
        <f>VLOOKUP(VLOOKUP(Q488&amp;"_"&amp;R488,活动关卡!$A$88:$Z$111,2+5*S488,FALSE),'⚪设计'!$B$85:$H$114,2,FALSE)</f>
        <v>ResUnit_WuGui2</v>
      </c>
      <c r="E488" s="55">
        <f>VLOOKUP(VLOOKUP(Q488&amp;"_"&amp;R488,活动关卡!$A$88:$Z$111,2+5*S488,FALSE),'⚪设计'!$B$85:$H$114,6,FALSE)*VLOOKUP(Q488&amp;"_"&amp;R488,活动关卡!$A$88:$Z$111,5,FALSE)</f>
        <v>1.5</v>
      </c>
      <c r="F488">
        <v>400</v>
      </c>
      <c r="G488" t="b">
        <v>1</v>
      </c>
      <c r="H488">
        <v>1</v>
      </c>
      <c r="I488">
        <v>1</v>
      </c>
      <c r="J488">
        <v>0.25</v>
      </c>
      <c r="K488" s="55">
        <f>VLOOKUP(VLOOKUP(Q488&amp;"_"&amp;R488,活动关卡!$A$88:$Z$111,2+5*S488,FALSE),'⚪设计'!$B$85:$H$114,7,FALSE)</f>
        <v>1.2</v>
      </c>
      <c r="L488" s="57" t="s">
        <v>2555</v>
      </c>
      <c r="M488" t="s">
        <v>468</v>
      </c>
      <c r="N488" t="s">
        <v>469</v>
      </c>
      <c r="O488" t="s">
        <v>470</v>
      </c>
      <c r="P488" s="57" t="str">
        <f>IF(VLOOKUP(D488,'⚪设计'!$C$85:$I$113,7,FALSE)="","",VLOOKUP(D488,'⚪设计'!$C$85:$I$113,7,FALSE)&amp;",NormalAttack")</f>
        <v/>
      </c>
      <c r="Q488" s="110" t="str">
        <f t="shared" si="20"/>
        <v>4</v>
      </c>
      <c r="R488" s="110" t="str">
        <f t="shared" si="21"/>
        <v>4</v>
      </c>
      <c r="S488" s="110" t="str">
        <f t="shared" si="22"/>
        <v>3</v>
      </c>
    </row>
    <row r="489" spans="2:19" x14ac:dyDescent="0.2">
      <c r="B489" s="57" t="s">
        <v>2848</v>
      </c>
      <c r="C489" s="57" t="s">
        <v>3140</v>
      </c>
      <c r="D489" s="55" t="str">
        <f>VLOOKUP(VLOOKUP(Q489&amp;"_"&amp;R489,活动关卡!$A$88:$Z$111,2+5*S489,FALSE),'⚪设计'!$B$85:$H$114,2,FALSE)</f>
        <v>ResUnit_Gui1</v>
      </c>
      <c r="E489" s="55">
        <f>VLOOKUP(VLOOKUP(Q489&amp;"_"&amp;R489,活动关卡!$A$88:$Z$111,2+5*S489,FALSE),'⚪设计'!$B$85:$H$114,6,FALSE)*VLOOKUP(Q489&amp;"_"&amp;R489,活动关卡!$A$88:$Z$111,5,FALSE)</f>
        <v>3</v>
      </c>
      <c r="F489">
        <v>400</v>
      </c>
      <c r="G489" t="b">
        <v>1</v>
      </c>
      <c r="H489">
        <v>1</v>
      </c>
      <c r="I489">
        <v>1</v>
      </c>
      <c r="J489">
        <v>0.25</v>
      </c>
      <c r="K489" s="55">
        <f>VLOOKUP(VLOOKUP(Q489&amp;"_"&amp;R489,活动关卡!$A$88:$Z$111,2+5*S489,FALSE),'⚪设计'!$B$85:$H$114,7,FALSE)</f>
        <v>1</v>
      </c>
      <c r="L489" s="57" t="s">
        <v>2556</v>
      </c>
      <c r="M489" t="s">
        <v>468</v>
      </c>
      <c r="N489" t="s">
        <v>469</v>
      </c>
      <c r="O489" t="s">
        <v>470</v>
      </c>
      <c r="P489" s="57" t="str">
        <f>IF(VLOOKUP(D489,'⚪设计'!$C$85:$I$113,7,FALSE)="","",VLOOKUP(D489,'⚪设计'!$C$85:$I$113,7,FALSE)&amp;",NormalAttack")</f>
        <v>Skill_Monster_Invisible,NormalAttack</v>
      </c>
      <c r="Q489" s="110" t="str">
        <f t="shared" si="20"/>
        <v>4</v>
      </c>
      <c r="R489" s="110" t="str">
        <f t="shared" si="21"/>
        <v>5</v>
      </c>
      <c r="S489" s="110" t="str">
        <f t="shared" si="22"/>
        <v>1</v>
      </c>
    </row>
    <row r="490" spans="2:19" x14ac:dyDescent="0.2">
      <c r="B490" s="57" t="s">
        <v>2849</v>
      </c>
      <c r="C490" s="57" t="s">
        <v>3141</v>
      </c>
      <c r="D490" s="55" t="str">
        <f>VLOOKUP(VLOOKUP(Q490&amp;"_"&amp;R490,活动关卡!$A$88:$Z$111,2+5*S490,FALSE),'⚪设计'!$B$85:$H$114,2,FALSE)</f>
        <v>ResUnit_ZhongZi1</v>
      </c>
      <c r="E490" s="55">
        <f>VLOOKUP(VLOOKUP(Q490&amp;"_"&amp;R490,活动关卡!$A$88:$Z$111,2+5*S490,FALSE),'⚪设计'!$B$85:$H$114,6,FALSE)*VLOOKUP(Q490&amp;"_"&amp;R490,活动关卡!$A$88:$Z$111,5,FALSE)</f>
        <v>3</v>
      </c>
      <c r="F490">
        <v>400</v>
      </c>
      <c r="G490" t="b">
        <v>1</v>
      </c>
      <c r="H490">
        <v>1</v>
      </c>
      <c r="I490">
        <v>1</v>
      </c>
      <c r="J490">
        <v>0.25</v>
      </c>
      <c r="K490" s="55">
        <f>VLOOKUP(VLOOKUP(Q490&amp;"_"&amp;R490,活动关卡!$A$88:$Z$111,2+5*S490,FALSE),'⚪设计'!$B$85:$H$114,7,FALSE)</f>
        <v>1</v>
      </c>
      <c r="L490" s="57" t="s">
        <v>2557</v>
      </c>
      <c r="M490" t="s">
        <v>468</v>
      </c>
      <c r="N490" t="s">
        <v>469</v>
      </c>
      <c r="O490" t="s">
        <v>470</v>
      </c>
      <c r="P490" s="57" t="str">
        <f>IF(VLOOKUP(D490,'⚪设计'!$C$85:$I$113,7,FALSE)="","",VLOOKUP(D490,'⚪设计'!$C$85:$I$113,7,FALSE)&amp;",NormalAttack")</f>
        <v>Skill_Monster_Heal,NormalAttack</v>
      </c>
      <c r="Q490" s="110" t="str">
        <f t="shared" si="20"/>
        <v>4</v>
      </c>
      <c r="R490" s="110" t="str">
        <f t="shared" si="21"/>
        <v>5</v>
      </c>
      <c r="S490" s="110" t="str">
        <f t="shared" si="22"/>
        <v>2</v>
      </c>
    </row>
    <row r="491" spans="2:19" x14ac:dyDescent="0.2">
      <c r="B491" s="57" t="s">
        <v>2850</v>
      </c>
      <c r="C491" s="57" t="s">
        <v>3142</v>
      </c>
      <c r="D491" s="55" t="str">
        <f>VLOOKUP(VLOOKUP(Q491&amp;"_"&amp;R491,活动关卡!$A$88:$Z$111,2+5*S491,FALSE),'⚪设计'!$B$85:$H$114,2,FALSE)</f>
        <v>ResUnit_WuGui2</v>
      </c>
      <c r="E491" s="55">
        <f>VLOOKUP(VLOOKUP(Q491&amp;"_"&amp;R491,活动关卡!$A$88:$Z$111,2+5*S491,FALSE),'⚪设计'!$B$85:$H$114,6,FALSE)*VLOOKUP(Q491&amp;"_"&amp;R491,活动关卡!$A$88:$Z$111,5,FALSE)</f>
        <v>1.5</v>
      </c>
      <c r="F491">
        <v>400</v>
      </c>
      <c r="G491" t="b">
        <v>1</v>
      </c>
      <c r="H491">
        <v>1</v>
      </c>
      <c r="I491">
        <v>1</v>
      </c>
      <c r="J491">
        <v>0.25</v>
      </c>
      <c r="K491" s="55">
        <f>VLOOKUP(VLOOKUP(Q491&amp;"_"&amp;R491,活动关卡!$A$88:$Z$111,2+5*S491,FALSE),'⚪设计'!$B$85:$H$114,7,FALSE)</f>
        <v>1.2</v>
      </c>
      <c r="L491" s="57" t="s">
        <v>2558</v>
      </c>
      <c r="M491" t="s">
        <v>468</v>
      </c>
      <c r="N491" t="s">
        <v>469</v>
      </c>
      <c r="O491" t="s">
        <v>470</v>
      </c>
      <c r="P491" s="57" t="str">
        <f>IF(VLOOKUP(D491,'⚪设计'!$C$85:$I$113,7,FALSE)="","",VLOOKUP(D491,'⚪设计'!$C$85:$I$113,7,FALSE)&amp;",NormalAttack")</f>
        <v/>
      </c>
      <c r="Q491" s="110" t="str">
        <f t="shared" si="20"/>
        <v>4</v>
      </c>
      <c r="R491" s="110" t="str">
        <f t="shared" si="21"/>
        <v>5</v>
      </c>
      <c r="S491" s="110" t="str">
        <f t="shared" si="22"/>
        <v>3</v>
      </c>
    </row>
    <row r="492" spans="2:19" x14ac:dyDescent="0.2">
      <c r="B492" s="57" t="s">
        <v>2851</v>
      </c>
      <c r="C492" s="57" t="s">
        <v>3143</v>
      </c>
      <c r="D492" s="55" t="str">
        <f>VLOOKUP(VLOOKUP(Q492&amp;"_"&amp;R492,活动关卡!$A$88:$Z$111,2+5*S492,FALSE),'⚪设计'!$B$85:$H$114,2,FALSE)</f>
        <v>ResUnit_Dan2</v>
      </c>
      <c r="E492" s="55">
        <f>VLOOKUP(VLOOKUP(Q492&amp;"_"&amp;R492,活动关卡!$A$88:$Z$111,2+5*S492,FALSE),'⚪设计'!$B$85:$H$114,6,FALSE)*VLOOKUP(Q492&amp;"_"&amp;R492,活动关卡!$A$88:$Z$111,5,FALSE)</f>
        <v>3</v>
      </c>
      <c r="F492">
        <v>400</v>
      </c>
      <c r="G492" t="b">
        <v>1</v>
      </c>
      <c r="H492">
        <v>1</v>
      </c>
      <c r="I492">
        <v>1</v>
      </c>
      <c r="J492">
        <v>0.25</v>
      </c>
      <c r="K492" s="55">
        <f>VLOOKUP(VLOOKUP(Q492&amp;"_"&amp;R492,活动关卡!$A$88:$Z$111,2+5*S492,FALSE),'⚪设计'!$B$85:$H$114,7,FALSE)</f>
        <v>1.3</v>
      </c>
      <c r="L492" s="57" t="s">
        <v>2559</v>
      </c>
      <c r="M492" t="s">
        <v>468</v>
      </c>
      <c r="N492" t="s">
        <v>469</v>
      </c>
      <c r="O492" t="s">
        <v>470</v>
      </c>
      <c r="P492" s="57" t="str">
        <f>IF(VLOOKUP(D492,'⚪设计'!$C$85:$I$113,7,FALSE)="","",VLOOKUP(D492,'⚪设计'!$C$85:$I$113,7,FALSE)&amp;",NormalAttack")</f>
        <v>Skill_Monster_Weaken,NormalAttack</v>
      </c>
      <c r="Q492" s="110" t="str">
        <f t="shared" si="20"/>
        <v>5</v>
      </c>
      <c r="R492" s="110" t="str">
        <f t="shared" si="21"/>
        <v>1</v>
      </c>
      <c r="S492" s="110" t="str">
        <f t="shared" si="22"/>
        <v>1</v>
      </c>
    </row>
    <row r="493" spans="2:19" x14ac:dyDescent="0.2">
      <c r="B493" s="57" t="s">
        <v>2852</v>
      </c>
      <c r="C493" s="57" t="s">
        <v>3144</v>
      </c>
      <c r="D493" s="55" t="str">
        <f>VLOOKUP(VLOOKUP(Q493&amp;"_"&amp;R493,活动关卡!$A$88:$Z$111,2+5*S493,FALSE),'⚪设计'!$B$85:$H$114,2,FALSE)</f>
        <v>ResUnit_WuGui2</v>
      </c>
      <c r="E493" s="55">
        <f>VLOOKUP(VLOOKUP(Q493&amp;"_"&amp;R493,活动关卡!$A$88:$Z$111,2+5*S493,FALSE),'⚪设计'!$B$85:$H$114,6,FALSE)*VLOOKUP(Q493&amp;"_"&amp;R493,活动关卡!$A$88:$Z$111,5,FALSE)</f>
        <v>1.5</v>
      </c>
      <c r="F493">
        <v>400</v>
      </c>
      <c r="G493" t="b">
        <v>1</v>
      </c>
      <c r="H493">
        <v>1</v>
      </c>
      <c r="I493">
        <v>1</v>
      </c>
      <c r="J493">
        <v>0.25</v>
      </c>
      <c r="K493" s="55">
        <f>VLOOKUP(VLOOKUP(Q493&amp;"_"&amp;R493,活动关卡!$A$88:$Z$111,2+5*S493,FALSE),'⚪设计'!$B$85:$H$114,7,FALSE)</f>
        <v>1.2</v>
      </c>
      <c r="L493" s="57" t="s">
        <v>2560</v>
      </c>
      <c r="M493" t="s">
        <v>468</v>
      </c>
      <c r="N493" t="s">
        <v>469</v>
      </c>
      <c r="O493" t="s">
        <v>470</v>
      </c>
      <c r="P493" s="57" t="str">
        <f>IF(VLOOKUP(D493,'⚪设计'!$C$85:$I$113,7,FALSE)="","",VLOOKUP(D493,'⚪设计'!$C$85:$I$113,7,FALSE)&amp;",NormalAttack")</f>
        <v/>
      </c>
      <c r="Q493" s="110" t="str">
        <f t="shared" si="20"/>
        <v>5</v>
      </c>
      <c r="R493" s="110" t="str">
        <f t="shared" si="21"/>
        <v>1</v>
      </c>
      <c r="S493" s="110" t="str">
        <f t="shared" si="22"/>
        <v>2</v>
      </c>
    </row>
    <row r="494" spans="2:19" x14ac:dyDescent="0.2">
      <c r="B494" s="57" t="s">
        <v>2853</v>
      </c>
      <c r="C494" s="57" t="s">
        <v>3145</v>
      </c>
      <c r="D494" s="55" t="str">
        <f>VLOOKUP(VLOOKUP(Q494&amp;"_"&amp;R494,活动关卡!$A$88:$Z$111,2+5*S494,FALSE),'⚪设计'!$B$85:$H$114,2,FALSE)</f>
        <v>ResUnit_Dan2</v>
      </c>
      <c r="E494" s="55">
        <f>VLOOKUP(VLOOKUP(Q494&amp;"_"&amp;R494,活动关卡!$A$88:$Z$111,2+5*S494,FALSE),'⚪设计'!$B$85:$H$114,6,FALSE)*VLOOKUP(Q494&amp;"_"&amp;R494,活动关卡!$A$88:$Z$111,5,FALSE)</f>
        <v>3</v>
      </c>
      <c r="F494">
        <v>400</v>
      </c>
      <c r="G494" t="b">
        <v>1</v>
      </c>
      <c r="H494">
        <v>1</v>
      </c>
      <c r="I494">
        <v>1</v>
      </c>
      <c r="J494">
        <v>0.25</v>
      </c>
      <c r="K494" s="55">
        <f>VLOOKUP(VLOOKUP(Q494&amp;"_"&amp;R494,活动关卡!$A$88:$Z$111,2+5*S494,FALSE),'⚪设计'!$B$85:$H$114,7,FALSE)</f>
        <v>1.3</v>
      </c>
      <c r="L494" s="57" t="s">
        <v>2561</v>
      </c>
      <c r="M494" t="s">
        <v>468</v>
      </c>
      <c r="N494" t="s">
        <v>469</v>
      </c>
      <c r="O494" t="s">
        <v>470</v>
      </c>
      <c r="P494" s="57" t="str">
        <f>IF(VLOOKUP(D494,'⚪设计'!$C$85:$I$113,7,FALSE)="","",VLOOKUP(D494,'⚪设计'!$C$85:$I$113,7,FALSE)&amp;",NormalAttack")</f>
        <v>Skill_Monster_Weaken,NormalAttack</v>
      </c>
      <c r="Q494" s="110" t="str">
        <f t="shared" si="20"/>
        <v>5</v>
      </c>
      <c r="R494" s="110" t="str">
        <f t="shared" si="21"/>
        <v>2</v>
      </c>
      <c r="S494" s="110" t="str">
        <f t="shared" si="22"/>
        <v>1</v>
      </c>
    </row>
    <row r="495" spans="2:19" x14ac:dyDescent="0.2">
      <c r="B495" s="57" t="s">
        <v>2854</v>
      </c>
      <c r="C495" s="57" t="s">
        <v>3146</v>
      </c>
      <c r="D495" s="55" t="str">
        <f>VLOOKUP(VLOOKUP(Q495&amp;"_"&amp;R495,活动关卡!$A$88:$Z$111,2+5*S495,FALSE),'⚪设计'!$B$85:$H$114,2,FALSE)</f>
        <v>ResUnit_BianFu1</v>
      </c>
      <c r="E495" s="55">
        <f>VLOOKUP(VLOOKUP(Q495&amp;"_"&amp;R495,活动关卡!$A$88:$Z$111,2+5*S495,FALSE),'⚪设计'!$B$85:$H$114,6,FALSE)*VLOOKUP(Q495&amp;"_"&amp;R495,活动关卡!$A$88:$Z$111,5,FALSE)</f>
        <v>3</v>
      </c>
      <c r="F495">
        <v>400</v>
      </c>
      <c r="G495" t="b">
        <v>1</v>
      </c>
      <c r="H495">
        <v>1</v>
      </c>
      <c r="I495">
        <v>1</v>
      </c>
      <c r="J495">
        <v>0.25</v>
      </c>
      <c r="K495" s="55">
        <f>VLOOKUP(VLOOKUP(Q495&amp;"_"&amp;R495,活动关卡!$A$88:$Z$111,2+5*S495,FALSE),'⚪设计'!$B$85:$H$114,7,FALSE)</f>
        <v>0.5</v>
      </c>
      <c r="L495" s="57" t="s">
        <v>2562</v>
      </c>
      <c r="M495" t="s">
        <v>468</v>
      </c>
      <c r="N495" t="s">
        <v>469</v>
      </c>
      <c r="O495" t="s">
        <v>470</v>
      </c>
      <c r="P495" s="57" t="str">
        <f>IF(VLOOKUP(D495,'⚪设计'!$C$85:$I$113,7,FALSE)="","",VLOOKUP(D495,'⚪设计'!$C$85:$I$113,7,FALSE)&amp;",NormalAttack")</f>
        <v/>
      </c>
      <c r="Q495" s="110" t="str">
        <f t="shared" si="20"/>
        <v>5</v>
      </c>
      <c r="R495" s="110" t="str">
        <f t="shared" si="21"/>
        <v>2</v>
      </c>
      <c r="S495" s="110" t="str">
        <f t="shared" si="22"/>
        <v>2</v>
      </c>
    </row>
    <row r="496" spans="2:19" x14ac:dyDescent="0.2">
      <c r="B496" s="57" t="s">
        <v>2855</v>
      </c>
      <c r="C496" s="57" t="s">
        <v>3147</v>
      </c>
      <c r="D496" s="55" t="str">
        <f>VLOOKUP(VLOOKUP(Q496&amp;"_"&amp;R496,活动关卡!$A$88:$Z$111,2+5*S496,FALSE),'⚪设计'!$B$85:$H$114,2,FALSE)</f>
        <v>ResUnit_WuGui2</v>
      </c>
      <c r="E496" s="55">
        <f>VLOOKUP(VLOOKUP(Q496&amp;"_"&amp;R496,活动关卡!$A$88:$Z$111,2+5*S496,FALSE),'⚪设计'!$B$85:$H$114,6,FALSE)*VLOOKUP(Q496&amp;"_"&amp;R496,活动关卡!$A$88:$Z$111,5,FALSE)</f>
        <v>1.5</v>
      </c>
      <c r="F496">
        <v>400</v>
      </c>
      <c r="G496" t="b">
        <v>1</v>
      </c>
      <c r="H496">
        <v>1</v>
      </c>
      <c r="I496">
        <v>1</v>
      </c>
      <c r="J496">
        <v>0.25</v>
      </c>
      <c r="K496" s="55">
        <f>VLOOKUP(VLOOKUP(Q496&amp;"_"&amp;R496,活动关卡!$A$88:$Z$111,2+5*S496,FALSE),'⚪设计'!$B$85:$H$114,7,FALSE)</f>
        <v>1.2</v>
      </c>
      <c r="L496" s="57" t="s">
        <v>2563</v>
      </c>
      <c r="M496" t="s">
        <v>468</v>
      </c>
      <c r="N496" t="s">
        <v>469</v>
      </c>
      <c r="O496" t="s">
        <v>470</v>
      </c>
      <c r="P496" s="57" t="str">
        <f>IF(VLOOKUP(D496,'⚪设计'!$C$85:$I$113,7,FALSE)="","",VLOOKUP(D496,'⚪设计'!$C$85:$I$113,7,FALSE)&amp;",NormalAttack")</f>
        <v/>
      </c>
      <c r="Q496" s="110" t="str">
        <f t="shared" si="20"/>
        <v>5</v>
      </c>
      <c r="R496" s="110" t="str">
        <f t="shared" si="21"/>
        <v>2</v>
      </c>
      <c r="S496" s="110" t="str">
        <f t="shared" si="22"/>
        <v>3</v>
      </c>
    </row>
    <row r="497" spans="2:19" x14ac:dyDescent="0.2">
      <c r="B497" s="57" t="s">
        <v>2856</v>
      </c>
      <c r="C497" s="57" t="s">
        <v>3148</v>
      </c>
      <c r="D497" s="55" t="str">
        <f>VLOOKUP(VLOOKUP(Q497&amp;"_"&amp;R497,活动关卡!$A$88:$Z$111,2+5*S497,FALSE),'⚪设计'!$B$85:$H$114,2,FALSE)</f>
        <v>ResUnit_Dan2</v>
      </c>
      <c r="E497" s="55">
        <f>VLOOKUP(VLOOKUP(Q497&amp;"_"&amp;R497,活动关卡!$A$88:$Z$111,2+5*S497,FALSE),'⚪设计'!$B$85:$H$114,6,FALSE)*VLOOKUP(Q497&amp;"_"&amp;R497,活动关卡!$A$88:$Z$111,5,FALSE)</f>
        <v>3</v>
      </c>
      <c r="F497">
        <v>400</v>
      </c>
      <c r="G497" t="b">
        <v>1</v>
      </c>
      <c r="H497">
        <v>1</v>
      </c>
      <c r="I497">
        <v>1</v>
      </c>
      <c r="J497">
        <v>0.25</v>
      </c>
      <c r="K497" s="55">
        <f>VLOOKUP(VLOOKUP(Q497&amp;"_"&amp;R497,活动关卡!$A$88:$Z$111,2+5*S497,FALSE),'⚪设计'!$B$85:$H$114,7,FALSE)</f>
        <v>1.3</v>
      </c>
      <c r="L497" s="57" t="s">
        <v>2564</v>
      </c>
      <c r="M497" t="s">
        <v>468</v>
      </c>
      <c r="N497" t="s">
        <v>469</v>
      </c>
      <c r="O497" t="s">
        <v>470</v>
      </c>
      <c r="P497" s="57" t="str">
        <f>IF(VLOOKUP(D497,'⚪设计'!$C$85:$I$113,7,FALSE)="","",VLOOKUP(D497,'⚪设计'!$C$85:$I$113,7,FALSE)&amp;",NormalAttack")</f>
        <v>Skill_Monster_Weaken,NormalAttack</v>
      </c>
      <c r="Q497" s="110" t="str">
        <f t="shared" si="20"/>
        <v>5</v>
      </c>
      <c r="R497" s="110" t="str">
        <f t="shared" si="21"/>
        <v>3</v>
      </c>
      <c r="S497" s="110" t="str">
        <f t="shared" si="22"/>
        <v>1</v>
      </c>
    </row>
    <row r="498" spans="2:19" x14ac:dyDescent="0.2">
      <c r="B498" s="57" t="s">
        <v>2857</v>
      </c>
      <c r="C498" s="57" t="s">
        <v>3149</v>
      </c>
      <c r="D498" s="55" t="str">
        <f>VLOOKUP(VLOOKUP(Q498&amp;"_"&amp;R498,活动关卡!$A$88:$Z$111,2+5*S498,FALSE),'⚪设计'!$B$85:$H$114,2,FALSE)</f>
        <v>ResUnit_ZhiZhu1</v>
      </c>
      <c r="E498" s="55">
        <f>VLOOKUP(VLOOKUP(Q498&amp;"_"&amp;R498,活动关卡!$A$88:$Z$111,2+5*S498,FALSE),'⚪设计'!$B$85:$H$114,6,FALSE)*VLOOKUP(Q498&amp;"_"&amp;R498,活动关卡!$A$88:$Z$111,5,FALSE)</f>
        <v>4.5</v>
      </c>
      <c r="F498">
        <v>400</v>
      </c>
      <c r="G498" t="b">
        <v>1</v>
      </c>
      <c r="H498">
        <v>1</v>
      </c>
      <c r="I498">
        <v>1</v>
      </c>
      <c r="J498">
        <v>0.25</v>
      </c>
      <c r="K498" s="55">
        <f>VLOOKUP(VLOOKUP(Q498&amp;"_"&amp;R498,活动关卡!$A$88:$Z$111,2+5*S498,FALSE),'⚪设计'!$B$85:$H$114,7,FALSE)</f>
        <v>1</v>
      </c>
      <c r="L498" s="57" t="s">
        <v>2565</v>
      </c>
      <c r="M498" t="s">
        <v>468</v>
      </c>
      <c r="N498" t="s">
        <v>469</v>
      </c>
      <c r="O498" t="s">
        <v>470</v>
      </c>
      <c r="P498" s="57" t="str">
        <f>IF(VLOOKUP(D498,'⚪设计'!$C$85:$I$113,7,FALSE)="","",VLOOKUP(D498,'⚪设计'!$C$85:$I$113,7,FALSE)&amp;",NormalAttack")</f>
        <v/>
      </c>
      <c r="Q498" s="110" t="str">
        <f t="shared" si="20"/>
        <v>5</v>
      </c>
      <c r="R498" s="110" t="str">
        <f t="shared" si="21"/>
        <v>3</v>
      </c>
      <c r="S498" s="110" t="str">
        <f t="shared" si="22"/>
        <v>2</v>
      </c>
    </row>
    <row r="499" spans="2:19" x14ac:dyDescent="0.2">
      <c r="B499" s="57" t="s">
        <v>2858</v>
      </c>
      <c r="C499" s="57" t="s">
        <v>3150</v>
      </c>
      <c r="D499" s="55" t="str">
        <f>VLOOKUP(VLOOKUP(Q499&amp;"_"&amp;R499,活动关卡!$A$88:$Z$111,2+5*S499,FALSE),'⚪设计'!$B$85:$H$114,2,FALSE)</f>
        <v>ResUnit_Gui1</v>
      </c>
      <c r="E499" s="55">
        <f>VLOOKUP(VLOOKUP(Q499&amp;"_"&amp;R499,活动关卡!$A$88:$Z$111,2+5*S499,FALSE),'⚪设计'!$B$85:$H$114,6,FALSE)*VLOOKUP(Q499&amp;"_"&amp;R499,活动关卡!$A$88:$Z$111,5,FALSE)</f>
        <v>3</v>
      </c>
      <c r="F499">
        <v>400</v>
      </c>
      <c r="G499" t="b">
        <v>1</v>
      </c>
      <c r="H499">
        <v>1</v>
      </c>
      <c r="I499">
        <v>1</v>
      </c>
      <c r="J499">
        <v>0.25</v>
      </c>
      <c r="K499" s="55">
        <f>VLOOKUP(VLOOKUP(Q499&amp;"_"&amp;R499,活动关卡!$A$88:$Z$111,2+5*S499,FALSE),'⚪设计'!$B$85:$H$114,7,FALSE)</f>
        <v>1</v>
      </c>
      <c r="L499" s="57" t="s">
        <v>2566</v>
      </c>
      <c r="M499" t="s">
        <v>468</v>
      </c>
      <c r="N499" t="s">
        <v>469</v>
      </c>
      <c r="O499" t="s">
        <v>470</v>
      </c>
      <c r="P499" s="57" t="str">
        <f>IF(VLOOKUP(D499,'⚪设计'!$C$85:$I$113,7,FALSE)="","",VLOOKUP(D499,'⚪设计'!$C$85:$I$113,7,FALSE)&amp;",NormalAttack")</f>
        <v>Skill_Monster_Invisible,NormalAttack</v>
      </c>
      <c r="Q499" s="110" t="str">
        <f t="shared" si="20"/>
        <v>5</v>
      </c>
      <c r="R499" s="110" t="str">
        <f t="shared" si="21"/>
        <v>3</v>
      </c>
      <c r="S499" s="110" t="str">
        <f t="shared" si="22"/>
        <v>3</v>
      </c>
    </row>
    <row r="500" spans="2:19" x14ac:dyDescent="0.2">
      <c r="B500" s="57" t="s">
        <v>2859</v>
      </c>
      <c r="C500" s="57" t="s">
        <v>3151</v>
      </c>
      <c r="D500" s="55" t="str">
        <f>VLOOKUP(VLOOKUP(Q500&amp;"_"&amp;R500,活动关卡!$A$88:$Z$111,2+5*S500,FALSE),'⚪设计'!$B$85:$H$114,2,FALSE)</f>
        <v>ResUnit_WuGui2</v>
      </c>
      <c r="E500" s="55">
        <f>VLOOKUP(VLOOKUP(Q500&amp;"_"&amp;R500,活动关卡!$A$88:$Z$111,2+5*S500,FALSE),'⚪设计'!$B$85:$H$114,6,FALSE)*VLOOKUP(Q500&amp;"_"&amp;R500,活动关卡!$A$88:$Z$111,5,FALSE)</f>
        <v>1.5</v>
      </c>
      <c r="F500">
        <v>400</v>
      </c>
      <c r="G500" t="b">
        <v>1</v>
      </c>
      <c r="H500">
        <v>1</v>
      </c>
      <c r="I500">
        <v>1</v>
      </c>
      <c r="J500">
        <v>0.25</v>
      </c>
      <c r="K500" s="55">
        <f>VLOOKUP(VLOOKUP(Q500&amp;"_"&amp;R500,活动关卡!$A$88:$Z$111,2+5*S500,FALSE),'⚪设计'!$B$85:$H$114,7,FALSE)</f>
        <v>1.2</v>
      </c>
      <c r="L500" s="57" t="s">
        <v>2567</v>
      </c>
      <c r="M500" t="s">
        <v>468</v>
      </c>
      <c r="N500" t="s">
        <v>469</v>
      </c>
      <c r="O500" t="s">
        <v>470</v>
      </c>
      <c r="P500" s="57" t="str">
        <f>IF(VLOOKUP(D500,'⚪设计'!$C$85:$I$113,7,FALSE)="","",VLOOKUP(D500,'⚪设计'!$C$85:$I$113,7,FALSE)&amp;",NormalAttack")</f>
        <v/>
      </c>
      <c r="Q500" s="110" t="str">
        <f t="shared" si="20"/>
        <v>5</v>
      </c>
      <c r="R500" s="110" t="str">
        <f t="shared" si="21"/>
        <v>3</v>
      </c>
      <c r="S500" s="110" t="str">
        <f t="shared" si="22"/>
        <v>4</v>
      </c>
    </row>
    <row r="501" spans="2:19" x14ac:dyDescent="0.2">
      <c r="B501" s="57" t="s">
        <v>2860</v>
      </c>
      <c r="C501" s="57" t="s">
        <v>3152</v>
      </c>
      <c r="D501" s="55" t="str">
        <f>VLOOKUP(VLOOKUP(Q501&amp;"_"&amp;R501,活动关卡!$A$88:$Z$111,2+5*S501,FALSE),'⚪设计'!$B$85:$H$114,2,FALSE)</f>
        <v>ResUnit_Dan2</v>
      </c>
      <c r="E501" s="55">
        <f>VLOOKUP(VLOOKUP(Q501&amp;"_"&amp;R501,活动关卡!$A$88:$Z$111,2+5*S501,FALSE),'⚪设计'!$B$85:$H$114,6,FALSE)*VLOOKUP(Q501&amp;"_"&amp;R501,活动关卡!$A$88:$Z$111,5,FALSE)</f>
        <v>3</v>
      </c>
      <c r="F501">
        <v>400</v>
      </c>
      <c r="G501" t="b">
        <v>1</v>
      </c>
      <c r="H501">
        <v>1</v>
      </c>
      <c r="I501">
        <v>1</v>
      </c>
      <c r="J501">
        <v>0.25</v>
      </c>
      <c r="K501" s="55">
        <f>VLOOKUP(VLOOKUP(Q501&amp;"_"&amp;R501,活动关卡!$A$88:$Z$111,2+5*S501,FALSE),'⚪设计'!$B$85:$H$114,7,FALSE)</f>
        <v>1.3</v>
      </c>
      <c r="L501" s="57" t="s">
        <v>2568</v>
      </c>
      <c r="M501" t="s">
        <v>468</v>
      </c>
      <c r="N501" t="s">
        <v>469</v>
      </c>
      <c r="O501" t="s">
        <v>470</v>
      </c>
      <c r="P501" s="57" t="str">
        <f>IF(VLOOKUP(D501,'⚪设计'!$C$85:$I$113,7,FALSE)="","",VLOOKUP(D501,'⚪设计'!$C$85:$I$113,7,FALSE)&amp;",NormalAttack")</f>
        <v>Skill_Monster_Weaken,NormalAttack</v>
      </c>
      <c r="Q501" s="110" t="str">
        <f t="shared" si="20"/>
        <v>5</v>
      </c>
      <c r="R501" s="110" t="str">
        <f t="shared" si="21"/>
        <v>4</v>
      </c>
      <c r="S501" s="110" t="str">
        <f t="shared" si="22"/>
        <v>1</v>
      </c>
    </row>
    <row r="502" spans="2:19" x14ac:dyDescent="0.2">
      <c r="B502" s="57" t="s">
        <v>2861</v>
      </c>
      <c r="C502" s="57" t="s">
        <v>3153</v>
      </c>
      <c r="D502" s="55" t="str">
        <f>VLOOKUP(VLOOKUP(Q502&amp;"_"&amp;R502,活动关卡!$A$88:$Z$111,2+5*S502,FALSE),'⚪设计'!$B$85:$H$114,2,FALSE)</f>
        <v>ResUnit_Gui1</v>
      </c>
      <c r="E502" s="55">
        <f>VLOOKUP(VLOOKUP(Q502&amp;"_"&amp;R502,活动关卡!$A$88:$Z$111,2+5*S502,FALSE),'⚪设计'!$B$85:$H$114,6,FALSE)*VLOOKUP(Q502&amp;"_"&amp;R502,活动关卡!$A$88:$Z$111,5,FALSE)</f>
        <v>3</v>
      </c>
      <c r="F502">
        <v>400</v>
      </c>
      <c r="G502" t="b">
        <v>1</v>
      </c>
      <c r="H502">
        <v>1</v>
      </c>
      <c r="I502">
        <v>1</v>
      </c>
      <c r="J502">
        <v>0.25</v>
      </c>
      <c r="K502" s="55">
        <f>VLOOKUP(VLOOKUP(Q502&amp;"_"&amp;R502,活动关卡!$A$88:$Z$111,2+5*S502,FALSE),'⚪设计'!$B$85:$H$114,7,FALSE)</f>
        <v>1</v>
      </c>
      <c r="L502" s="57" t="s">
        <v>2569</v>
      </c>
      <c r="M502" t="s">
        <v>468</v>
      </c>
      <c r="N502" t="s">
        <v>469</v>
      </c>
      <c r="O502" t="s">
        <v>470</v>
      </c>
      <c r="P502" s="57" t="str">
        <f>IF(VLOOKUP(D502,'⚪设计'!$C$85:$I$113,7,FALSE)="","",VLOOKUP(D502,'⚪设计'!$C$85:$I$113,7,FALSE)&amp;",NormalAttack")</f>
        <v>Skill_Monster_Invisible,NormalAttack</v>
      </c>
      <c r="Q502" s="110" t="str">
        <f t="shared" si="20"/>
        <v>5</v>
      </c>
      <c r="R502" s="110" t="str">
        <f t="shared" si="21"/>
        <v>4</v>
      </c>
      <c r="S502" s="110" t="str">
        <f t="shared" si="22"/>
        <v>2</v>
      </c>
    </row>
    <row r="503" spans="2:19" x14ac:dyDescent="0.2">
      <c r="B503" s="57" t="s">
        <v>2862</v>
      </c>
      <c r="C503" s="57" t="s">
        <v>3154</v>
      </c>
      <c r="D503" s="55" t="str">
        <f>VLOOKUP(VLOOKUP(Q503&amp;"_"&amp;R503,活动关卡!$A$88:$Z$111,2+5*S503,FALSE),'⚪设计'!$B$85:$H$114,2,FALSE)</f>
        <v>ResUnit_WuGui2</v>
      </c>
      <c r="E503" s="55">
        <f>VLOOKUP(VLOOKUP(Q503&amp;"_"&amp;R503,活动关卡!$A$88:$Z$111,2+5*S503,FALSE),'⚪设计'!$B$85:$H$114,6,FALSE)*VLOOKUP(Q503&amp;"_"&amp;R503,活动关卡!$A$88:$Z$111,5,FALSE)</f>
        <v>1.5</v>
      </c>
      <c r="F503">
        <v>400</v>
      </c>
      <c r="G503" t="b">
        <v>1</v>
      </c>
      <c r="H503">
        <v>1</v>
      </c>
      <c r="I503">
        <v>1</v>
      </c>
      <c r="J503">
        <v>0.25</v>
      </c>
      <c r="K503" s="55">
        <f>VLOOKUP(VLOOKUP(Q503&amp;"_"&amp;R503,活动关卡!$A$88:$Z$111,2+5*S503,FALSE),'⚪设计'!$B$85:$H$114,7,FALSE)</f>
        <v>1.2</v>
      </c>
      <c r="L503" s="57" t="s">
        <v>2570</v>
      </c>
      <c r="M503" t="s">
        <v>468</v>
      </c>
      <c r="N503" t="s">
        <v>469</v>
      </c>
      <c r="O503" t="s">
        <v>470</v>
      </c>
      <c r="P503" s="57" t="str">
        <f>IF(VLOOKUP(D503,'⚪设计'!$C$85:$I$113,7,FALSE)="","",VLOOKUP(D503,'⚪设计'!$C$85:$I$113,7,FALSE)&amp;",NormalAttack")</f>
        <v/>
      </c>
      <c r="Q503" s="110" t="str">
        <f t="shared" si="20"/>
        <v>5</v>
      </c>
      <c r="R503" s="110" t="str">
        <f t="shared" si="21"/>
        <v>4</v>
      </c>
      <c r="S503" s="110" t="str">
        <f t="shared" si="22"/>
        <v>3</v>
      </c>
    </row>
    <row r="504" spans="2:19" x14ac:dyDescent="0.2">
      <c r="B504" s="57" t="s">
        <v>2863</v>
      </c>
      <c r="C504" s="57" t="s">
        <v>3155</v>
      </c>
      <c r="D504" s="55" t="str">
        <f>VLOOKUP(VLOOKUP(Q504&amp;"_"&amp;R504,活动关卡!$A$88:$Z$111,2+5*S504,FALSE),'⚪设计'!$B$85:$H$114,2,FALSE)</f>
        <v>ResUnit_Dan2</v>
      </c>
      <c r="E504" s="55">
        <f>VLOOKUP(VLOOKUP(Q504&amp;"_"&amp;R504,活动关卡!$A$88:$Z$111,2+5*S504,FALSE),'⚪设计'!$B$85:$H$114,6,FALSE)*VLOOKUP(Q504&amp;"_"&amp;R504,活动关卡!$A$88:$Z$111,5,FALSE)</f>
        <v>3</v>
      </c>
      <c r="F504">
        <v>400</v>
      </c>
      <c r="G504" t="b">
        <v>1</v>
      </c>
      <c r="H504">
        <v>1</v>
      </c>
      <c r="I504">
        <v>1</v>
      </c>
      <c r="J504">
        <v>0.25</v>
      </c>
      <c r="K504" s="55">
        <f>VLOOKUP(VLOOKUP(Q504&amp;"_"&amp;R504,活动关卡!$A$88:$Z$111,2+5*S504,FALSE),'⚪设计'!$B$85:$H$114,7,FALSE)</f>
        <v>1.3</v>
      </c>
      <c r="L504" s="57" t="s">
        <v>2571</v>
      </c>
      <c r="M504" t="s">
        <v>468</v>
      </c>
      <c r="N504" t="s">
        <v>469</v>
      </c>
      <c r="O504" t="s">
        <v>470</v>
      </c>
      <c r="P504" s="57" t="str">
        <f>IF(VLOOKUP(D504,'⚪设计'!$C$85:$I$113,7,FALSE)="","",VLOOKUP(D504,'⚪设计'!$C$85:$I$113,7,FALSE)&amp;",NormalAttack")</f>
        <v>Skill_Monster_Weaken,NormalAttack</v>
      </c>
      <c r="Q504" s="110" t="str">
        <f t="shared" si="20"/>
        <v>5</v>
      </c>
      <c r="R504" s="110" t="str">
        <f t="shared" si="21"/>
        <v>5</v>
      </c>
      <c r="S504" s="110" t="str">
        <f t="shared" si="22"/>
        <v>1</v>
      </c>
    </row>
    <row r="505" spans="2:19" x14ac:dyDescent="0.2">
      <c r="B505" s="57" t="s">
        <v>2864</v>
      </c>
      <c r="C505" s="57" t="s">
        <v>3156</v>
      </c>
      <c r="D505" s="55" t="str">
        <f>VLOOKUP(VLOOKUP(Q505&amp;"_"&amp;R505,活动关卡!$A$88:$Z$111,2+5*S505,FALSE),'⚪设计'!$B$85:$H$114,2,FALSE)</f>
        <v>ResUnit_Gui1</v>
      </c>
      <c r="E505" s="55">
        <f>VLOOKUP(VLOOKUP(Q505&amp;"_"&amp;R505,活动关卡!$A$88:$Z$111,2+5*S505,FALSE),'⚪设计'!$B$85:$H$114,6,FALSE)*VLOOKUP(Q505&amp;"_"&amp;R505,活动关卡!$A$88:$Z$111,5,FALSE)</f>
        <v>3</v>
      </c>
      <c r="F505">
        <v>400</v>
      </c>
      <c r="G505" t="b">
        <v>1</v>
      </c>
      <c r="H505">
        <v>1</v>
      </c>
      <c r="I505">
        <v>1</v>
      </c>
      <c r="J505">
        <v>0.25</v>
      </c>
      <c r="K505" s="55">
        <f>VLOOKUP(VLOOKUP(Q505&amp;"_"&amp;R505,活动关卡!$A$88:$Z$111,2+5*S505,FALSE),'⚪设计'!$B$85:$H$114,7,FALSE)</f>
        <v>1</v>
      </c>
      <c r="L505" s="57" t="s">
        <v>2572</v>
      </c>
      <c r="M505" t="s">
        <v>468</v>
      </c>
      <c r="N505" t="s">
        <v>469</v>
      </c>
      <c r="O505" t="s">
        <v>470</v>
      </c>
      <c r="P505" s="57" t="str">
        <f>IF(VLOOKUP(D505,'⚪设计'!$C$85:$I$113,7,FALSE)="","",VLOOKUP(D505,'⚪设计'!$C$85:$I$113,7,FALSE)&amp;",NormalAttack")</f>
        <v>Skill_Monster_Invisible,NormalAttack</v>
      </c>
      <c r="Q505" s="110" t="str">
        <f t="shared" si="20"/>
        <v>5</v>
      </c>
      <c r="R505" s="110" t="str">
        <f t="shared" si="21"/>
        <v>5</v>
      </c>
      <c r="S505" s="110" t="str">
        <f t="shared" si="22"/>
        <v>2</v>
      </c>
    </row>
    <row r="506" spans="2:19" x14ac:dyDescent="0.2">
      <c r="B506" s="57" t="s">
        <v>2865</v>
      </c>
      <c r="C506" s="57" t="s">
        <v>3157</v>
      </c>
      <c r="D506" s="55" t="str">
        <f>VLOOKUP(VLOOKUP(Q506&amp;"_"&amp;R506,活动关卡!$A$88:$Z$111,2+5*S506,FALSE),'⚪设计'!$B$85:$H$114,2,FALSE)</f>
        <v>ResUnit_ZhongZi1</v>
      </c>
      <c r="E506" s="55">
        <f>VLOOKUP(VLOOKUP(Q506&amp;"_"&amp;R506,活动关卡!$A$88:$Z$111,2+5*S506,FALSE),'⚪设计'!$B$85:$H$114,6,FALSE)*VLOOKUP(Q506&amp;"_"&amp;R506,活动关卡!$A$88:$Z$111,5,FALSE)</f>
        <v>3</v>
      </c>
      <c r="F506">
        <v>400</v>
      </c>
      <c r="G506" t="b">
        <v>1</v>
      </c>
      <c r="H506">
        <v>1</v>
      </c>
      <c r="I506">
        <v>1</v>
      </c>
      <c r="J506">
        <v>0.25</v>
      </c>
      <c r="K506" s="55">
        <f>VLOOKUP(VLOOKUP(Q506&amp;"_"&amp;R506,活动关卡!$A$88:$Z$111,2+5*S506,FALSE),'⚪设计'!$B$85:$H$114,7,FALSE)</f>
        <v>1</v>
      </c>
      <c r="L506" s="57" t="s">
        <v>2573</v>
      </c>
      <c r="M506" t="s">
        <v>468</v>
      </c>
      <c r="N506" t="s">
        <v>469</v>
      </c>
      <c r="O506" t="s">
        <v>470</v>
      </c>
      <c r="P506" s="57" t="str">
        <f>IF(VLOOKUP(D506,'⚪设计'!$C$85:$I$113,7,FALSE)="","",VLOOKUP(D506,'⚪设计'!$C$85:$I$113,7,FALSE)&amp;",NormalAttack")</f>
        <v>Skill_Monster_Heal,NormalAttack</v>
      </c>
      <c r="Q506" s="110" t="str">
        <f t="shared" si="20"/>
        <v>5</v>
      </c>
      <c r="R506" s="110" t="str">
        <f t="shared" si="21"/>
        <v>5</v>
      </c>
      <c r="S506" s="110" t="str">
        <f t="shared" si="22"/>
        <v>3</v>
      </c>
    </row>
    <row r="507" spans="2:19" x14ac:dyDescent="0.2">
      <c r="B507" s="57" t="s">
        <v>2866</v>
      </c>
      <c r="C507" s="57" t="s">
        <v>3158</v>
      </c>
      <c r="D507" s="55" t="str">
        <f>VLOOKUP(VLOOKUP(Q507&amp;"_"&amp;R507,活动关卡!$A$88:$Z$111,2+5*S507,FALSE),'⚪设计'!$B$85:$H$114,2,FALSE)</f>
        <v>ResUnit_WuGui2</v>
      </c>
      <c r="E507" s="55">
        <f>VLOOKUP(VLOOKUP(Q507&amp;"_"&amp;R507,活动关卡!$A$88:$Z$111,2+5*S507,FALSE),'⚪设计'!$B$85:$H$114,6,FALSE)*VLOOKUP(Q507&amp;"_"&amp;R507,活动关卡!$A$88:$Z$111,5,FALSE)</f>
        <v>1.5</v>
      </c>
      <c r="F507">
        <v>400</v>
      </c>
      <c r="G507" t="b">
        <v>1</v>
      </c>
      <c r="H507">
        <v>1</v>
      </c>
      <c r="I507">
        <v>1</v>
      </c>
      <c r="J507">
        <v>0.25</v>
      </c>
      <c r="K507" s="55">
        <f>VLOOKUP(VLOOKUP(Q507&amp;"_"&amp;R507,活动关卡!$A$88:$Z$111,2+5*S507,FALSE),'⚪设计'!$B$85:$H$114,7,FALSE)</f>
        <v>1.2</v>
      </c>
      <c r="L507" s="57" t="s">
        <v>2574</v>
      </c>
      <c r="M507" t="s">
        <v>468</v>
      </c>
      <c r="N507" t="s">
        <v>469</v>
      </c>
      <c r="O507" t="s">
        <v>470</v>
      </c>
      <c r="P507" s="57" t="str">
        <f>IF(VLOOKUP(D507,'⚪设计'!$C$85:$I$113,7,FALSE)="","",VLOOKUP(D507,'⚪设计'!$C$85:$I$113,7,FALSE)&amp;",NormalAttack")</f>
        <v/>
      </c>
      <c r="Q507" s="110" t="str">
        <f t="shared" si="20"/>
        <v>5</v>
      </c>
      <c r="R507" s="110" t="str">
        <f t="shared" si="21"/>
        <v>5</v>
      </c>
      <c r="S507" s="110" t="str">
        <f t="shared" si="22"/>
        <v>4</v>
      </c>
    </row>
    <row r="508" spans="2:19" x14ac:dyDescent="0.2">
      <c r="B508" s="57" t="s">
        <v>2867</v>
      </c>
      <c r="C508" s="57" t="s">
        <v>3159</v>
      </c>
      <c r="D508" s="55" t="str">
        <f>VLOOKUP(VLOOKUP(Q508&amp;"_"&amp;R508,活动关卡!$A$88:$Z$111,2+5*S508,FALSE),'⚪设计'!$B$85:$H$114,2,FALSE)</f>
        <v>ResUnit_Dan2</v>
      </c>
      <c r="E508" s="55">
        <f>VLOOKUP(VLOOKUP(Q508&amp;"_"&amp;R508,活动关卡!$A$88:$Z$111,2+5*S508,FALSE),'⚪设计'!$B$85:$H$114,6,FALSE)*VLOOKUP(Q508&amp;"_"&amp;R508,活动关卡!$A$88:$Z$111,5,FALSE)</f>
        <v>3</v>
      </c>
      <c r="F508">
        <v>400</v>
      </c>
      <c r="G508" t="b">
        <v>1</v>
      </c>
      <c r="H508">
        <v>1</v>
      </c>
      <c r="I508">
        <v>1</v>
      </c>
      <c r="J508">
        <v>0.25</v>
      </c>
      <c r="K508" s="55">
        <f>VLOOKUP(VLOOKUP(Q508&amp;"_"&amp;R508,活动关卡!$A$88:$Z$111,2+5*S508,FALSE),'⚪设计'!$B$85:$H$114,7,FALSE)</f>
        <v>1.3</v>
      </c>
      <c r="L508" s="57" t="s">
        <v>2575</v>
      </c>
      <c r="M508" t="s">
        <v>468</v>
      </c>
      <c r="N508" t="s">
        <v>469</v>
      </c>
      <c r="O508" t="s">
        <v>470</v>
      </c>
      <c r="P508" s="57" t="str">
        <f>IF(VLOOKUP(D508,'⚪设计'!$C$85:$I$113,7,FALSE)="","",VLOOKUP(D508,'⚪设计'!$C$85:$I$113,7,FALSE)&amp;",NormalAttack")</f>
        <v>Skill_Monster_Weaken,NormalAttack</v>
      </c>
      <c r="Q508" s="110" t="str">
        <f t="shared" si="20"/>
        <v>5</v>
      </c>
      <c r="R508" s="110" t="str">
        <f t="shared" si="21"/>
        <v>6</v>
      </c>
      <c r="S508" s="110" t="str">
        <f t="shared" si="22"/>
        <v>1</v>
      </c>
    </row>
    <row r="509" spans="2:19" x14ac:dyDescent="0.2">
      <c r="B509" s="57" t="s">
        <v>2868</v>
      </c>
      <c r="C509" s="57" t="s">
        <v>3160</v>
      </c>
      <c r="D509" s="55" t="str">
        <f>VLOOKUP(VLOOKUP(Q509&amp;"_"&amp;R509,活动关卡!$A$88:$Z$111,2+5*S509,FALSE),'⚪设计'!$B$85:$H$114,2,FALSE)</f>
        <v>ResUnit_ZhongZi2</v>
      </c>
      <c r="E509" s="55">
        <f>VLOOKUP(VLOOKUP(Q509&amp;"_"&amp;R509,活动关卡!$A$88:$Z$111,2+5*S509,FALSE),'⚪设计'!$B$85:$H$114,6,FALSE)*VLOOKUP(Q509&amp;"_"&amp;R509,活动关卡!$A$88:$Z$111,5,FALSE)</f>
        <v>3</v>
      </c>
      <c r="F509">
        <v>400</v>
      </c>
      <c r="G509" t="b">
        <v>1</v>
      </c>
      <c r="H509">
        <v>1</v>
      </c>
      <c r="I509">
        <v>1</v>
      </c>
      <c r="J509">
        <v>0.25</v>
      </c>
      <c r="K509" s="55">
        <f>VLOOKUP(VLOOKUP(Q509&amp;"_"&amp;R509,活动关卡!$A$88:$Z$111,2+5*S509,FALSE),'⚪设计'!$B$85:$H$114,7,FALSE)</f>
        <v>1.2</v>
      </c>
      <c r="L509" s="57" t="s">
        <v>2576</v>
      </c>
      <c r="M509" t="s">
        <v>468</v>
      </c>
      <c r="N509" t="s">
        <v>469</v>
      </c>
      <c r="O509" t="s">
        <v>470</v>
      </c>
      <c r="P509" s="57" t="str">
        <f>IF(VLOOKUP(D509,'⚪设计'!$C$85:$I$113,7,FALSE)="","",VLOOKUP(D509,'⚪设计'!$C$85:$I$113,7,FALSE)&amp;",NormalAttack")</f>
        <v>Skill_Monster_Heal,NormalAttack</v>
      </c>
      <c r="Q509" s="110" t="str">
        <f t="shared" si="20"/>
        <v>5</v>
      </c>
      <c r="R509" s="110" t="str">
        <f t="shared" si="21"/>
        <v>6</v>
      </c>
      <c r="S509" s="110" t="str">
        <f t="shared" si="22"/>
        <v>2</v>
      </c>
    </row>
    <row r="510" spans="2:19" x14ac:dyDescent="0.2">
      <c r="B510" s="57" t="s">
        <v>2869</v>
      </c>
      <c r="C510" s="57" t="s">
        <v>3161</v>
      </c>
      <c r="D510" s="55" t="str">
        <f>VLOOKUP(VLOOKUP(Q510&amp;"_"&amp;R510,活动关卡!$A$88:$Z$111,2+5*S510,FALSE),'⚪设计'!$B$85:$H$114,2,FALSE)</f>
        <v>ResUnit_ZhiZhu2</v>
      </c>
      <c r="E510" s="55">
        <f>VLOOKUP(VLOOKUP(Q510&amp;"_"&amp;R510,活动关卡!$A$88:$Z$111,2+5*S510,FALSE),'⚪设计'!$B$85:$H$114,6,FALSE)*VLOOKUP(Q510&amp;"_"&amp;R510,活动关卡!$A$88:$Z$111,5,FALSE)</f>
        <v>4.5</v>
      </c>
      <c r="F510">
        <v>400</v>
      </c>
      <c r="G510" t="b">
        <v>1</v>
      </c>
      <c r="H510">
        <v>1</v>
      </c>
      <c r="I510">
        <v>1</v>
      </c>
      <c r="J510">
        <v>0.25</v>
      </c>
      <c r="K510" s="55">
        <f>VLOOKUP(VLOOKUP(Q510&amp;"_"&amp;R510,活动关卡!$A$88:$Z$111,2+5*S510,FALSE),'⚪设计'!$B$85:$H$114,7,FALSE)</f>
        <v>1</v>
      </c>
      <c r="L510" s="57" t="s">
        <v>2577</v>
      </c>
      <c r="M510" t="s">
        <v>468</v>
      </c>
      <c r="N510" t="s">
        <v>469</v>
      </c>
      <c r="O510" t="s">
        <v>470</v>
      </c>
      <c r="P510" s="57" t="str">
        <f>IF(VLOOKUP(D510,'⚪设计'!$C$85:$I$113,7,FALSE)="","",VLOOKUP(D510,'⚪设计'!$C$85:$I$113,7,FALSE)&amp;",NormalAttack")</f>
        <v/>
      </c>
      <c r="Q510" s="110" t="str">
        <f t="shared" si="20"/>
        <v>5</v>
      </c>
      <c r="R510" s="110" t="str">
        <f t="shared" si="21"/>
        <v>6</v>
      </c>
      <c r="S510" s="110" t="str">
        <f t="shared" si="22"/>
        <v>3</v>
      </c>
    </row>
    <row r="511" spans="2:19" x14ac:dyDescent="0.2">
      <c r="B511" s="57" t="s">
        <v>2870</v>
      </c>
      <c r="C511" s="57" t="s">
        <v>3162</v>
      </c>
      <c r="D511" s="55" t="str">
        <f>VLOOKUP(VLOOKUP(Q511&amp;"_"&amp;R511,活动关卡!$A$88:$Z$111,2+5*S511,FALSE),'⚪设计'!$B$85:$H$114,2,FALSE)</f>
        <v>ResUnit_WuGui2</v>
      </c>
      <c r="E511" s="55">
        <f>VLOOKUP(VLOOKUP(Q511&amp;"_"&amp;R511,活动关卡!$A$88:$Z$111,2+5*S511,FALSE),'⚪设计'!$B$85:$H$114,6,FALSE)*VLOOKUP(Q511&amp;"_"&amp;R511,活动关卡!$A$88:$Z$111,5,FALSE)</f>
        <v>1.5</v>
      </c>
      <c r="F511">
        <v>400</v>
      </c>
      <c r="G511" t="b">
        <v>1</v>
      </c>
      <c r="H511">
        <v>1</v>
      </c>
      <c r="I511">
        <v>1</v>
      </c>
      <c r="J511">
        <v>0.25</v>
      </c>
      <c r="K511" s="55">
        <f>VLOOKUP(VLOOKUP(Q511&amp;"_"&amp;R511,活动关卡!$A$88:$Z$111,2+5*S511,FALSE),'⚪设计'!$B$85:$H$114,7,FALSE)</f>
        <v>1.2</v>
      </c>
      <c r="L511" s="57" t="s">
        <v>2578</v>
      </c>
      <c r="M511" t="s">
        <v>468</v>
      </c>
      <c r="N511" t="s">
        <v>469</v>
      </c>
      <c r="O511" t="s">
        <v>470</v>
      </c>
      <c r="P511" s="57" t="str">
        <f>IF(VLOOKUP(D511,'⚪设计'!$C$85:$I$113,7,FALSE)="","",VLOOKUP(D511,'⚪设计'!$C$85:$I$113,7,FALSE)&amp;",NormalAttack")</f>
        <v/>
      </c>
      <c r="Q511" s="110" t="str">
        <f t="shared" si="20"/>
        <v>5</v>
      </c>
      <c r="R511" s="110" t="str">
        <f t="shared" si="21"/>
        <v>6</v>
      </c>
      <c r="S511" s="110" t="str">
        <f t="shared" si="22"/>
        <v>4</v>
      </c>
    </row>
    <row r="512" spans="2:19" x14ac:dyDescent="0.2">
      <c r="B512" s="57" t="s">
        <v>2871</v>
      </c>
      <c r="C512" s="57" t="s">
        <v>3163</v>
      </c>
      <c r="D512" s="55" t="str">
        <f>VLOOKUP(VLOOKUP(Q512&amp;"_"&amp;R512,活动关卡!$A$88:$Z$111,2+5*S512,FALSE),'⚪设计'!$B$85:$H$114,2,FALSE)</f>
        <v>ResUnit_Dan2</v>
      </c>
      <c r="E512" s="55">
        <f>VLOOKUP(VLOOKUP(Q512&amp;"_"&amp;R512,活动关卡!$A$88:$Z$111,2+5*S512,FALSE),'⚪设计'!$B$85:$H$114,6,FALSE)*VLOOKUP(Q512&amp;"_"&amp;R512,活动关卡!$A$88:$Z$111,5,FALSE)</f>
        <v>3</v>
      </c>
      <c r="F512">
        <v>400</v>
      </c>
      <c r="G512" t="b">
        <v>1</v>
      </c>
      <c r="H512">
        <v>1</v>
      </c>
      <c r="I512">
        <v>1</v>
      </c>
      <c r="J512">
        <v>0.25</v>
      </c>
      <c r="K512" s="55">
        <f>VLOOKUP(VLOOKUP(Q512&amp;"_"&amp;R512,活动关卡!$A$88:$Z$111,2+5*S512,FALSE),'⚪设计'!$B$85:$H$114,7,FALSE)</f>
        <v>1.3</v>
      </c>
      <c r="L512" s="57" t="s">
        <v>2579</v>
      </c>
      <c r="M512" t="s">
        <v>468</v>
      </c>
      <c r="N512" t="s">
        <v>469</v>
      </c>
      <c r="O512" t="s">
        <v>470</v>
      </c>
      <c r="P512" s="57" t="str">
        <f>IF(VLOOKUP(D512,'⚪设计'!$C$85:$I$113,7,FALSE)="","",VLOOKUP(D512,'⚪设计'!$C$85:$I$113,7,FALSE)&amp;",NormalAttack")</f>
        <v>Skill_Monster_Weaken,NormalAttack</v>
      </c>
      <c r="Q512" s="110" t="str">
        <f t="shared" si="20"/>
        <v>5</v>
      </c>
      <c r="R512" s="110" t="str">
        <f t="shared" si="21"/>
        <v>7</v>
      </c>
      <c r="S512" s="110" t="str">
        <f t="shared" si="22"/>
        <v>1</v>
      </c>
    </row>
    <row r="513" spans="2:19" x14ac:dyDescent="0.2">
      <c r="B513" s="57" t="s">
        <v>2872</v>
      </c>
      <c r="C513" s="57" t="s">
        <v>3164</v>
      </c>
      <c r="D513" s="55" t="str">
        <f>VLOOKUP(VLOOKUP(Q513&amp;"_"&amp;R513,活动关卡!$A$88:$Z$111,2+5*S513,FALSE),'⚪设计'!$B$85:$H$114,2,FALSE)</f>
        <v>ResUnit_Gui2</v>
      </c>
      <c r="E513" s="55">
        <f>VLOOKUP(VLOOKUP(Q513&amp;"_"&amp;R513,活动关卡!$A$88:$Z$111,2+5*S513,FALSE),'⚪设计'!$B$85:$H$114,6,FALSE)*VLOOKUP(Q513&amp;"_"&amp;R513,活动关卡!$A$88:$Z$111,5,FALSE)</f>
        <v>3</v>
      </c>
      <c r="F513">
        <v>400</v>
      </c>
      <c r="G513" t="b">
        <v>1</v>
      </c>
      <c r="H513">
        <v>1</v>
      </c>
      <c r="I513">
        <v>1</v>
      </c>
      <c r="J513">
        <v>0.25</v>
      </c>
      <c r="K513" s="55">
        <f>VLOOKUP(VLOOKUP(Q513&amp;"_"&amp;R513,活动关卡!$A$88:$Z$111,2+5*S513,FALSE),'⚪设计'!$B$85:$H$114,7,FALSE)</f>
        <v>1</v>
      </c>
      <c r="L513" s="57" t="s">
        <v>2580</v>
      </c>
      <c r="M513" t="s">
        <v>468</v>
      </c>
      <c r="N513" t="s">
        <v>469</v>
      </c>
      <c r="O513" t="s">
        <v>470</v>
      </c>
      <c r="P513" s="57" t="str">
        <f>IF(VLOOKUP(D513,'⚪设计'!$C$85:$I$113,7,FALSE)="","",VLOOKUP(D513,'⚪设计'!$C$85:$I$113,7,FALSE)&amp;",NormalAttack")</f>
        <v>Skill_Monster_Invisible,NormalAttack</v>
      </c>
      <c r="Q513" s="110" t="str">
        <f t="shared" si="20"/>
        <v>5</v>
      </c>
      <c r="R513" s="110" t="str">
        <f t="shared" si="21"/>
        <v>7</v>
      </c>
      <c r="S513" s="110" t="str">
        <f t="shared" si="22"/>
        <v>2</v>
      </c>
    </row>
    <row r="514" spans="2:19" x14ac:dyDescent="0.2">
      <c r="B514" s="57" t="s">
        <v>2873</v>
      </c>
      <c r="C514" s="57" t="s">
        <v>3165</v>
      </c>
      <c r="D514" s="55" t="str">
        <f>VLOOKUP(VLOOKUP(Q514&amp;"_"&amp;R514,活动关卡!$A$88:$Z$111,2+5*S514,FALSE),'⚪设计'!$B$85:$H$114,2,FALSE)</f>
        <v>ResUnit_BianFu2</v>
      </c>
      <c r="E514" s="55">
        <f>VLOOKUP(VLOOKUP(Q514&amp;"_"&amp;R514,活动关卡!$A$88:$Z$111,2+5*S514,FALSE),'⚪设计'!$B$85:$H$114,6,FALSE)*VLOOKUP(Q514&amp;"_"&amp;R514,活动关卡!$A$88:$Z$111,5,FALSE)</f>
        <v>3</v>
      </c>
      <c r="F514">
        <v>400</v>
      </c>
      <c r="G514" t="b">
        <v>1</v>
      </c>
      <c r="H514">
        <v>1</v>
      </c>
      <c r="I514">
        <v>1</v>
      </c>
      <c r="J514">
        <v>0.25</v>
      </c>
      <c r="K514" s="55">
        <f>VLOOKUP(VLOOKUP(Q514&amp;"_"&amp;R514,活动关卡!$A$88:$Z$111,2+5*S514,FALSE),'⚪设计'!$B$85:$H$114,7,FALSE)</f>
        <v>0.5</v>
      </c>
      <c r="L514" s="57" t="s">
        <v>2581</v>
      </c>
      <c r="M514" t="s">
        <v>468</v>
      </c>
      <c r="N514" t="s">
        <v>469</v>
      </c>
      <c r="O514" t="s">
        <v>470</v>
      </c>
      <c r="P514" s="57" t="str">
        <f>IF(VLOOKUP(D514,'⚪设计'!$C$85:$I$113,7,FALSE)="","",VLOOKUP(D514,'⚪设计'!$C$85:$I$113,7,FALSE)&amp;",NormalAttack")</f>
        <v/>
      </c>
      <c r="Q514" s="110" t="str">
        <f t="shared" si="20"/>
        <v>5</v>
      </c>
      <c r="R514" s="110" t="str">
        <f t="shared" si="21"/>
        <v>7</v>
      </c>
      <c r="S514" s="110" t="str">
        <f t="shared" si="22"/>
        <v>3</v>
      </c>
    </row>
    <row r="515" spans="2:19" x14ac:dyDescent="0.2">
      <c r="B515" s="57" t="s">
        <v>2874</v>
      </c>
      <c r="C515" s="57" t="s">
        <v>3166</v>
      </c>
      <c r="D515" s="55" t="str">
        <f>VLOOKUP(VLOOKUP(Q515&amp;"_"&amp;R515,活动关卡!$A$88:$Z$111,2+5*S515,FALSE),'⚪设计'!$B$85:$H$114,2,FALSE)</f>
        <v>ResUnit_WuGui2</v>
      </c>
      <c r="E515" s="55">
        <f>VLOOKUP(VLOOKUP(Q515&amp;"_"&amp;R515,活动关卡!$A$88:$Z$111,2+5*S515,FALSE),'⚪设计'!$B$85:$H$114,6,FALSE)*VLOOKUP(Q515&amp;"_"&amp;R515,活动关卡!$A$88:$Z$111,5,FALSE)</f>
        <v>1.5</v>
      </c>
      <c r="F515">
        <v>400</v>
      </c>
      <c r="G515" t="b">
        <v>1</v>
      </c>
      <c r="H515">
        <v>1</v>
      </c>
      <c r="I515">
        <v>1</v>
      </c>
      <c r="J515">
        <v>0.25</v>
      </c>
      <c r="K515" s="55">
        <f>VLOOKUP(VLOOKUP(Q515&amp;"_"&amp;R515,活动关卡!$A$88:$Z$111,2+5*S515,FALSE),'⚪设计'!$B$85:$H$114,7,FALSE)</f>
        <v>1.2</v>
      </c>
      <c r="L515" s="57" t="s">
        <v>2582</v>
      </c>
      <c r="M515" t="s">
        <v>468</v>
      </c>
      <c r="N515" t="s">
        <v>469</v>
      </c>
      <c r="O515" t="s">
        <v>470</v>
      </c>
      <c r="P515" s="57" t="str">
        <f>IF(VLOOKUP(D515,'⚪设计'!$C$85:$I$113,7,FALSE)="","",VLOOKUP(D515,'⚪设计'!$C$85:$I$113,7,FALSE)&amp;",NormalAttack")</f>
        <v/>
      </c>
      <c r="Q515" s="110" t="str">
        <f t="shared" si="20"/>
        <v>5</v>
      </c>
      <c r="R515" s="110" t="str">
        <f t="shared" si="21"/>
        <v>7</v>
      </c>
      <c r="S515" s="110" t="str">
        <f t="shared" si="22"/>
        <v>4</v>
      </c>
    </row>
    <row r="516" spans="2:19" x14ac:dyDescent="0.2">
      <c r="B516" s="57" t="s">
        <v>2875</v>
      </c>
      <c r="C516" s="57" t="s">
        <v>3167</v>
      </c>
      <c r="D516" s="55" t="str">
        <f>VLOOKUP(VLOOKUP(Q516&amp;"_"&amp;R516,活动关卡!$A$88:$Z$111,2+5*S516,FALSE),'⚪设计'!$B$85:$H$114,2,FALSE)</f>
        <v>ResUnit_Dan3</v>
      </c>
      <c r="E516" s="55">
        <f>VLOOKUP(VLOOKUP(Q516&amp;"_"&amp;R516,活动关卡!$A$88:$Z$111,2+5*S516,FALSE),'⚪设计'!$B$85:$H$114,6,FALSE)*VLOOKUP(Q516&amp;"_"&amp;R516,活动关卡!$A$88:$Z$111,5,FALSE)</f>
        <v>1.25</v>
      </c>
      <c r="F516">
        <v>400</v>
      </c>
      <c r="G516" t="b">
        <v>1</v>
      </c>
      <c r="H516">
        <v>1</v>
      </c>
      <c r="I516">
        <v>1</v>
      </c>
      <c r="J516">
        <v>0.25</v>
      </c>
      <c r="K516" s="55">
        <f>VLOOKUP(VLOOKUP(Q516&amp;"_"&amp;R516,活动关卡!$A$88:$Z$111,2+5*S516,FALSE),'⚪设计'!$B$85:$H$114,7,FALSE)</f>
        <v>2.5</v>
      </c>
      <c r="L516" s="57" t="s">
        <v>2583</v>
      </c>
      <c r="M516" t="s">
        <v>468</v>
      </c>
      <c r="N516" t="s">
        <v>469</v>
      </c>
      <c r="O516" t="s">
        <v>470</v>
      </c>
      <c r="P516" s="57" t="str">
        <f>IF(VLOOKUP(D516,'⚪设计'!$C$85:$I$113,7,FALSE)="","",VLOOKUP(D516,'⚪设计'!$C$85:$I$113,7,FALSE)&amp;",NormalAttack")</f>
        <v>Skill_Monster_Weaken,NormalAttack</v>
      </c>
      <c r="Q516" s="110" t="str">
        <f t="shared" si="20"/>
        <v>5</v>
      </c>
      <c r="R516" s="110" t="str">
        <f t="shared" si="21"/>
        <v>8</v>
      </c>
      <c r="S516" s="110" t="str">
        <f t="shared" si="22"/>
        <v>1</v>
      </c>
    </row>
    <row r="517" spans="2:19" x14ac:dyDescent="0.2">
      <c r="B517" s="57" t="s">
        <v>2876</v>
      </c>
      <c r="C517" s="57" t="s">
        <v>3168</v>
      </c>
      <c r="D517" s="55" t="str">
        <f>VLOOKUP(VLOOKUP(Q517&amp;"_"&amp;R517,活动关卡!$A$88:$Z$111,2+5*S517,FALSE),'⚪设计'!$B$85:$H$114,2,FALSE)</f>
        <v>ResUnit_Gui2</v>
      </c>
      <c r="E517" s="55">
        <f>VLOOKUP(VLOOKUP(Q517&amp;"_"&amp;R517,活动关卡!$A$88:$Z$111,2+5*S517,FALSE),'⚪设计'!$B$85:$H$114,6,FALSE)*VLOOKUP(Q517&amp;"_"&amp;R517,活动关卡!$A$88:$Z$111,5,FALSE)</f>
        <v>3</v>
      </c>
      <c r="F517">
        <v>400</v>
      </c>
      <c r="G517" t="b">
        <v>1</v>
      </c>
      <c r="H517">
        <v>1</v>
      </c>
      <c r="I517">
        <v>1</v>
      </c>
      <c r="J517">
        <v>0.25</v>
      </c>
      <c r="K517" s="55">
        <f>VLOOKUP(VLOOKUP(Q517&amp;"_"&amp;R517,活动关卡!$A$88:$Z$111,2+5*S517,FALSE),'⚪设计'!$B$85:$H$114,7,FALSE)</f>
        <v>1</v>
      </c>
      <c r="L517" s="57" t="s">
        <v>2584</v>
      </c>
      <c r="M517" t="s">
        <v>468</v>
      </c>
      <c r="N517" t="s">
        <v>469</v>
      </c>
      <c r="O517" t="s">
        <v>470</v>
      </c>
      <c r="P517" s="57" t="str">
        <f>IF(VLOOKUP(D517,'⚪设计'!$C$85:$I$113,7,FALSE)="","",VLOOKUP(D517,'⚪设计'!$C$85:$I$113,7,FALSE)&amp;",NormalAttack")</f>
        <v>Skill_Monster_Invisible,NormalAttack</v>
      </c>
      <c r="Q517" s="110" t="str">
        <f t="shared" si="20"/>
        <v>5</v>
      </c>
      <c r="R517" s="110" t="str">
        <f t="shared" si="21"/>
        <v>8</v>
      </c>
      <c r="S517" s="110" t="str">
        <f t="shared" si="22"/>
        <v>2</v>
      </c>
    </row>
    <row r="518" spans="2:19" x14ac:dyDescent="0.2">
      <c r="B518" s="57" t="s">
        <v>2877</v>
      </c>
      <c r="C518" s="57" t="s">
        <v>3169</v>
      </c>
      <c r="D518" s="55" t="str">
        <f>VLOOKUP(VLOOKUP(Q518&amp;"_"&amp;R518,活动关卡!$A$88:$Z$111,2+5*S518,FALSE),'⚪设计'!$B$85:$H$114,2,FALSE)</f>
        <v>ResUnit_ZhongZi2</v>
      </c>
      <c r="E518" s="55">
        <f>VLOOKUP(VLOOKUP(Q518&amp;"_"&amp;R518,活动关卡!$A$88:$Z$111,2+5*S518,FALSE),'⚪设计'!$B$85:$H$114,6,FALSE)*VLOOKUP(Q518&amp;"_"&amp;R518,活动关卡!$A$88:$Z$111,5,FALSE)</f>
        <v>3</v>
      </c>
      <c r="F518">
        <v>400</v>
      </c>
      <c r="G518" t="b">
        <v>1</v>
      </c>
      <c r="H518">
        <v>1</v>
      </c>
      <c r="I518">
        <v>1</v>
      </c>
      <c r="J518">
        <v>0.25</v>
      </c>
      <c r="K518" s="55">
        <f>VLOOKUP(VLOOKUP(Q518&amp;"_"&amp;R518,活动关卡!$A$88:$Z$111,2+5*S518,FALSE),'⚪设计'!$B$85:$H$114,7,FALSE)</f>
        <v>1.2</v>
      </c>
      <c r="L518" s="57" t="s">
        <v>2585</v>
      </c>
      <c r="M518" t="s">
        <v>468</v>
      </c>
      <c r="N518" t="s">
        <v>469</v>
      </c>
      <c r="O518" t="s">
        <v>470</v>
      </c>
      <c r="P518" s="57" t="str">
        <f>IF(VLOOKUP(D518,'⚪设计'!$C$85:$I$113,7,FALSE)="","",VLOOKUP(D518,'⚪设计'!$C$85:$I$113,7,FALSE)&amp;",NormalAttack")</f>
        <v>Skill_Monster_Heal,NormalAttack</v>
      </c>
      <c r="Q518" s="110" t="str">
        <f t="shared" si="20"/>
        <v>5</v>
      </c>
      <c r="R518" s="110" t="str">
        <f t="shared" si="21"/>
        <v>8</v>
      </c>
      <c r="S518" s="110" t="str">
        <f t="shared" si="22"/>
        <v>3</v>
      </c>
    </row>
    <row r="519" spans="2:19" x14ac:dyDescent="0.2">
      <c r="B519" s="57" t="s">
        <v>2878</v>
      </c>
      <c r="C519" s="57" t="s">
        <v>3170</v>
      </c>
      <c r="D519" s="55" t="str">
        <f>VLOOKUP(VLOOKUP(Q519&amp;"_"&amp;R519,活动关卡!$A$88:$Z$111,2+5*S519,FALSE),'⚪设计'!$B$85:$H$114,2,FALSE)</f>
        <v>ResUnit_WuGui3</v>
      </c>
      <c r="E519" s="55">
        <f>VLOOKUP(VLOOKUP(Q519&amp;"_"&amp;R519,活动关卡!$A$88:$Z$111,2+5*S519,FALSE),'⚪设计'!$B$85:$H$114,6,FALSE)*VLOOKUP(Q519&amp;"_"&amp;R519,活动关卡!$A$88:$Z$111,5,FALSE)</f>
        <v>1.5</v>
      </c>
      <c r="F519">
        <v>400</v>
      </c>
      <c r="G519" t="b">
        <v>1</v>
      </c>
      <c r="H519">
        <v>1</v>
      </c>
      <c r="I519">
        <v>1</v>
      </c>
      <c r="J519">
        <v>0.25</v>
      </c>
      <c r="K519" s="55">
        <f>VLOOKUP(VLOOKUP(Q519&amp;"_"&amp;R519,活动关卡!$A$88:$Z$111,2+5*S519,FALSE),'⚪设计'!$B$85:$H$114,7,FALSE)</f>
        <v>1.8</v>
      </c>
      <c r="L519" s="57" t="s">
        <v>2586</v>
      </c>
      <c r="M519" t="s">
        <v>468</v>
      </c>
      <c r="N519" t="s">
        <v>469</v>
      </c>
      <c r="O519" t="s">
        <v>470</v>
      </c>
      <c r="P519" s="57" t="str">
        <f>IF(VLOOKUP(D519,'⚪设计'!$C$85:$I$113,7,FALSE)="","",VLOOKUP(D519,'⚪设计'!$C$85:$I$113,7,FALSE)&amp;",NormalAttack")</f>
        <v/>
      </c>
      <c r="Q519" s="110" t="str">
        <f t="shared" si="20"/>
        <v>5</v>
      </c>
      <c r="R519" s="110" t="str">
        <f t="shared" si="21"/>
        <v>8</v>
      </c>
      <c r="S519" s="110" t="str">
        <f t="shared" si="22"/>
        <v>4</v>
      </c>
    </row>
  </sheetData>
  <dataConsolidate/>
  <phoneticPr fontId="4" type="noConversion"/>
  <conditionalFormatting sqref="P212">
    <cfRule type="duplicateValues" dxfId="3" priority="4"/>
  </conditionalFormatting>
  <conditionalFormatting sqref="P213">
    <cfRule type="duplicateValues" dxfId="2" priority="3"/>
  </conditionalFormatting>
  <conditionalFormatting sqref="P215">
    <cfRule type="duplicateValues" dxfId="1" priority="2"/>
  </conditionalFormatting>
  <conditionalFormatting sqref="P218">
    <cfRule type="duplicateValues" dxfId="0" priority="1"/>
  </conditionalFormatting>
  <hyperlinks>
    <hyperlink ref="L3" r:id="rId1" xr:uid="{6D32B3D2-3297-4EE4-993A-C1CAA735467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8209-E378-4051-87F2-7A07D9A45453}">
  <dimension ref="A1:AB570"/>
  <sheetViews>
    <sheetView zoomScale="85" zoomScaleNormal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A39" sqref="A39:XFD41"/>
    </sheetView>
  </sheetViews>
  <sheetFormatPr defaultColWidth="9" defaultRowHeight="14.25" x14ac:dyDescent="0.2"/>
  <cols>
    <col min="1" max="1" width="8.75" style="57" customWidth="1"/>
    <col min="2" max="2" width="20.125" style="57" customWidth="1"/>
    <col min="3" max="3" width="5.25" style="57" bestFit="1" customWidth="1"/>
    <col min="4" max="4" width="20.25" style="57" customWidth="1"/>
    <col min="5" max="5" width="10.75" style="57" customWidth="1"/>
    <col min="6" max="6" width="9.125" style="57" customWidth="1"/>
    <col min="7" max="7" width="12.125" style="57" customWidth="1"/>
    <col min="8" max="8" width="9.125" style="57" customWidth="1"/>
    <col min="9" max="9" width="10.875" style="57" customWidth="1"/>
    <col min="10" max="10" width="9.5" style="57" customWidth="1"/>
    <col min="11" max="25" width="7" style="57" customWidth="1"/>
    <col min="26" max="28" width="7.125" style="57" bestFit="1" customWidth="1"/>
    <col min="29" max="16384" width="9" style="57"/>
  </cols>
  <sheetData>
    <row r="1" spans="1:28" s="99" customFormat="1" x14ac:dyDescent="0.2">
      <c r="A1" s="63" t="s">
        <v>67</v>
      </c>
      <c r="B1" s="63" t="s">
        <v>180</v>
      </c>
      <c r="C1" s="63" t="s">
        <v>181</v>
      </c>
      <c r="D1" s="63" t="s">
        <v>155</v>
      </c>
      <c r="E1" s="63" t="s">
        <v>182</v>
      </c>
      <c r="F1" s="63" t="s">
        <v>183</v>
      </c>
      <c r="G1" s="63" t="s">
        <v>184</v>
      </c>
      <c r="H1" s="63" t="s">
        <v>185</v>
      </c>
      <c r="I1" s="63" t="s">
        <v>186</v>
      </c>
      <c r="J1" s="63" t="s">
        <v>187</v>
      </c>
      <c r="K1" s="187" t="s">
        <v>188</v>
      </c>
      <c r="L1" s="187"/>
      <c r="M1" s="187"/>
      <c r="N1" s="187"/>
      <c r="O1" s="187"/>
      <c r="P1" s="187" t="s">
        <v>189</v>
      </c>
      <c r="Q1" s="187"/>
      <c r="R1" s="187"/>
      <c r="S1" s="187"/>
      <c r="T1" s="187"/>
      <c r="U1" s="187" t="s">
        <v>190</v>
      </c>
      <c r="V1" s="187"/>
      <c r="W1" s="187"/>
      <c r="X1" s="187"/>
      <c r="Y1" s="187"/>
      <c r="Z1" s="63"/>
      <c r="AA1" s="63"/>
      <c r="AB1" s="63"/>
    </row>
    <row r="2" spans="1:28" s="99" customFormat="1" x14ac:dyDescent="0.2">
      <c r="A2" s="63" t="s">
        <v>67</v>
      </c>
      <c r="B2" s="63"/>
      <c r="C2" s="63"/>
      <c r="D2" s="63"/>
      <c r="E2" s="63"/>
      <c r="F2" s="63"/>
      <c r="G2" s="63"/>
      <c r="H2" s="63"/>
      <c r="I2" s="63"/>
      <c r="J2" s="63"/>
      <c r="K2" s="187" t="s">
        <v>191</v>
      </c>
      <c r="L2" s="187"/>
      <c r="M2" s="187" t="s">
        <v>192</v>
      </c>
      <c r="N2" s="187"/>
      <c r="O2" s="63" t="s">
        <v>193</v>
      </c>
      <c r="P2" s="187" t="s">
        <v>191</v>
      </c>
      <c r="Q2" s="187"/>
      <c r="R2" s="187" t="s">
        <v>192</v>
      </c>
      <c r="S2" s="187"/>
      <c r="T2" s="63" t="s">
        <v>193</v>
      </c>
      <c r="U2" s="187" t="s">
        <v>191</v>
      </c>
      <c r="V2" s="187"/>
      <c r="W2" s="187" t="s">
        <v>192</v>
      </c>
      <c r="X2" s="187"/>
      <c r="Y2" s="63" t="s">
        <v>193</v>
      </c>
      <c r="Z2" s="63"/>
      <c r="AA2" s="63"/>
      <c r="AB2" s="63"/>
    </row>
    <row r="3" spans="1:28" s="101" customFormat="1" x14ac:dyDescent="0.2">
      <c r="A3" s="64" t="s">
        <v>71</v>
      </c>
      <c r="B3" s="64" t="s">
        <v>72</v>
      </c>
      <c r="C3" s="64" t="s">
        <v>73</v>
      </c>
      <c r="D3" s="64" t="s">
        <v>72</v>
      </c>
      <c r="E3" s="64" t="s">
        <v>73</v>
      </c>
      <c r="F3" s="64" t="s">
        <v>73</v>
      </c>
      <c r="G3" s="64" t="s">
        <v>73</v>
      </c>
      <c r="H3" s="64" t="s">
        <v>73</v>
      </c>
      <c r="I3" s="64" t="s">
        <v>73</v>
      </c>
      <c r="J3" s="64" t="s">
        <v>73</v>
      </c>
      <c r="K3" s="188" t="s">
        <v>194</v>
      </c>
      <c r="L3" s="188"/>
      <c r="M3" s="188"/>
      <c r="N3" s="188"/>
      <c r="O3" s="188"/>
      <c r="P3" s="188" t="s">
        <v>194</v>
      </c>
      <c r="Q3" s="188"/>
      <c r="R3" s="188"/>
      <c r="S3" s="188"/>
      <c r="T3" s="188"/>
      <c r="U3" s="188" t="s">
        <v>194</v>
      </c>
      <c r="V3" s="188"/>
      <c r="W3" s="188"/>
      <c r="X3" s="188"/>
      <c r="Y3" s="188"/>
      <c r="Z3" s="64"/>
      <c r="AA3" s="64"/>
      <c r="AB3" s="64"/>
    </row>
    <row r="4" spans="1:28" s="101" customFormat="1" x14ac:dyDescent="0.2">
      <c r="A4" s="64" t="s">
        <v>75</v>
      </c>
      <c r="B4" s="64"/>
      <c r="C4" s="64"/>
      <c r="D4" s="64" t="s">
        <v>76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</row>
    <row r="5" spans="1:28" s="99" customFormat="1" x14ac:dyDescent="0.2">
      <c r="A5" s="67" t="s">
        <v>77</v>
      </c>
      <c r="B5" s="67"/>
      <c r="C5" s="67"/>
      <c r="D5" s="67" t="s">
        <v>80</v>
      </c>
      <c r="E5" s="67" t="s">
        <v>195</v>
      </c>
      <c r="F5" s="67" t="s">
        <v>196</v>
      </c>
      <c r="G5" s="45" t="s">
        <v>1293</v>
      </c>
      <c r="H5" s="67" t="s">
        <v>197</v>
      </c>
      <c r="I5" s="67" t="s">
        <v>198</v>
      </c>
      <c r="J5" s="67" t="s">
        <v>199</v>
      </c>
      <c r="K5" s="67" t="s">
        <v>200</v>
      </c>
      <c r="L5" s="67"/>
      <c r="M5" s="67" t="s">
        <v>201</v>
      </c>
      <c r="N5" s="67"/>
      <c r="O5" s="67" t="s">
        <v>202</v>
      </c>
      <c r="P5" s="67" t="s">
        <v>200</v>
      </c>
      <c r="Q5" s="67"/>
      <c r="R5" s="67" t="s">
        <v>201</v>
      </c>
      <c r="S5" s="67"/>
      <c r="T5" s="67" t="s">
        <v>202</v>
      </c>
      <c r="U5" s="67" t="s">
        <v>200</v>
      </c>
      <c r="V5" s="67"/>
      <c r="W5" s="67" t="s">
        <v>201</v>
      </c>
      <c r="X5" s="67"/>
      <c r="Y5" s="67" t="s">
        <v>202</v>
      </c>
      <c r="Z5" s="63" t="s">
        <v>453</v>
      </c>
      <c r="AA5" s="63" t="s">
        <v>453</v>
      </c>
      <c r="AB5" s="63" t="s">
        <v>453</v>
      </c>
    </row>
    <row r="6" spans="1:28" x14ac:dyDescent="0.2">
      <c r="B6" s="57" t="s">
        <v>203</v>
      </c>
      <c r="C6" s="57">
        <v>1</v>
      </c>
      <c r="D6" s="57" t="s">
        <v>157</v>
      </c>
      <c r="E6" s="57">
        <v>1</v>
      </c>
      <c r="F6" s="65">
        <f>VLOOKUP(D6,防御塔!$A$2:$N$17,7+C6,FALSE)</f>
        <v>150</v>
      </c>
      <c r="G6" s="57">
        <v>100</v>
      </c>
      <c r="H6" s="57">
        <v>0</v>
      </c>
      <c r="I6" s="57">
        <v>0</v>
      </c>
      <c r="J6" s="57">
        <v>0</v>
      </c>
      <c r="K6" s="68" t="s">
        <v>204</v>
      </c>
      <c r="L6" s="68" t="s">
        <v>85</v>
      </c>
      <c r="M6" s="68" t="s">
        <v>205</v>
      </c>
      <c r="N6" s="68"/>
      <c r="O6" s="65">
        <f>F6</f>
        <v>150</v>
      </c>
      <c r="P6" s="57" t="s">
        <v>206</v>
      </c>
      <c r="Q6" s="68" t="s">
        <v>84</v>
      </c>
      <c r="R6" s="68" t="s">
        <v>205</v>
      </c>
      <c r="S6" s="68"/>
      <c r="T6" s="65">
        <f>ROUND(1/VLOOKUP(D6,防御塔!$A$2:$N$17,5,FALSE),1)</f>
        <v>2</v>
      </c>
      <c r="U6" s="57" t="s">
        <v>207</v>
      </c>
      <c r="V6" s="68"/>
      <c r="W6" s="68" t="s">
        <v>207</v>
      </c>
      <c r="X6" s="68"/>
      <c r="Y6" s="68"/>
    </row>
    <row r="7" spans="1:28" x14ac:dyDescent="0.2">
      <c r="B7" s="57" t="s">
        <v>203</v>
      </c>
      <c r="C7" s="57">
        <v>2</v>
      </c>
      <c r="D7" s="57" t="s">
        <v>33</v>
      </c>
      <c r="E7" s="57">
        <v>1</v>
      </c>
      <c r="F7" s="65">
        <f>VLOOKUP(D7,防御塔!$A$2:$N$17,7+C7,FALSE)</f>
        <v>675</v>
      </c>
      <c r="G7" s="57">
        <v>100</v>
      </c>
      <c r="H7" s="57">
        <v>0</v>
      </c>
      <c r="I7" s="57">
        <v>0</v>
      </c>
      <c r="J7" s="57">
        <v>0</v>
      </c>
      <c r="K7" s="57" t="s">
        <v>208</v>
      </c>
      <c r="L7" s="68" t="s">
        <v>85</v>
      </c>
      <c r="M7" s="68" t="s">
        <v>205</v>
      </c>
      <c r="N7" s="68"/>
      <c r="O7" s="65">
        <f t="shared" ref="O7:O26" si="0">F7</f>
        <v>675</v>
      </c>
      <c r="P7" s="57" t="s">
        <v>206</v>
      </c>
      <c r="Q7" s="68" t="s">
        <v>84</v>
      </c>
      <c r="R7" s="68" t="s">
        <v>205</v>
      </c>
      <c r="T7" s="65">
        <f>ROUND(1/VLOOKUP(D7,防御塔!$A$2:$N$17,5,FALSE),1)</f>
        <v>2</v>
      </c>
      <c r="U7" s="57" t="s">
        <v>207</v>
      </c>
      <c r="W7" s="68" t="s">
        <v>207</v>
      </c>
    </row>
    <row r="8" spans="1:28" x14ac:dyDescent="0.2">
      <c r="B8" s="57" t="s">
        <v>203</v>
      </c>
      <c r="C8" s="57">
        <v>3</v>
      </c>
      <c r="D8" s="57" t="s">
        <v>33</v>
      </c>
      <c r="E8" s="57">
        <v>1</v>
      </c>
      <c r="F8" s="65">
        <f>VLOOKUP(D8,防御塔!$A$2:$N$17,7+C8,FALSE)</f>
        <v>2076</v>
      </c>
      <c r="G8" s="123">
        <f>防御塔!M3*100</f>
        <v>200</v>
      </c>
      <c r="H8" s="123">
        <f>防御塔!L3*100</f>
        <v>15</v>
      </c>
      <c r="I8" s="57">
        <v>0</v>
      </c>
      <c r="J8" s="57">
        <v>0</v>
      </c>
      <c r="K8" s="57" t="s">
        <v>208</v>
      </c>
      <c r="L8" s="68" t="s">
        <v>85</v>
      </c>
      <c r="M8" s="68" t="s">
        <v>205</v>
      </c>
      <c r="N8" s="68"/>
      <c r="O8" s="65">
        <f t="shared" si="0"/>
        <v>2076</v>
      </c>
      <c r="P8" s="57" t="s">
        <v>206</v>
      </c>
      <c r="Q8" s="68" t="s">
        <v>84</v>
      </c>
      <c r="R8" s="68" t="s">
        <v>205</v>
      </c>
      <c r="T8" s="65">
        <f>ROUND(1/VLOOKUP(D8,防御塔!$A$2:$N$17,5,FALSE),1)</f>
        <v>2</v>
      </c>
      <c r="U8" s="57" t="s">
        <v>207</v>
      </c>
      <c r="W8" s="68" t="s">
        <v>207</v>
      </c>
    </row>
    <row r="9" spans="1:28" x14ac:dyDescent="0.2">
      <c r="B9" s="57" t="s">
        <v>209</v>
      </c>
      <c r="C9" s="57">
        <v>1</v>
      </c>
      <c r="D9" s="57" t="s">
        <v>34</v>
      </c>
      <c r="E9" s="57">
        <v>1</v>
      </c>
      <c r="F9" s="65">
        <f>VLOOKUP(D9,防御塔!$A$2:$N$17,7+C9,FALSE)</f>
        <v>50</v>
      </c>
      <c r="G9" s="57">
        <v>100</v>
      </c>
      <c r="H9" s="57">
        <v>0</v>
      </c>
      <c r="I9" s="57">
        <v>0</v>
      </c>
      <c r="J9" s="57">
        <v>0</v>
      </c>
      <c r="K9" s="57" t="s">
        <v>208</v>
      </c>
      <c r="L9" s="68" t="s">
        <v>85</v>
      </c>
      <c r="M9" s="68" t="s">
        <v>205</v>
      </c>
      <c r="N9" s="68"/>
      <c r="O9" s="65">
        <f t="shared" si="0"/>
        <v>50</v>
      </c>
      <c r="P9" s="57" t="s">
        <v>206</v>
      </c>
      <c r="Q9" s="68" t="s">
        <v>84</v>
      </c>
      <c r="R9" s="68" t="s">
        <v>205</v>
      </c>
      <c r="T9" s="65">
        <f>ROUND(1/VLOOKUP(D9,防御塔!$A$2:$N$17,5,FALSE),1)</f>
        <v>2</v>
      </c>
      <c r="U9" s="57" t="s">
        <v>207</v>
      </c>
      <c r="W9" s="68" t="s">
        <v>207</v>
      </c>
    </row>
    <row r="10" spans="1:28" x14ac:dyDescent="0.2">
      <c r="B10" s="57" t="s">
        <v>209</v>
      </c>
      <c r="C10" s="57">
        <v>2</v>
      </c>
      <c r="D10" s="57" t="s">
        <v>34</v>
      </c>
      <c r="E10" s="57">
        <v>1</v>
      </c>
      <c r="F10" s="65">
        <f>VLOOKUP(D10,防御塔!$A$2:$N$17,7+C10,FALSE)</f>
        <v>225</v>
      </c>
      <c r="G10" s="57">
        <v>100</v>
      </c>
      <c r="H10" s="57">
        <v>0</v>
      </c>
      <c r="I10" s="57">
        <v>0</v>
      </c>
      <c r="J10" s="57">
        <v>0</v>
      </c>
      <c r="K10" s="57" t="s">
        <v>208</v>
      </c>
      <c r="L10" s="68" t="s">
        <v>85</v>
      </c>
      <c r="M10" s="68" t="s">
        <v>205</v>
      </c>
      <c r="N10" s="68"/>
      <c r="O10" s="65">
        <f t="shared" si="0"/>
        <v>225</v>
      </c>
      <c r="P10" s="57" t="s">
        <v>206</v>
      </c>
      <c r="Q10" s="68" t="s">
        <v>84</v>
      </c>
      <c r="R10" s="68" t="s">
        <v>205</v>
      </c>
      <c r="T10" s="65">
        <f>ROUND(1/VLOOKUP(D10,防御塔!$A$2:$N$17,5,FALSE),1)</f>
        <v>2</v>
      </c>
      <c r="U10" s="57" t="s">
        <v>207</v>
      </c>
      <c r="W10" s="68" t="s">
        <v>207</v>
      </c>
    </row>
    <row r="11" spans="1:28" x14ac:dyDescent="0.2">
      <c r="B11" s="57" t="s">
        <v>209</v>
      </c>
      <c r="C11" s="57">
        <v>3</v>
      </c>
      <c r="D11" s="57" t="s">
        <v>34</v>
      </c>
      <c r="E11" s="57">
        <v>1</v>
      </c>
      <c r="F11" s="65">
        <f>VLOOKUP(D11,防御塔!$A$2:$N$17,7+C11,FALSE)</f>
        <v>900</v>
      </c>
      <c r="G11" s="57">
        <v>100</v>
      </c>
      <c r="H11" s="57">
        <v>0</v>
      </c>
      <c r="I11" s="57">
        <v>0</v>
      </c>
      <c r="J11" s="57">
        <v>0</v>
      </c>
      <c r="K11" s="57" t="s">
        <v>208</v>
      </c>
      <c r="L11" s="68" t="s">
        <v>85</v>
      </c>
      <c r="M11" s="68" t="s">
        <v>205</v>
      </c>
      <c r="N11" s="68"/>
      <c r="O11" s="65">
        <f t="shared" si="0"/>
        <v>900</v>
      </c>
      <c r="P11" s="57" t="s">
        <v>206</v>
      </c>
      <c r="Q11" s="68" t="s">
        <v>84</v>
      </c>
      <c r="R11" s="68" t="s">
        <v>205</v>
      </c>
      <c r="T11" s="65">
        <f>ROUND(1/VLOOKUP(D11,防御塔!$A$2:$N$17,5,FALSE),1)</f>
        <v>2</v>
      </c>
      <c r="U11" s="57" t="s">
        <v>207</v>
      </c>
      <c r="W11" s="68" t="s">
        <v>207</v>
      </c>
    </row>
    <row r="12" spans="1:28" x14ac:dyDescent="0.2">
      <c r="B12" s="57" t="s">
        <v>210</v>
      </c>
      <c r="C12" s="57">
        <v>1</v>
      </c>
      <c r="D12" s="57" t="s">
        <v>35</v>
      </c>
      <c r="E12" s="57">
        <v>1</v>
      </c>
      <c r="F12" s="65">
        <f>VLOOKUP(D12,防御塔!$A$2:$N$17,7+C12,FALSE)</f>
        <v>16</v>
      </c>
      <c r="G12" s="57">
        <v>100</v>
      </c>
      <c r="H12" s="57">
        <v>0</v>
      </c>
      <c r="I12" s="57">
        <v>0</v>
      </c>
      <c r="J12" s="57">
        <v>0</v>
      </c>
      <c r="K12" s="57" t="s">
        <v>208</v>
      </c>
      <c r="L12" s="68" t="s">
        <v>85</v>
      </c>
      <c r="M12" s="68" t="s">
        <v>205</v>
      </c>
      <c r="N12" s="68"/>
      <c r="O12" s="65">
        <f t="shared" si="0"/>
        <v>16</v>
      </c>
      <c r="P12" s="57" t="s">
        <v>206</v>
      </c>
      <c r="Q12" s="68" t="s">
        <v>84</v>
      </c>
      <c r="R12" s="68" t="s">
        <v>205</v>
      </c>
      <c r="T12" s="65">
        <f>ROUND(1/VLOOKUP(D12,防御塔!$A$2:$N$17,5,FALSE),1)</f>
        <v>3.3</v>
      </c>
      <c r="U12" s="57" t="s">
        <v>207</v>
      </c>
      <c r="W12" s="68" t="s">
        <v>207</v>
      </c>
    </row>
    <row r="13" spans="1:28" x14ac:dyDescent="0.2">
      <c r="B13" s="57" t="s">
        <v>210</v>
      </c>
      <c r="C13" s="57">
        <v>2</v>
      </c>
      <c r="D13" s="57" t="s">
        <v>35</v>
      </c>
      <c r="E13" s="57">
        <v>1</v>
      </c>
      <c r="F13" s="65">
        <f>VLOOKUP(D13,防御塔!$A$2:$N$17,7+C13,FALSE)</f>
        <v>72</v>
      </c>
      <c r="G13" s="57">
        <v>100</v>
      </c>
      <c r="H13" s="57">
        <v>0</v>
      </c>
      <c r="I13" s="57">
        <v>0</v>
      </c>
      <c r="J13" s="57">
        <v>0</v>
      </c>
      <c r="K13" s="57" t="s">
        <v>208</v>
      </c>
      <c r="L13" s="68" t="s">
        <v>85</v>
      </c>
      <c r="M13" s="68" t="s">
        <v>205</v>
      </c>
      <c r="N13" s="68"/>
      <c r="O13" s="65">
        <f t="shared" si="0"/>
        <v>72</v>
      </c>
      <c r="P13" s="57" t="s">
        <v>206</v>
      </c>
      <c r="Q13" s="68" t="s">
        <v>84</v>
      </c>
      <c r="R13" s="68" t="s">
        <v>205</v>
      </c>
      <c r="T13" s="65">
        <f>ROUND(1/VLOOKUP(D13,防御塔!$A$2:$N$17,5,FALSE),1)</f>
        <v>3.3</v>
      </c>
      <c r="U13" s="57" t="s">
        <v>207</v>
      </c>
      <c r="W13" s="68" t="s">
        <v>207</v>
      </c>
    </row>
    <row r="14" spans="1:28" x14ac:dyDescent="0.2">
      <c r="B14" s="57" t="s">
        <v>210</v>
      </c>
      <c r="C14" s="57">
        <v>3</v>
      </c>
      <c r="D14" s="57" t="s">
        <v>35</v>
      </c>
      <c r="E14" s="57">
        <v>1</v>
      </c>
      <c r="F14" s="65">
        <f>VLOOKUP(D14,防御塔!$A$2:$N$17,7+C14,FALSE)</f>
        <v>144</v>
      </c>
      <c r="G14" s="57">
        <v>100</v>
      </c>
      <c r="H14" s="57">
        <v>0</v>
      </c>
      <c r="I14" s="57">
        <v>0</v>
      </c>
      <c r="J14" s="57">
        <v>0</v>
      </c>
      <c r="K14" s="57" t="s">
        <v>208</v>
      </c>
      <c r="L14" s="68" t="s">
        <v>85</v>
      </c>
      <c r="M14" s="68" t="s">
        <v>205</v>
      </c>
      <c r="N14" s="68"/>
      <c r="O14" s="65">
        <f t="shared" si="0"/>
        <v>144</v>
      </c>
      <c r="P14" s="57" t="s">
        <v>206</v>
      </c>
      <c r="Q14" s="68" t="s">
        <v>84</v>
      </c>
      <c r="R14" s="68" t="s">
        <v>205</v>
      </c>
      <c r="T14" s="65">
        <f>ROUND(1/VLOOKUP(D14,防御塔!$A$2:$N$17,5,FALSE),1)</f>
        <v>3.3</v>
      </c>
      <c r="U14" s="57" t="s">
        <v>207</v>
      </c>
      <c r="W14" s="68" t="s">
        <v>207</v>
      </c>
    </row>
    <row r="15" spans="1:28" x14ac:dyDescent="0.2">
      <c r="B15" s="57" t="s">
        <v>211</v>
      </c>
      <c r="C15" s="57">
        <v>1</v>
      </c>
      <c r="D15" s="57" t="s">
        <v>36</v>
      </c>
      <c r="E15" s="57">
        <v>1</v>
      </c>
      <c r="F15" s="65">
        <f>VLOOKUP(D15,防御塔!$A$2:$N$17,7+C15,FALSE)</f>
        <v>2</v>
      </c>
      <c r="G15" s="57">
        <v>100</v>
      </c>
      <c r="H15" s="57">
        <v>0</v>
      </c>
      <c r="I15" s="57">
        <v>0</v>
      </c>
      <c r="J15" s="57">
        <v>0</v>
      </c>
      <c r="K15" s="57" t="s">
        <v>208</v>
      </c>
      <c r="L15" s="68" t="s">
        <v>85</v>
      </c>
      <c r="M15" s="68" t="s">
        <v>205</v>
      </c>
      <c r="N15" s="68"/>
      <c r="O15" s="65">
        <f>F15*防御塔!$C$6/防御塔!$D$6</f>
        <v>16</v>
      </c>
      <c r="P15" s="57" t="s">
        <v>206</v>
      </c>
      <c r="Q15" s="68" t="s">
        <v>84</v>
      </c>
      <c r="R15" s="68" t="s">
        <v>205</v>
      </c>
      <c r="T15" s="65">
        <f>ROUND(1/VLOOKUP(D15,防御塔!$A$2:$N$17,5,FALSE),1)</f>
        <v>3.3</v>
      </c>
      <c r="U15" s="57" t="s">
        <v>207</v>
      </c>
      <c r="W15" s="68" t="s">
        <v>207</v>
      </c>
    </row>
    <row r="16" spans="1:28" x14ac:dyDescent="0.2">
      <c r="B16" s="57" t="s">
        <v>211</v>
      </c>
      <c r="C16" s="57">
        <v>2</v>
      </c>
      <c r="D16" s="57" t="s">
        <v>36</v>
      </c>
      <c r="E16" s="57">
        <v>1</v>
      </c>
      <c r="F16" s="65">
        <f>VLOOKUP(D16,防御塔!$A$2:$N$17,7+C16,FALSE)</f>
        <v>9</v>
      </c>
      <c r="G16" s="57">
        <v>100</v>
      </c>
      <c r="H16" s="57">
        <v>0</v>
      </c>
      <c r="I16" s="57">
        <v>0</v>
      </c>
      <c r="J16" s="57">
        <v>0</v>
      </c>
      <c r="K16" s="57" t="s">
        <v>208</v>
      </c>
      <c r="L16" s="68" t="s">
        <v>85</v>
      </c>
      <c r="M16" s="68" t="s">
        <v>205</v>
      </c>
      <c r="N16" s="68"/>
      <c r="O16" s="65">
        <f>F16*防御塔!$C$6/防御塔!$D$6</f>
        <v>72</v>
      </c>
      <c r="P16" s="57" t="s">
        <v>206</v>
      </c>
      <c r="Q16" s="68" t="s">
        <v>84</v>
      </c>
      <c r="R16" s="68" t="s">
        <v>205</v>
      </c>
      <c r="T16" s="65">
        <f>ROUND(1/VLOOKUP(D16,防御塔!$A$2:$N$17,5,FALSE),1)</f>
        <v>3.3</v>
      </c>
      <c r="U16" s="57" t="s">
        <v>207</v>
      </c>
      <c r="W16" s="68" t="s">
        <v>207</v>
      </c>
    </row>
    <row r="17" spans="2:25" x14ac:dyDescent="0.2">
      <c r="B17" s="57" t="s">
        <v>211</v>
      </c>
      <c r="C17" s="57">
        <v>3</v>
      </c>
      <c r="D17" s="57" t="s">
        <v>36</v>
      </c>
      <c r="E17" s="57">
        <v>1</v>
      </c>
      <c r="F17" s="65">
        <f>VLOOKUP(D17,防御塔!$A$2:$N$17,7+C17,FALSE)</f>
        <v>288</v>
      </c>
      <c r="G17" s="57">
        <v>100</v>
      </c>
      <c r="H17" s="57">
        <v>0</v>
      </c>
      <c r="I17" s="57">
        <v>0</v>
      </c>
      <c r="J17" s="57">
        <v>0</v>
      </c>
      <c r="K17" s="57" t="s">
        <v>208</v>
      </c>
      <c r="L17" s="68" t="s">
        <v>85</v>
      </c>
      <c r="M17" s="68" t="s">
        <v>205</v>
      </c>
      <c r="N17" s="68"/>
      <c r="O17" s="65">
        <f>F17</f>
        <v>288</v>
      </c>
      <c r="P17" s="57" t="s">
        <v>206</v>
      </c>
      <c r="Q17" s="68" t="s">
        <v>84</v>
      </c>
      <c r="R17" s="68" t="s">
        <v>205</v>
      </c>
      <c r="T17" s="65">
        <f>ROUND(1/VLOOKUP(D17,防御塔!$A$2:$N$17,5,FALSE),1)</f>
        <v>3.3</v>
      </c>
      <c r="U17" s="57" t="s">
        <v>207</v>
      </c>
      <c r="W17" s="68" t="s">
        <v>207</v>
      </c>
    </row>
    <row r="18" spans="2:25" x14ac:dyDescent="0.2">
      <c r="B18" s="57" t="s">
        <v>212</v>
      </c>
      <c r="C18" s="57">
        <v>1</v>
      </c>
      <c r="D18" s="57" t="s">
        <v>37</v>
      </c>
      <c r="E18" s="57">
        <v>1</v>
      </c>
      <c r="F18" s="65">
        <f>VLOOKUP(D18,防御塔!$A$2:$N$17,7+C18,FALSE)</f>
        <v>1200</v>
      </c>
      <c r="G18" s="57">
        <v>100</v>
      </c>
      <c r="H18" s="57">
        <v>0</v>
      </c>
      <c r="I18" s="57">
        <v>0</v>
      </c>
      <c r="J18" s="57">
        <v>0</v>
      </c>
      <c r="K18" s="57" t="s">
        <v>208</v>
      </c>
      <c r="L18" s="68" t="s">
        <v>85</v>
      </c>
      <c r="M18" s="68" t="s">
        <v>205</v>
      </c>
      <c r="N18" s="68"/>
      <c r="O18" s="65">
        <f t="shared" si="0"/>
        <v>1200</v>
      </c>
      <c r="P18" s="57" t="s">
        <v>206</v>
      </c>
      <c r="Q18" s="68" t="s">
        <v>84</v>
      </c>
      <c r="R18" s="68" t="s">
        <v>205</v>
      </c>
      <c r="T18" s="65">
        <f>ROUND(1/VLOOKUP(D18,防御塔!$A$2:$N$17,5,FALSE),1)</f>
        <v>0.3</v>
      </c>
      <c r="U18" s="57" t="s">
        <v>207</v>
      </c>
      <c r="W18" s="68" t="s">
        <v>207</v>
      </c>
    </row>
    <row r="19" spans="2:25" x14ac:dyDescent="0.2">
      <c r="B19" s="57" t="s">
        <v>212</v>
      </c>
      <c r="C19" s="57">
        <v>2</v>
      </c>
      <c r="D19" s="57" t="s">
        <v>37</v>
      </c>
      <c r="E19" s="57">
        <v>1</v>
      </c>
      <c r="F19" s="65">
        <f>VLOOKUP(D19,防御塔!$A$2:$N$17,7+C19,FALSE)</f>
        <v>5400</v>
      </c>
      <c r="G19" s="57">
        <v>100</v>
      </c>
      <c r="H19" s="57">
        <v>0</v>
      </c>
      <c r="I19" s="57">
        <v>0</v>
      </c>
      <c r="J19" s="57">
        <v>0</v>
      </c>
      <c r="K19" s="57" t="s">
        <v>208</v>
      </c>
      <c r="L19" s="68" t="s">
        <v>85</v>
      </c>
      <c r="M19" s="68" t="s">
        <v>205</v>
      </c>
      <c r="N19" s="68"/>
      <c r="O19" s="65">
        <f t="shared" si="0"/>
        <v>5400</v>
      </c>
      <c r="P19" s="57" t="s">
        <v>206</v>
      </c>
      <c r="Q19" s="68" t="s">
        <v>84</v>
      </c>
      <c r="R19" s="68" t="s">
        <v>205</v>
      </c>
      <c r="T19" s="65">
        <f>ROUND(1/VLOOKUP(D19,防御塔!$A$2:$N$17,5,FALSE),1)</f>
        <v>0.3</v>
      </c>
      <c r="U19" s="57" t="s">
        <v>207</v>
      </c>
      <c r="W19" s="68" t="s">
        <v>207</v>
      </c>
    </row>
    <row r="20" spans="2:25" x14ac:dyDescent="0.2">
      <c r="B20" s="57" t="s">
        <v>212</v>
      </c>
      <c r="C20" s="57">
        <v>3</v>
      </c>
      <c r="D20" s="57" t="s">
        <v>37</v>
      </c>
      <c r="E20" s="57">
        <v>1</v>
      </c>
      <c r="F20" s="65">
        <f>VLOOKUP(D20,防御塔!$A$2:$N$17,7+C20,FALSE)</f>
        <v>7200</v>
      </c>
      <c r="G20" s="57">
        <v>100</v>
      </c>
      <c r="H20" s="57">
        <v>0</v>
      </c>
      <c r="I20" s="57">
        <v>0</v>
      </c>
      <c r="J20" s="57">
        <v>0</v>
      </c>
      <c r="K20" s="57" t="s">
        <v>208</v>
      </c>
      <c r="L20" s="68" t="s">
        <v>85</v>
      </c>
      <c r="M20" s="68" t="s">
        <v>205</v>
      </c>
      <c r="N20" s="68"/>
      <c r="O20" s="65">
        <f t="shared" si="0"/>
        <v>7200</v>
      </c>
      <c r="P20" s="57" t="s">
        <v>206</v>
      </c>
      <c r="Q20" s="68" t="s">
        <v>84</v>
      </c>
      <c r="R20" s="68" t="s">
        <v>205</v>
      </c>
      <c r="T20" s="65">
        <f>ROUND(1/VLOOKUP(D20,防御塔!$A$2:$N$17,5,FALSE),1)</f>
        <v>0.3</v>
      </c>
      <c r="U20" s="57" t="s">
        <v>207</v>
      </c>
      <c r="W20" s="68" t="s">
        <v>207</v>
      </c>
    </row>
    <row r="21" spans="2:25" x14ac:dyDescent="0.2">
      <c r="B21" s="57" t="s">
        <v>213</v>
      </c>
      <c r="C21" s="57">
        <v>1</v>
      </c>
      <c r="D21" s="57" t="s">
        <v>38</v>
      </c>
      <c r="E21" s="57">
        <v>1</v>
      </c>
      <c r="F21" s="65">
        <f>VLOOKUP(D21,防御塔!$A$2:$N$17,7+C21,FALSE)</f>
        <v>100</v>
      </c>
      <c r="G21" s="57">
        <v>100</v>
      </c>
      <c r="H21" s="57">
        <v>0</v>
      </c>
      <c r="I21" s="57">
        <v>0</v>
      </c>
      <c r="J21" s="57">
        <v>0</v>
      </c>
      <c r="K21" s="57" t="s">
        <v>208</v>
      </c>
      <c r="L21" s="68" t="s">
        <v>85</v>
      </c>
      <c r="M21" s="68" t="s">
        <v>205</v>
      </c>
      <c r="N21" s="68"/>
      <c r="O21" s="65">
        <f>F21*防御塔!$C$8/防御塔!$D$8</f>
        <v>800</v>
      </c>
      <c r="P21" s="57" t="s">
        <v>206</v>
      </c>
      <c r="Q21" s="68" t="s">
        <v>84</v>
      </c>
      <c r="R21" s="68" t="s">
        <v>205</v>
      </c>
      <c r="T21" s="65">
        <f>ROUND(1/VLOOKUP(D21,防御塔!$A$2:$N$17,5,FALSE),1)</f>
        <v>1</v>
      </c>
      <c r="U21" s="57" t="s">
        <v>207</v>
      </c>
      <c r="W21" s="68" t="s">
        <v>207</v>
      </c>
    </row>
    <row r="22" spans="2:25" x14ac:dyDescent="0.2">
      <c r="B22" s="57" t="s">
        <v>213</v>
      </c>
      <c r="C22" s="57">
        <v>2</v>
      </c>
      <c r="D22" s="57" t="s">
        <v>38</v>
      </c>
      <c r="E22" s="57">
        <v>1</v>
      </c>
      <c r="F22" s="65">
        <f>VLOOKUP(D22,防御塔!$A$2:$N$17,7+C22,FALSE)</f>
        <v>450</v>
      </c>
      <c r="G22" s="57">
        <v>100</v>
      </c>
      <c r="H22" s="57">
        <v>0</v>
      </c>
      <c r="I22" s="57">
        <v>0</v>
      </c>
      <c r="J22" s="57">
        <v>0</v>
      </c>
      <c r="K22" s="57" t="s">
        <v>208</v>
      </c>
      <c r="L22" s="68" t="s">
        <v>85</v>
      </c>
      <c r="M22" s="68" t="s">
        <v>205</v>
      </c>
      <c r="N22" s="68"/>
      <c r="O22" s="65">
        <f>F22*防御塔!$C$8/防御塔!$D$8</f>
        <v>3600</v>
      </c>
      <c r="P22" s="57" t="s">
        <v>206</v>
      </c>
      <c r="Q22" s="68" t="s">
        <v>84</v>
      </c>
      <c r="R22" s="68" t="s">
        <v>205</v>
      </c>
      <c r="T22" s="65">
        <f>ROUND(1/VLOOKUP(D22,防御塔!$A$2:$N$17,5,FALSE),1)</f>
        <v>1</v>
      </c>
      <c r="U22" s="57" t="s">
        <v>207</v>
      </c>
      <c r="W22" s="68" t="s">
        <v>207</v>
      </c>
    </row>
    <row r="23" spans="2:25" x14ac:dyDescent="0.2">
      <c r="B23" s="57" t="s">
        <v>213</v>
      </c>
      <c r="C23" s="57">
        <v>3</v>
      </c>
      <c r="D23" s="57" t="s">
        <v>38</v>
      </c>
      <c r="E23" s="57">
        <v>1</v>
      </c>
      <c r="F23" s="65">
        <f>VLOOKUP(D23,防御塔!$A$2:$N$17,7+C23,FALSE)</f>
        <v>900</v>
      </c>
      <c r="G23" s="57">
        <v>100</v>
      </c>
      <c r="H23" s="57">
        <v>0</v>
      </c>
      <c r="I23" s="57">
        <v>0</v>
      </c>
      <c r="J23" s="57">
        <v>0</v>
      </c>
      <c r="K23" s="57" t="s">
        <v>208</v>
      </c>
      <c r="L23" s="68" t="s">
        <v>85</v>
      </c>
      <c r="M23" s="68" t="s">
        <v>205</v>
      </c>
      <c r="N23" s="68"/>
      <c r="O23" s="65">
        <f>F23*防御塔!$C$8/防御塔!$D$8</f>
        <v>7200</v>
      </c>
      <c r="P23" s="57" t="s">
        <v>206</v>
      </c>
      <c r="Q23" s="68" t="s">
        <v>84</v>
      </c>
      <c r="R23" s="68" t="s">
        <v>205</v>
      </c>
      <c r="T23" s="65">
        <f>ROUND(1/VLOOKUP(D23,防御塔!$A$2:$N$17,5,FALSE),1)</f>
        <v>1</v>
      </c>
      <c r="U23" s="57" t="s">
        <v>207</v>
      </c>
      <c r="W23" s="68" t="s">
        <v>207</v>
      </c>
    </row>
    <row r="24" spans="2:25" x14ac:dyDescent="0.2">
      <c r="B24" s="57" t="s">
        <v>214</v>
      </c>
      <c r="C24" s="57">
        <v>1</v>
      </c>
      <c r="D24" s="57" t="s">
        <v>39</v>
      </c>
      <c r="E24" s="57">
        <v>1</v>
      </c>
      <c r="F24" s="65">
        <f>VLOOKUP(D24,防御塔!$A$2:$N$17,7+C24,FALSE)</f>
        <v>12</v>
      </c>
      <c r="G24" s="57">
        <v>100</v>
      </c>
      <c r="H24" s="57">
        <v>0</v>
      </c>
      <c r="I24" s="57">
        <v>0</v>
      </c>
      <c r="J24" s="57">
        <v>0</v>
      </c>
      <c r="K24" s="57" t="s">
        <v>208</v>
      </c>
      <c r="L24" s="68" t="s">
        <v>85</v>
      </c>
      <c r="M24" s="68" t="s">
        <v>205</v>
      </c>
      <c r="N24" s="68"/>
      <c r="O24" s="65">
        <f t="shared" si="0"/>
        <v>12</v>
      </c>
      <c r="P24" s="57" t="s">
        <v>206</v>
      </c>
      <c r="Q24" s="68" t="s">
        <v>84</v>
      </c>
      <c r="R24" s="68" t="s">
        <v>205</v>
      </c>
      <c r="T24" s="65">
        <f>ROUND(1/VLOOKUP(D24,防御塔!$A$2:$N$17,5,FALSE),1)</f>
        <v>1</v>
      </c>
      <c r="U24" s="57" t="s">
        <v>215</v>
      </c>
      <c r="V24" s="68" t="s">
        <v>41</v>
      </c>
      <c r="W24" s="68" t="s">
        <v>216</v>
      </c>
      <c r="Y24" s="65">
        <f>VLOOKUP(D24,防御塔!$A$2:$N$17,11+UnitPropertyCfg!C24,FALSE)*100</f>
        <v>25</v>
      </c>
    </row>
    <row r="25" spans="2:25" x14ac:dyDescent="0.2">
      <c r="B25" s="57" t="s">
        <v>214</v>
      </c>
      <c r="C25" s="57">
        <v>2</v>
      </c>
      <c r="D25" s="57" t="s">
        <v>39</v>
      </c>
      <c r="E25" s="57">
        <v>1</v>
      </c>
      <c r="F25" s="65">
        <f>VLOOKUP(D25,防御塔!$A$2:$N$17,7+C25,FALSE)</f>
        <v>54</v>
      </c>
      <c r="G25" s="57">
        <v>100</v>
      </c>
      <c r="H25" s="57">
        <v>0</v>
      </c>
      <c r="I25" s="57">
        <v>0</v>
      </c>
      <c r="J25" s="57">
        <v>0</v>
      </c>
      <c r="K25" s="57" t="s">
        <v>208</v>
      </c>
      <c r="L25" s="68" t="s">
        <v>85</v>
      </c>
      <c r="M25" s="68" t="s">
        <v>205</v>
      </c>
      <c r="N25" s="68"/>
      <c r="O25" s="65">
        <f t="shared" si="0"/>
        <v>54</v>
      </c>
      <c r="P25" s="57" t="s">
        <v>206</v>
      </c>
      <c r="Q25" s="68" t="s">
        <v>84</v>
      </c>
      <c r="R25" s="68" t="s">
        <v>205</v>
      </c>
      <c r="T25" s="65">
        <f>ROUND(1/VLOOKUP(D25,防御塔!$A$2:$N$17,5,FALSE),1)</f>
        <v>1</v>
      </c>
      <c r="U25" s="57" t="s">
        <v>215</v>
      </c>
      <c r="V25" s="68" t="s">
        <v>41</v>
      </c>
      <c r="W25" s="68" t="s">
        <v>216</v>
      </c>
      <c r="Y25" s="65">
        <f>VLOOKUP(D25,防御塔!$A$2:$N$17,11+UnitPropertyCfg!C25,FALSE)*100</f>
        <v>40</v>
      </c>
    </row>
    <row r="26" spans="2:25" x14ac:dyDescent="0.2">
      <c r="B26" s="57" t="s">
        <v>214</v>
      </c>
      <c r="C26" s="57">
        <v>3</v>
      </c>
      <c r="D26" s="57" t="s">
        <v>39</v>
      </c>
      <c r="E26" s="57">
        <v>1</v>
      </c>
      <c r="F26" s="65">
        <f>VLOOKUP(D26,防御塔!$A$2:$N$17,7+C26,FALSE)</f>
        <v>216</v>
      </c>
      <c r="G26" s="57">
        <v>100</v>
      </c>
      <c r="H26" s="57">
        <v>0</v>
      </c>
      <c r="I26" s="57">
        <v>0</v>
      </c>
      <c r="J26" s="57">
        <v>0</v>
      </c>
      <c r="K26" s="57" t="s">
        <v>208</v>
      </c>
      <c r="L26" s="68" t="s">
        <v>85</v>
      </c>
      <c r="M26" s="68" t="s">
        <v>205</v>
      </c>
      <c r="N26" s="68"/>
      <c r="O26" s="65">
        <f t="shared" si="0"/>
        <v>216</v>
      </c>
      <c r="P26" s="57" t="s">
        <v>206</v>
      </c>
      <c r="Q26" s="68" t="s">
        <v>84</v>
      </c>
      <c r="R26" s="68" t="s">
        <v>205</v>
      </c>
      <c r="T26" s="65">
        <f>ROUND(1/VLOOKUP(D26,防御塔!$A$2:$N$17,5,FALSE),1)</f>
        <v>1</v>
      </c>
      <c r="U26" s="57" t="s">
        <v>215</v>
      </c>
      <c r="V26" s="68" t="s">
        <v>41</v>
      </c>
      <c r="W26" s="68" t="s">
        <v>216</v>
      </c>
      <c r="Y26" s="65">
        <f>VLOOKUP(D26,防御塔!$A$2:$N$17,11+UnitPropertyCfg!C26,FALSE)*100</f>
        <v>50</v>
      </c>
    </row>
    <row r="27" spans="2:25" x14ac:dyDescent="0.2">
      <c r="B27" s="57" t="s">
        <v>217</v>
      </c>
      <c r="C27" s="57">
        <v>1</v>
      </c>
      <c r="D27" s="57" t="s">
        <v>40</v>
      </c>
      <c r="E27" s="57">
        <v>1</v>
      </c>
      <c r="F27" s="65">
        <f>VLOOKUP(D27,防御塔!$A$2:$N$17,7+C27,FALSE)</f>
        <v>15</v>
      </c>
      <c r="G27" s="57">
        <v>100</v>
      </c>
      <c r="H27" s="57">
        <v>0</v>
      </c>
      <c r="I27" s="57">
        <v>0</v>
      </c>
      <c r="J27" s="57">
        <v>0</v>
      </c>
      <c r="K27" s="57" t="s">
        <v>218</v>
      </c>
      <c r="L27" s="68" t="s">
        <v>219</v>
      </c>
      <c r="M27" s="68" t="s">
        <v>216</v>
      </c>
      <c r="N27" s="68"/>
      <c r="O27" s="65">
        <f>ROUND(1/(1-VLOOKUP(D27,防御塔!$A$2:$N$17,UnitPropertyCfg!C27+11,FALSE))-1,1)*100</f>
        <v>40</v>
      </c>
      <c r="P27" s="68"/>
      <c r="Q27" s="68"/>
      <c r="R27" s="68" t="s">
        <v>207</v>
      </c>
      <c r="U27" s="57" t="s">
        <v>207</v>
      </c>
      <c r="V27" s="68"/>
      <c r="W27" s="68" t="s">
        <v>207</v>
      </c>
    </row>
    <row r="28" spans="2:25" x14ac:dyDescent="0.2">
      <c r="B28" s="57" t="s">
        <v>217</v>
      </c>
      <c r="C28" s="57">
        <v>2</v>
      </c>
      <c r="D28" s="57" t="s">
        <v>40</v>
      </c>
      <c r="E28" s="57">
        <v>1</v>
      </c>
      <c r="F28" s="65">
        <f>VLOOKUP(D28,防御塔!$A$2:$N$17,7+C28,FALSE)</f>
        <v>67</v>
      </c>
      <c r="G28" s="57">
        <v>100</v>
      </c>
      <c r="H28" s="57">
        <v>0</v>
      </c>
      <c r="I28" s="57">
        <v>0</v>
      </c>
      <c r="J28" s="57">
        <v>0</v>
      </c>
      <c r="K28" s="57" t="s">
        <v>218</v>
      </c>
      <c r="L28" s="68" t="s">
        <v>219</v>
      </c>
      <c r="M28" s="68" t="s">
        <v>216</v>
      </c>
      <c r="N28" s="68"/>
      <c r="O28" s="65">
        <f>ROUND(1/(1-VLOOKUP(D28,防御塔!$A$2:$N$17,UnitPropertyCfg!C28+11,FALSE))-1,1)*100</f>
        <v>100</v>
      </c>
      <c r="P28" s="68"/>
      <c r="Q28" s="68"/>
      <c r="R28" s="68" t="s">
        <v>207</v>
      </c>
      <c r="U28" s="57" t="s">
        <v>207</v>
      </c>
      <c r="V28" s="68"/>
      <c r="W28" s="68" t="s">
        <v>207</v>
      </c>
    </row>
    <row r="29" spans="2:25" x14ac:dyDescent="0.2">
      <c r="B29" s="57" t="s">
        <v>217</v>
      </c>
      <c r="C29" s="57">
        <v>3</v>
      </c>
      <c r="D29" s="57" t="s">
        <v>40</v>
      </c>
      <c r="E29" s="57">
        <v>1</v>
      </c>
      <c r="F29" s="65">
        <f>VLOOKUP(D29,防御塔!$A$2:$N$17,7+C29,FALSE)</f>
        <v>270</v>
      </c>
      <c r="G29" s="57">
        <v>100</v>
      </c>
      <c r="H29" s="57">
        <v>0</v>
      </c>
      <c r="I29" s="57">
        <v>0</v>
      </c>
      <c r="J29" s="57">
        <v>0</v>
      </c>
      <c r="K29" s="57" t="s">
        <v>218</v>
      </c>
      <c r="L29" s="68" t="s">
        <v>219</v>
      </c>
      <c r="M29" s="68" t="s">
        <v>216</v>
      </c>
      <c r="N29" s="68"/>
      <c r="O29" s="65">
        <f>ROUND(1/(1-VLOOKUP(D29,防御塔!$A$2:$N$17,UnitPropertyCfg!C29+11,FALSE))-1,1)*100</f>
        <v>150</v>
      </c>
      <c r="P29" s="68"/>
      <c r="Q29" s="68"/>
      <c r="R29" s="68" t="s">
        <v>207</v>
      </c>
      <c r="U29" s="57" t="s">
        <v>207</v>
      </c>
      <c r="V29" s="68"/>
      <c r="W29" s="68" t="s">
        <v>207</v>
      </c>
    </row>
    <row r="30" spans="2:25" x14ac:dyDescent="0.2">
      <c r="B30" s="57" t="s">
        <v>1523</v>
      </c>
      <c r="C30" s="57">
        <v>1</v>
      </c>
      <c r="D30" s="57" t="s">
        <v>1501</v>
      </c>
      <c r="E30" s="57">
        <v>1</v>
      </c>
      <c r="F30" s="65">
        <f>VLOOKUP(D30,防御塔!$A$2:$N$17,7+C30,FALSE)</f>
        <v>50</v>
      </c>
      <c r="G30" s="57">
        <v>200</v>
      </c>
      <c r="H30" s="57">
        <v>0</v>
      </c>
      <c r="I30" s="57">
        <v>0</v>
      </c>
      <c r="J30" s="57">
        <v>0</v>
      </c>
      <c r="K30" s="57" t="s">
        <v>208</v>
      </c>
      <c r="L30" s="68" t="s">
        <v>1507</v>
      </c>
      <c r="M30" s="68" t="s">
        <v>205</v>
      </c>
      <c r="N30" s="68"/>
      <c r="O30" s="65">
        <f t="shared" ref="O30:O35" si="1">F30</f>
        <v>50</v>
      </c>
      <c r="P30" s="57" t="s">
        <v>206</v>
      </c>
      <c r="Q30" s="68" t="s">
        <v>84</v>
      </c>
      <c r="R30" s="68" t="s">
        <v>205</v>
      </c>
      <c r="T30" s="65">
        <f>ROUND(1/VLOOKUP(D30,防御塔!$A$2:$N$17,5,FALSE),1)</f>
        <v>1</v>
      </c>
      <c r="U30" s="57" t="s">
        <v>1508</v>
      </c>
      <c r="V30" s="68" t="s">
        <v>1504</v>
      </c>
      <c r="W30" s="68" t="s">
        <v>216</v>
      </c>
      <c r="Y30" s="65">
        <f>VLOOKUP(D30,防御塔!$A$2:$N$17,11+UnitPropertyCfg!C30,FALSE)*100</f>
        <v>1</v>
      </c>
    </row>
    <row r="31" spans="2:25" x14ac:dyDescent="0.2">
      <c r="B31" s="57" t="s">
        <v>1523</v>
      </c>
      <c r="C31" s="57">
        <v>2</v>
      </c>
      <c r="D31" s="57" t="s">
        <v>1501</v>
      </c>
      <c r="E31" s="57">
        <v>1</v>
      </c>
      <c r="F31" s="65">
        <f>VLOOKUP(D31,防御塔!$A$2:$N$17,7+C31,FALSE)</f>
        <v>225</v>
      </c>
      <c r="G31" s="57">
        <v>200</v>
      </c>
      <c r="H31" s="57">
        <v>0</v>
      </c>
      <c r="I31" s="57">
        <v>0</v>
      </c>
      <c r="J31" s="57">
        <v>0</v>
      </c>
      <c r="K31" s="57" t="s">
        <v>208</v>
      </c>
      <c r="L31" s="68" t="s">
        <v>1507</v>
      </c>
      <c r="M31" s="68" t="s">
        <v>205</v>
      </c>
      <c r="N31" s="68"/>
      <c r="O31" s="65">
        <f t="shared" si="1"/>
        <v>225</v>
      </c>
      <c r="P31" s="57" t="s">
        <v>206</v>
      </c>
      <c r="Q31" s="68" t="s">
        <v>84</v>
      </c>
      <c r="R31" s="68" t="s">
        <v>205</v>
      </c>
      <c r="T31" s="65">
        <f>ROUND(1/VLOOKUP(D31,防御塔!$A$2:$N$17,5,FALSE),1)</f>
        <v>1</v>
      </c>
      <c r="U31" s="57" t="s">
        <v>1508</v>
      </c>
      <c r="V31" s="68" t="s">
        <v>1504</v>
      </c>
      <c r="W31" s="68" t="s">
        <v>216</v>
      </c>
      <c r="Y31" s="65">
        <f>VLOOKUP(D31,防御塔!$A$2:$N$17,11+UnitPropertyCfg!C31,FALSE)*100</f>
        <v>2</v>
      </c>
    </row>
    <row r="32" spans="2:25" x14ac:dyDescent="0.2">
      <c r="B32" s="57" t="s">
        <v>1523</v>
      </c>
      <c r="C32" s="57">
        <v>3</v>
      </c>
      <c r="D32" s="57" t="s">
        <v>1501</v>
      </c>
      <c r="E32" s="57">
        <v>1</v>
      </c>
      <c r="F32" s="65">
        <f>VLOOKUP(D32,防御塔!$A$2:$N$17,7+C32,FALSE)</f>
        <v>300</v>
      </c>
      <c r="G32" s="57">
        <v>200</v>
      </c>
      <c r="H32" s="57">
        <v>0</v>
      </c>
      <c r="I32" s="57">
        <v>0</v>
      </c>
      <c r="J32" s="57">
        <v>0</v>
      </c>
      <c r="K32" s="57" t="s">
        <v>208</v>
      </c>
      <c r="L32" s="68" t="s">
        <v>1507</v>
      </c>
      <c r="M32" s="68" t="s">
        <v>205</v>
      </c>
      <c r="N32" s="68"/>
      <c r="O32" s="65">
        <f t="shared" si="1"/>
        <v>300</v>
      </c>
      <c r="P32" s="57" t="s">
        <v>206</v>
      </c>
      <c r="Q32" s="68" t="s">
        <v>84</v>
      </c>
      <c r="R32" s="68" t="s">
        <v>205</v>
      </c>
      <c r="T32" s="65">
        <f>ROUND(1/VLOOKUP(D32,防御塔!$A$2:$N$17,5,FALSE),1)</f>
        <v>1</v>
      </c>
      <c r="U32" s="57" t="s">
        <v>1508</v>
      </c>
      <c r="V32" s="68" t="s">
        <v>1504</v>
      </c>
      <c r="W32" s="68" t="s">
        <v>216</v>
      </c>
      <c r="Y32" s="65">
        <f>VLOOKUP(D32,防御塔!$A$2:$N$17,11+UnitPropertyCfg!C32,FALSE)*100</f>
        <v>3</v>
      </c>
    </row>
    <row r="33" spans="2:25" x14ac:dyDescent="0.2">
      <c r="B33" s="57" t="s">
        <v>1551</v>
      </c>
      <c r="C33" s="57">
        <v>1</v>
      </c>
      <c r="D33" s="57" t="s">
        <v>1502</v>
      </c>
      <c r="E33" s="57">
        <v>1</v>
      </c>
      <c r="F33" s="65">
        <f>VLOOKUP(D33,防御塔!$A$2:$N$17,7+C33,FALSE)</f>
        <v>62</v>
      </c>
      <c r="G33" s="57">
        <v>200</v>
      </c>
      <c r="H33" s="57">
        <v>0</v>
      </c>
      <c r="I33" s="57">
        <v>0</v>
      </c>
      <c r="J33" s="57">
        <v>0</v>
      </c>
      <c r="K33" s="57" t="s">
        <v>208</v>
      </c>
      <c r="L33" s="68" t="s">
        <v>85</v>
      </c>
      <c r="M33" s="68" t="s">
        <v>205</v>
      </c>
      <c r="N33" s="68"/>
      <c r="O33" s="65">
        <f t="shared" si="1"/>
        <v>62</v>
      </c>
      <c r="P33" s="57" t="s">
        <v>206</v>
      </c>
      <c r="Q33" s="68" t="s">
        <v>84</v>
      </c>
      <c r="R33" s="68" t="s">
        <v>205</v>
      </c>
      <c r="T33" s="65">
        <f>ROUND(1/VLOOKUP(D33,防御塔!$A$2:$N$17,5,FALSE),1)</f>
        <v>1</v>
      </c>
      <c r="U33" s="57" t="s">
        <v>1552</v>
      </c>
      <c r="V33" s="68" t="s">
        <v>1550</v>
      </c>
      <c r="W33" s="68" t="s">
        <v>205</v>
      </c>
      <c r="Y33" s="65">
        <f>VLOOKUP(D33,防御塔!$A$2:$N$17,11+UnitPropertyCfg!C33,FALSE)</f>
        <v>1</v>
      </c>
    </row>
    <row r="34" spans="2:25" x14ac:dyDescent="0.2">
      <c r="B34" s="57" t="s">
        <v>1551</v>
      </c>
      <c r="C34" s="57">
        <v>2</v>
      </c>
      <c r="D34" s="57" t="s">
        <v>1502</v>
      </c>
      <c r="E34" s="57">
        <v>1</v>
      </c>
      <c r="F34" s="65">
        <f>VLOOKUP(D34,防御塔!$A$2:$N$17,7+C34,FALSE)</f>
        <v>279</v>
      </c>
      <c r="G34" s="57">
        <v>200</v>
      </c>
      <c r="H34" s="57">
        <v>0</v>
      </c>
      <c r="I34" s="57">
        <v>0</v>
      </c>
      <c r="J34" s="57">
        <v>0</v>
      </c>
      <c r="K34" s="57" t="s">
        <v>208</v>
      </c>
      <c r="L34" s="68" t="s">
        <v>85</v>
      </c>
      <c r="M34" s="68" t="s">
        <v>205</v>
      </c>
      <c r="N34" s="68"/>
      <c r="O34" s="65">
        <f t="shared" si="1"/>
        <v>279</v>
      </c>
      <c r="P34" s="57" t="s">
        <v>206</v>
      </c>
      <c r="Q34" s="68" t="s">
        <v>84</v>
      </c>
      <c r="R34" s="68" t="s">
        <v>205</v>
      </c>
      <c r="T34" s="65">
        <f>ROUND(1/VLOOKUP(D34,防御塔!$A$2:$N$17,5,FALSE),1)</f>
        <v>1</v>
      </c>
      <c r="U34" s="57" t="s">
        <v>1552</v>
      </c>
      <c r="V34" s="68" t="s">
        <v>1550</v>
      </c>
      <c r="W34" s="68" t="s">
        <v>205</v>
      </c>
      <c r="Y34" s="65">
        <f>VLOOKUP(D34,防御塔!$A$2:$N$17,11+UnitPropertyCfg!C34,FALSE)</f>
        <v>4</v>
      </c>
    </row>
    <row r="35" spans="2:25" x14ac:dyDescent="0.2">
      <c r="B35" s="57" t="s">
        <v>1551</v>
      </c>
      <c r="C35" s="57">
        <v>3</v>
      </c>
      <c r="D35" s="57" t="s">
        <v>1502</v>
      </c>
      <c r="E35" s="57">
        <v>1</v>
      </c>
      <c r="F35" s="65">
        <f>VLOOKUP(D35,防御塔!$A$2:$N$17,7+C35,FALSE)</f>
        <v>558</v>
      </c>
      <c r="G35" s="57">
        <v>200</v>
      </c>
      <c r="H35" s="57">
        <v>0</v>
      </c>
      <c r="I35" s="57">
        <v>0</v>
      </c>
      <c r="J35" s="57">
        <v>0</v>
      </c>
      <c r="K35" s="57" t="s">
        <v>208</v>
      </c>
      <c r="L35" s="68" t="s">
        <v>85</v>
      </c>
      <c r="M35" s="68" t="s">
        <v>205</v>
      </c>
      <c r="N35" s="68"/>
      <c r="O35" s="65">
        <f t="shared" si="1"/>
        <v>558</v>
      </c>
      <c r="P35" s="57" t="s">
        <v>206</v>
      </c>
      <c r="Q35" s="68" t="s">
        <v>84</v>
      </c>
      <c r="R35" s="68" t="s">
        <v>205</v>
      </c>
      <c r="T35" s="65">
        <f>ROUND(1/VLOOKUP(D35,防御塔!$A$2:$N$17,5,FALSE),1)</f>
        <v>1</v>
      </c>
      <c r="U35" s="57" t="s">
        <v>1552</v>
      </c>
      <c r="V35" s="68" t="s">
        <v>1550</v>
      </c>
      <c r="W35" s="68" t="s">
        <v>205</v>
      </c>
      <c r="Y35" s="65">
        <f>VLOOKUP(D35,防御塔!$A$2:$N$17,11+UnitPropertyCfg!C35,FALSE)</f>
        <v>15</v>
      </c>
    </row>
    <row r="36" spans="2:25" x14ac:dyDescent="0.2">
      <c r="B36" s="57" t="s">
        <v>1562</v>
      </c>
      <c r="C36" s="57">
        <v>1</v>
      </c>
      <c r="D36" s="57" t="s">
        <v>1553</v>
      </c>
      <c r="E36" s="57">
        <v>1</v>
      </c>
      <c r="F36" s="65">
        <f>VLOOKUP(D36,防御塔!$A$2:$N$17,7+C36,FALSE)</f>
        <v>2000</v>
      </c>
      <c r="G36" s="57">
        <v>200</v>
      </c>
      <c r="H36" s="57">
        <v>0</v>
      </c>
      <c r="I36" s="57">
        <v>0</v>
      </c>
      <c r="J36" s="57">
        <v>0</v>
      </c>
      <c r="K36" s="57" t="s">
        <v>208</v>
      </c>
      <c r="L36" s="68" t="s">
        <v>85</v>
      </c>
      <c r="M36" s="68" t="s">
        <v>205</v>
      </c>
      <c r="N36" s="68"/>
      <c r="O36" s="65">
        <f t="shared" ref="O36:O38" si="2">F36</f>
        <v>2000</v>
      </c>
      <c r="Q36" s="68"/>
      <c r="R36" s="68"/>
      <c r="T36" s="65"/>
      <c r="V36" s="68"/>
      <c r="W36" s="68"/>
    </row>
    <row r="37" spans="2:25" x14ac:dyDescent="0.2">
      <c r="B37" s="57" t="s">
        <v>1562</v>
      </c>
      <c r="C37" s="57">
        <v>2</v>
      </c>
      <c r="D37" s="57" t="s">
        <v>1553</v>
      </c>
      <c r="E37" s="57">
        <v>1</v>
      </c>
      <c r="F37" s="65">
        <f>VLOOKUP(D37,防御塔!$A$2:$N$17,7+C37,FALSE)</f>
        <v>9000</v>
      </c>
      <c r="G37" s="57">
        <v>200</v>
      </c>
      <c r="H37" s="57">
        <v>0</v>
      </c>
      <c r="I37" s="57">
        <v>0</v>
      </c>
      <c r="J37" s="57">
        <v>0</v>
      </c>
      <c r="K37" s="57" t="s">
        <v>208</v>
      </c>
      <c r="L37" s="68" t="s">
        <v>85</v>
      </c>
      <c r="M37" s="68" t="s">
        <v>205</v>
      </c>
      <c r="N37" s="68"/>
      <c r="O37" s="65">
        <f t="shared" si="2"/>
        <v>9000</v>
      </c>
      <c r="Q37" s="68"/>
      <c r="R37" s="68"/>
      <c r="T37" s="65"/>
      <c r="V37" s="68"/>
      <c r="W37" s="68"/>
    </row>
    <row r="38" spans="2:25" x14ac:dyDescent="0.2">
      <c r="B38" s="57" t="s">
        <v>1562</v>
      </c>
      <c r="C38" s="57">
        <v>3</v>
      </c>
      <c r="D38" s="57" t="s">
        <v>1553</v>
      </c>
      <c r="E38" s="57">
        <v>1</v>
      </c>
      <c r="F38" s="65">
        <f>VLOOKUP(D38,防御塔!$A$2:$N$17,7+C38,FALSE)</f>
        <v>36000</v>
      </c>
      <c r="G38" s="57">
        <v>200</v>
      </c>
      <c r="H38" s="57">
        <v>0</v>
      </c>
      <c r="I38" s="57">
        <v>0</v>
      </c>
      <c r="J38" s="57">
        <v>0</v>
      </c>
      <c r="K38" s="57" t="s">
        <v>208</v>
      </c>
      <c r="L38" s="68" t="s">
        <v>85</v>
      </c>
      <c r="M38" s="68" t="s">
        <v>205</v>
      </c>
      <c r="N38" s="68"/>
      <c r="O38" s="65">
        <f t="shared" si="2"/>
        <v>36000</v>
      </c>
      <c r="P38" s="6" t="s">
        <v>1563</v>
      </c>
      <c r="Q38" s="68" t="s">
        <v>388</v>
      </c>
      <c r="R38" s="6" t="s">
        <v>1565</v>
      </c>
      <c r="T38" s="132">
        <v>3</v>
      </c>
      <c r="V38" s="68"/>
      <c r="W38" s="68"/>
    </row>
    <row r="39" spans="2:25" x14ac:dyDescent="0.2">
      <c r="B39" s="76" t="s">
        <v>3220</v>
      </c>
      <c r="C39" s="57">
        <v>1</v>
      </c>
      <c r="D39" s="54" t="s">
        <v>3185</v>
      </c>
      <c r="E39" s="57">
        <v>1</v>
      </c>
      <c r="F39" s="65">
        <f>VLOOKUP(D39,防御塔!$A$2:$N$17,7+C39,FALSE)</f>
        <v>100</v>
      </c>
      <c r="G39" s="57">
        <v>200</v>
      </c>
      <c r="H39" s="57">
        <v>0</v>
      </c>
      <c r="I39" s="57">
        <v>0</v>
      </c>
      <c r="J39" s="57">
        <v>0</v>
      </c>
      <c r="K39" s="57" t="s">
        <v>208</v>
      </c>
      <c r="L39" s="68" t="s">
        <v>85</v>
      </c>
      <c r="M39" s="68" t="s">
        <v>205</v>
      </c>
      <c r="N39" s="68"/>
      <c r="O39" s="65">
        <f t="shared" ref="O39:O41" si="3">F39</f>
        <v>100</v>
      </c>
      <c r="P39" s="57" t="s">
        <v>206</v>
      </c>
      <c r="Q39" s="68" t="s">
        <v>84</v>
      </c>
      <c r="R39" s="68" t="s">
        <v>205</v>
      </c>
      <c r="T39" s="65">
        <f>ROUND(1/VLOOKUP(D39,防御塔!$A$2:$N$17,5,FALSE),1)</f>
        <v>0.5</v>
      </c>
      <c r="V39" s="68"/>
      <c r="W39" s="68"/>
    </row>
    <row r="40" spans="2:25" x14ac:dyDescent="0.2">
      <c r="B40" s="76" t="s">
        <v>3220</v>
      </c>
      <c r="C40" s="57">
        <v>2</v>
      </c>
      <c r="D40" s="54" t="s">
        <v>3185</v>
      </c>
      <c r="E40" s="57">
        <v>1</v>
      </c>
      <c r="F40" s="65">
        <f>VLOOKUP(D40,防御塔!$A$2:$N$17,7+C40,FALSE)</f>
        <v>450</v>
      </c>
      <c r="G40" s="57">
        <v>200</v>
      </c>
      <c r="H40" s="57">
        <v>0</v>
      </c>
      <c r="I40" s="57">
        <v>0</v>
      </c>
      <c r="J40" s="57">
        <v>0</v>
      </c>
      <c r="K40" s="57" t="s">
        <v>208</v>
      </c>
      <c r="L40" s="68" t="s">
        <v>85</v>
      </c>
      <c r="M40" s="68" t="s">
        <v>205</v>
      </c>
      <c r="N40" s="68"/>
      <c r="O40" s="65">
        <f t="shared" si="3"/>
        <v>450</v>
      </c>
      <c r="P40" s="57" t="s">
        <v>206</v>
      </c>
      <c r="Q40" s="68" t="s">
        <v>84</v>
      </c>
      <c r="R40" s="68" t="s">
        <v>205</v>
      </c>
      <c r="T40" s="65">
        <f>ROUND(1/VLOOKUP(D40,防御塔!$A$2:$N$17,5,FALSE),1)</f>
        <v>0.5</v>
      </c>
      <c r="V40" s="68"/>
      <c r="W40" s="68"/>
    </row>
    <row r="41" spans="2:25" x14ac:dyDescent="0.2">
      <c r="B41" s="76" t="s">
        <v>3220</v>
      </c>
      <c r="C41" s="57">
        <v>3</v>
      </c>
      <c r="D41" s="54" t="s">
        <v>3185</v>
      </c>
      <c r="E41" s="57">
        <v>1</v>
      </c>
      <c r="F41" s="65">
        <f>VLOOKUP(D41,防御塔!$A$2:$N$17,7+C41,FALSE)</f>
        <v>600</v>
      </c>
      <c r="G41" s="57">
        <v>200</v>
      </c>
      <c r="H41" s="57">
        <v>0</v>
      </c>
      <c r="I41" s="57">
        <v>0</v>
      </c>
      <c r="J41" s="57">
        <v>0</v>
      </c>
      <c r="K41" s="57" t="s">
        <v>208</v>
      </c>
      <c r="L41" s="68" t="s">
        <v>85</v>
      </c>
      <c r="M41" s="68" t="s">
        <v>205</v>
      </c>
      <c r="N41" s="68"/>
      <c r="O41" s="65">
        <f t="shared" si="3"/>
        <v>600</v>
      </c>
      <c r="P41" s="57" t="s">
        <v>206</v>
      </c>
      <c r="Q41" s="68" t="s">
        <v>84</v>
      </c>
      <c r="R41" s="68" t="s">
        <v>205</v>
      </c>
      <c r="T41" s="65">
        <f>ROUND(1/VLOOKUP(D41,防御塔!$A$2:$N$17,5,FALSE),1)</f>
        <v>0.5</v>
      </c>
      <c r="V41" s="68"/>
      <c r="W41" s="68"/>
    </row>
    <row r="42" spans="2:25" x14ac:dyDescent="0.2">
      <c r="B42" s="76" t="s">
        <v>3221</v>
      </c>
      <c r="C42" s="57">
        <v>1</v>
      </c>
      <c r="D42" s="54" t="s">
        <v>3216</v>
      </c>
      <c r="E42" s="57">
        <v>1</v>
      </c>
      <c r="F42" s="65">
        <f>VLOOKUP(D42,防御塔!$A$2:$N$17,7+C42,FALSE)</f>
        <v>533</v>
      </c>
      <c r="G42" s="57">
        <v>200</v>
      </c>
      <c r="H42" s="57">
        <v>0</v>
      </c>
      <c r="I42" s="57">
        <v>0</v>
      </c>
      <c r="J42" s="57">
        <v>0</v>
      </c>
      <c r="K42" s="57" t="s">
        <v>208</v>
      </c>
      <c r="L42" s="68" t="s">
        <v>85</v>
      </c>
      <c r="M42" s="68" t="s">
        <v>205</v>
      </c>
      <c r="N42" s="68"/>
      <c r="O42" s="65">
        <f t="shared" ref="O42:O44" si="4">F42</f>
        <v>533</v>
      </c>
      <c r="P42" s="57" t="s">
        <v>206</v>
      </c>
      <c r="Q42" s="68" t="s">
        <v>84</v>
      </c>
      <c r="R42" s="68" t="s">
        <v>205</v>
      </c>
      <c r="T42" s="65">
        <f>ROUND(1/VLOOKUP(D42,防御塔!$A$2:$N$17,5,FALSE),1)</f>
        <v>0.5</v>
      </c>
      <c r="V42" s="68"/>
      <c r="W42" s="68"/>
    </row>
    <row r="43" spans="2:25" x14ac:dyDescent="0.2">
      <c r="B43" s="76" t="s">
        <v>3221</v>
      </c>
      <c r="C43" s="57">
        <v>2</v>
      </c>
      <c r="D43" s="54" t="s">
        <v>3216</v>
      </c>
      <c r="E43" s="57">
        <v>1</v>
      </c>
      <c r="F43" s="65">
        <f>VLOOKUP(D43,防御塔!$A$2:$N$17,7+C43,FALSE)</f>
        <v>2398</v>
      </c>
      <c r="G43" s="57">
        <v>200</v>
      </c>
      <c r="H43" s="57">
        <v>0</v>
      </c>
      <c r="I43" s="57">
        <v>0</v>
      </c>
      <c r="J43" s="57">
        <v>0</v>
      </c>
      <c r="K43" s="57" t="s">
        <v>208</v>
      </c>
      <c r="L43" s="68" t="s">
        <v>85</v>
      </c>
      <c r="M43" s="68" t="s">
        <v>205</v>
      </c>
      <c r="N43" s="68"/>
      <c r="O43" s="65">
        <f t="shared" si="4"/>
        <v>2398</v>
      </c>
      <c r="P43" s="57" t="s">
        <v>206</v>
      </c>
      <c r="Q43" s="68" t="s">
        <v>84</v>
      </c>
      <c r="R43" s="68" t="s">
        <v>205</v>
      </c>
      <c r="T43" s="65">
        <f>ROUND(1/VLOOKUP(D43,防御塔!$A$2:$N$17,5,FALSE),1)</f>
        <v>0.5</v>
      </c>
      <c r="V43" s="68"/>
      <c r="W43" s="68"/>
    </row>
    <row r="44" spans="2:25" x14ac:dyDescent="0.2">
      <c r="B44" s="76" t="s">
        <v>3221</v>
      </c>
      <c r="C44" s="57">
        <v>3</v>
      </c>
      <c r="D44" s="54" t="s">
        <v>3216</v>
      </c>
      <c r="E44" s="57">
        <v>1</v>
      </c>
      <c r="F44" s="65">
        <f>VLOOKUP(D44,防御塔!$A$2:$N$17,7+C44,FALSE)</f>
        <v>4797</v>
      </c>
      <c r="G44" s="57">
        <v>200</v>
      </c>
      <c r="H44" s="57">
        <v>0</v>
      </c>
      <c r="I44" s="57">
        <v>0</v>
      </c>
      <c r="J44" s="57">
        <v>0</v>
      </c>
      <c r="K44" s="57" t="s">
        <v>208</v>
      </c>
      <c r="L44" s="68" t="s">
        <v>85</v>
      </c>
      <c r="M44" s="68" t="s">
        <v>205</v>
      </c>
      <c r="N44" s="68"/>
      <c r="O44" s="65">
        <f t="shared" si="4"/>
        <v>4797</v>
      </c>
      <c r="P44" s="57" t="s">
        <v>206</v>
      </c>
      <c r="Q44" s="68" t="s">
        <v>84</v>
      </c>
      <c r="R44" s="68" t="s">
        <v>205</v>
      </c>
      <c r="T44" s="65">
        <f>ROUND(1/VLOOKUP(D44,防御塔!$A$2:$N$17,5,FALSE),1)</f>
        <v>0.5</v>
      </c>
      <c r="V44" s="68"/>
      <c r="W44" s="68"/>
    </row>
    <row r="45" spans="2:25" x14ac:dyDescent="0.2">
      <c r="B45" s="76" t="s">
        <v>3222</v>
      </c>
      <c r="C45" s="57">
        <v>1</v>
      </c>
      <c r="D45" s="54" t="s">
        <v>3181</v>
      </c>
      <c r="E45" s="57">
        <v>1</v>
      </c>
      <c r="F45" s="65">
        <f>VLOOKUP(D45,防御塔!$A$2:$N$17,7+C45,FALSE)</f>
        <v>66</v>
      </c>
      <c r="G45" s="57">
        <v>200</v>
      </c>
      <c r="H45" s="57">
        <v>0</v>
      </c>
      <c r="I45" s="57">
        <v>0</v>
      </c>
      <c r="J45" s="57">
        <v>0</v>
      </c>
      <c r="K45" s="57" t="s">
        <v>208</v>
      </c>
      <c r="L45" s="68" t="s">
        <v>85</v>
      </c>
      <c r="M45" s="68" t="s">
        <v>205</v>
      </c>
      <c r="N45" s="68"/>
      <c r="O45" s="65">
        <f>F45*('⚪设计'!B71/'⚪设计'!C71)</f>
        <v>528</v>
      </c>
      <c r="P45" s="57" t="s">
        <v>206</v>
      </c>
      <c r="Q45" s="68" t="s">
        <v>84</v>
      </c>
      <c r="R45" s="68" t="s">
        <v>205</v>
      </c>
      <c r="T45" s="65">
        <f>ROUND(1/VLOOKUP(D45,防御塔!$A$2:$N$17,5,FALSE),1)</f>
        <v>0.5</v>
      </c>
      <c r="V45" s="68"/>
      <c r="W45" s="68"/>
    </row>
    <row r="46" spans="2:25" x14ac:dyDescent="0.2">
      <c r="B46" s="76" t="s">
        <v>3222</v>
      </c>
      <c r="C46" s="57">
        <v>2</v>
      </c>
      <c r="D46" s="54" t="s">
        <v>3181</v>
      </c>
      <c r="E46" s="57">
        <v>1</v>
      </c>
      <c r="F46" s="65">
        <f>VLOOKUP(D46,防御塔!$A$2:$N$17,7+C46,FALSE)</f>
        <v>297</v>
      </c>
      <c r="G46" s="57">
        <v>200</v>
      </c>
      <c r="H46" s="57">
        <v>0</v>
      </c>
      <c r="I46" s="57">
        <v>0</v>
      </c>
      <c r="J46" s="57">
        <v>0</v>
      </c>
      <c r="K46" s="57" t="s">
        <v>208</v>
      </c>
      <c r="L46" s="68" t="s">
        <v>85</v>
      </c>
      <c r="M46" s="68" t="s">
        <v>205</v>
      </c>
      <c r="N46" s="68"/>
      <c r="O46" s="65">
        <f>F46*('⚪设计'!B72/'⚪设计'!C72)</f>
        <v>2376</v>
      </c>
      <c r="P46" s="57" t="s">
        <v>206</v>
      </c>
      <c r="Q46" s="68" t="s">
        <v>84</v>
      </c>
      <c r="R46" s="68" t="s">
        <v>205</v>
      </c>
      <c r="T46" s="65">
        <f>ROUND(1/VLOOKUP(D46,防御塔!$A$2:$N$17,5,FALSE),1)</f>
        <v>0.5</v>
      </c>
      <c r="V46" s="68"/>
      <c r="W46" s="68"/>
    </row>
    <row r="47" spans="2:25" x14ac:dyDescent="0.2">
      <c r="B47" s="76" t="s">
        <v>3222</v>
      </c>
      <c r="C47" s="57">
        <v>3</v>
      </c>
      <c r="D47" s="54" t="s">
        <v>3181</v>
      </c>
      <c r="E47" s="57">
        <v>1</v>
      </c>
      <c r="F47" s="65">
        <f>VLOOKUP(D47,防御塔!$A$2:$N$17,7+C47,FALSE)</f>
        <v>594</v>
      </c>
      <c r="G47" s="57">
        <v>200</v>
      </c>
      <c r="H47" s="57">
        <v>0</v>
      </c>
      <c r="I47" s="57">
        <v>0</v>
      </c>
      <c r="J47" s="57">
        <v>0</v>
      </c>
      <c r="K47" s="57" t="s">
        <v>208</v>
      </c>
      <c r="L47" s="68" t="s">
        <v>85</v>
      </c>
      <c r="M47" s="68" t="s">
        <v>205</v>
      </c>
      <c r="N47" s="68"/>
      <c r="O47" s="65">
        <f>F47*('⚪设计'!B73/'⚪设计'!C73)</f>
        <v>4752</v>
      </c>
      <c r="P47" s="57" t="s">
        <v>206</v>
      </c>
      <c r="Q47" s="68" t="s">
        <v>84</v>
      </c>
      <c r="R47" s="68" t="s">
        <v>205</v>
      </c>
      <c r="T47" s="65">
        <f>ROUND(1/VLOOKUP(D47,防御塔!$A$2:$N$17,5,FALSE),1)</f>
        <v>0.5</v>
      </c>
      <c r="V47" s="68"/>
      <c r="W47" s="68"/>
    </row>
    <row r="48" spans="2:25" x14ac:dyDescent="0.2">
      <c r="B48" s="76" t="s">
        <v>3219</v>
      </c>
      <c r="C48" s="57">
        <v>1</v>
      </c>
      <c r="D48" s="54" t="s">
        <v>3179</v>
      </c>
      <c r="E48" s="57">
        <v>1</v>
      </c>
      <c r="F48" s="65">
        <f>VLOOKUP(D48,防御塔!$A$2:$N$17,7+C48,FALSE)</f>
        <v>83</v>
      </c>
      <c r="G48" s="57">
        <v>200</v>
      </c>
      <c r="H48" s="57">
        <v>0</v>
      </c>
      <c r="I48" s="57">
        <v>0</v>
      </c>
      <c r="J48" s="57">
        <v>0</v>
      </c>
      <c r="K48" s="57" t="s">
        <v>208</v>
      </c>
      <c r="L48" s="68" t="s">
        <v>85</v>
      </c>
      <c r="M48" s="68" t="s">
        <v>205</v>
      </c>
      <c r="N48" s="68"/>
      <c r="O48" s="65">
        <f t="shared" ref="O48:O50" si="5">F48</f>
        <v>83</v>
      </c>
      <c r="P48" s="57" t="s">
        <v>206</v>
      </c>
      <c r="Q48" s="68" t="s">
        <v>84</v>
      </c>
      <c r="R48" s="68" t="s">
        <v>205</v>
      </c>
      <c r="T48" s="65">
        <f>ROUND(1/VLOOKUP(D48,防御塔!$A$2:$N$17,5,FALSE),1)</f>
        <v>0.5</v>
      </c>
      <c r="V48" s="68"/>
      <c r="W48" s="68"/>
    </row>
    <row r="49" spans="2:28" x14ac:dyDescent="0.2">
      <c r="B49" s="76" t="s">
        <v>3219</v>
      </c>
      <c r="C49" s="57">
        <v>2</v>
      </c>
      <c r="D49" s="54" t="s">
        <v>3179</v>
      </c>
      <c r="E49" s="57">
        <v>1</v>
      </c>
      <c r="F49" s="65">
        <f>VLOOKUP(D49,防御塔!$A$2:$N$17,7+C49,FALSE)</f>
        <v>373</v>
      </c>
      <c r="G49" s="57">
        <v>200</v>
      </c>
      <c r="H49" s="57">
        <v>0</v>
      </c>
      <c r="I49" s="57">
        <v>0</v>
      </c>
      <c r="J49" s="57">
        <v>0</v>
      </c>
      <c r="K49" s="57" t="s">
        <v>208</v>
      </c>
      <c r="L49" s="68" t="s">
        <v>85</v>
      </c>
      <c r="M49" s="68" t="s">
        <v>205</v>
      </c>
      <c r="N49" s="68"/>
      <c r="O49" s="65">
        <f t="shared" si="5"/>
        <v>373</v>
      </c>
      <c r="P49" s="57" t="s">
        <v>206</v>
      </c>
      <c r="Q49" s="68" t="s">
        <v>84</v>
      </c>
      <c r="R49" s="68" t="s">
        <v>205</v>
      </c>
      <c r="T49" s="65">
        <f>ROUND(1/VLOOKUP(D49,防御塔!$A$2:$N$17,5,FALSE),1)</f>
        <v>0.5</v>
      </c>
      <c r="V49" s="68"/>
      <c r="W49" s="68"/>
    </row>
    <row r="50" spans="2:28" x14ac:dyDescent="0.2">
      <c r="B50" s="76" t="s">
        <v>3219</v>
      </c>
      <c r="C50" s="57">
        <v>3</v>
      </c>
      <c r="D50" s="54" t="s">
        <v>3179</v>
      </c>
      <c r="E50" s="57">
        <v>1</v>
      </c>
      <c r="F50" s="65">
        <f>VLOOKUP(D50,防御塔!$A$2:$N$17,7+C50,FALSE)</f>
        <v>747</v>
      </c>
      <c r="G50" s="57">
        <v>200</v>
      </c>
      <c r="H50" s="57">
        <v>0</v>
      </c>
      <c r="I50" s="57">
        <v>0</v>
      </c>
      <c r="J50" s="57">
        <v>0</v>
      </c>
      <c r="K50" s="57" t="s">
        <v>208</v>
      </c>
      <c r="L50" s="68" t="s">
        <v>85</v>
      </c>
      <c r="M50" s="68" t="s">
        <v>205</v>
      </c>
      <c r="N50" s="68"/>
      <c r="O50" s="65">
        <f t="shared" si="5"/>
        <v>747</v>
      </c>
      <c r="P50" s="57" t="s">
        <v>206</v>
      </c>
      <c r="Q50" s="68" t="s">
        <v>84</v>
      </c>
      <c r="R50" s="68" t="s">
        <v>205</v>
      </c>
      <c r="T50" s="65">
        <f>ROUND(1/VLOOKUP(D50,防御塔!$A$2:$N$17,5,FALSE),1)</f>
        <v>0.5</v>
      </c>
      <c r="V50" s="68"/>
      <c r="W50" s="68"/>
    </row>
    <row r="51" spans="2:28" x14ac:dyDescent="0.2">
      <c r="L51" s="68"/>
      <c r="M51" s="68"/>
      <c r="V51" s="68"/>
      <c r="W51" s="68"/>
    </row>
    <row r="53" spans="2:28" x14ac:dyDescent="0.2">
      <c r="B53" s="68" t="s">
        <v>1394</v>
      </c>
      <c r="C53" s="57">
        <v>1</v>
      </c>
      <c r="D53" s="57" t="s">
        <v>1396</v>
      </c>
      <c r="E53" s="102">
        <f>VLOOKUP(Z53,新手关卡!$A$3:$X$5,3+5*AA53,FALSE)</f>
        <v>208</v>
      </c>
      <c r="F53" s="57">
        <v>1</v>
      </c>
      <c r="G53" s="57">
        <v>0</v>
      </c>
      <c r="H53" s="57">
        <v>0</v>
      </c>
      <c r="I53" s="57">
        <v>0</v>
      </c>
      <c r="Z53" s="110">
        <v>1</v>
      </c>
      <c r="AA53" s="110">
        <v>1</v>
      </c>
      <c r="AB53" s="110"/>
    </row>
    <row r="54" spans="2:28" x14ac:dyDescent="0.2">
      <c r="B54" s="57" t="s">
        <v>1386</v>
      </c>
      <c r="C54" s="57">
        <v>1</v>
      </c>
      <c r="D54" s="57" t="s">
        <v>1397</v>
      </c>
      <c r="E54" s="102">
        <f>VLOOKUP(Z54,新手关卡!$A$3:$X$5,3+5*AA54,FALSE)</f>
        <v>321</v>
      </c>
      <c r="F54" s="57">
        <v>1</v>
      </c>
      <c r="G54" s="57">
        <v>0</v>
      </c>
      <c r="H54" s="57">
        <v>0</v>
      </c>
      <c r="I54" s="57">
        <v>0</v>
      </c>
      <c r="Z54" s="110">
        <v>2</v>
      </c>
      <c r="AA54" s="110">
        <v>1</v>
      </c>
      <c r="AB54" s="110"/>
    </row>
    <row r="55" spans="2:28" x14ac:dyDescent="0.2">
      <c r="B55" s="57" t="s">
        <v>1387</v>
      </c>
      <c r="C55" s="57">
        <v>1</v>
      </c>
      <c r="D55" s="57" t="s">
        <v>1398</v>
      </c>
      <c r="E55" s="102">
        <f>VLOOKUP(Z55,新手关卡!$A$3:$X$5,3+5*AA55,FALSE)</f>
        <v>110</v>
      </c>
      <c r="F55" s="57">
        <v>1</v>
      </c>
      <c r="G55" s="57">
        <v>0</v>
      </c>
      <c r="H55" s="57">
        <v>0</v>
      </c>
      <c r="I55" s="57">
        <v>0</v>
      </c>
      <c r="Z55" s="110">
        <v>3</v>
      </c>
      <c r="AA55" s="110">
        <v>1</v>
      </c>
      <c r="AB55" s="110"/>
    </row>
    <row r="56" spans="2:28" x14ac:dyDescent="0.2">
      <c r="B56" s="57" t="s">
        <v>1388</v>
      </c>
      <c r="C56" s="57">
        <v>1</v>
      </c>
      <c r="D56" s="57" t="s">
        <v>1399</v>
      </c>
      <c r="E56" s="102">
        <f>VLOOKUP(Z56,新手关卡!$A$3:$X$5,3+5*AA56,FALSE)</f>
        <v>440</v>
      </c>
      <c r="F56" s="57">
        <v>1</v>
      </c>
      <c r="G56" s="57">
        <v>0</v>
      </c>
      <c r="H56" s="57">
        <v>0</v>
      </c>
      <c r="I56" s="57">
        <v>0</v>
      </c>
      <c r="Z56" s="110">
        <v>3</v>
      </c>
      <c r="AA56" s="110">
        <v>2</v>
      </c>
      <c r="AB56" s="110"/>
    </row>
    <row r="57" spans="2:28" x14ac:dyDescent="0.2">
      <c r="B57" s="57" t="s">
        <v>1395</v>
      </c>
      <c r="C57" s="57">
        <v>1</v>
      </c>
      <c r="D57" s="57" t="s">
        <v>1400</v>
      </c>
      <c r="E57" s="102">
        <f>VLOOKUP(Z57,新手关卡!$A$3:$X$5,3+5*AA57,FALSE)</f>
        <v>220</v>
      </c>
      <c r="F57" s="57">
        <v>1</v>
      </c>
      <c r="G57" s="57">
        <v>0</v>
      </c>
      <c r="H57" s="57">
        <v>0</v>
      </c>
      <c r="I57" s="57">
        <v>0</v>
      </c>
      <c r="Z57" s="110">
        <v>3</v>
      </c>
      <c r="AA57" s="110">
        <v>3</v>
      </c>
      <c r="AB57" s="110"/>
    </row>
    <row r="58" spans="2:28" x14ac:dyDescent="0.2">
      <c r="E58" s="102"/>
    </row>
    <row r="59" spans="2:28" x14ac:dyDescent="0.2">
      <c r="E59" s="102"/>
    </row>
    <row r="60" spans="2:28" x14ac:dyDescent="0.2">
      <c r="E60" s="102"/>
    </row>
    <row r="61" spans="2:28" x14ac:dyDescent="0.2">
      <c r="E61" s="102"/>
    </row>
    <row r="62" spans="2:28" x14ac:dyDescent="0.2">
      <c r="B62" s="57" t="s">
        <v>528</v>
      </c>
      <c r="C62" s="57">
        <v>1</v>
      </c>
      <c r="D62" s="57" t="s">
        <v>571</v>
      </c>
      <c r="E62" s="102">
        <f>VLOOKUP(VLOOKUP(B62,MonsterWaveCallRuleCfg!$L$23:$Q$102,5,FALSE),无限模式!$A$3:$X$22,3+VLOOKUP(B62,MonsterWaveCallRuleCfg!$L$23:$Q$102,6,FALSE)*5,FALSE)</f>
        <v>173</v>
      </c>
      <c r="F62" s="57">
        <v>1</v>
      </c>
      <c r="G62" s="57">
        <v>0</v>
      </c>
      <c r="H62" s="57">
        <v>0</v>
      </c>
      <c r="I62" s="57">
        <v>0</v>
      </c>
    </row>
    <row r="63" spans="2:28" x14ac:dyDescent="0.2">
      <c r="B63" s="57" t="s">
        <v>529</v>
      </c>
      <c r="C63" s="57">
        <v>1</v>
      </c>
      <c r="D63" s="57" t="s">
        <v>571</v>
      </c>
      <c r="E63" s="102">
        <f>VLOOKUP(VLOOKUP(B63,MonsterWaveCallRuleCfg!$L$23:$Q$102,5,FALSE),无限模式!$A$3:$X$22,3+VLOOKUP(B63,MonsterWaveCallRuleCfg!$L$23:$Q$102,6,FALSE)*5,FALSE)</f>
        <v>272</v>
      </c>
      <c r="F63" s="57">
        <v>1</v>
      </c>
      <c r="G63" s="57">
        <v>0</v>
      </c>
      <c r="H63" s="57">
        <v>0</v>
      </c>
      <c r="I63" s="57">
        <v>0</v>
      </c>
    </row>
    <row r="64" spans="2:28" x14ac:dyDescent="0.2">
      <c r="B64" s="57" t="s">
        <v>565</v>
      </c>
      <c r="C64" s="57">
        <v>1</v>
      </c>
      <c r="D64" s="57" t="s">
        <v>571</v>
      </c>
      <c r="E64" s="102">
        <f>VLOOKUP(VLOOKUP(B64,MonsterWaveCallRuleCfg!$L$23:$Q$102,5,FALSE),无限模式!$A$3:$X$22,3+VLOOKUP(B64,MonsterWaveCallRuleCfg!$L$23:$Q$102,6,FALSE)*5,FALSE)</f>
        <v>1088</v>
      </c>
      <c r="F64" s="57">
        <v>1</v>
      </c>
      <c r="G64" s="57">
        <v>0</v>
      </c>
      <c r="H64" s="57">
        <v>0</v>
      </c>
      <c r="I64" s="57">
        <v>0</v>
      </c>
    </row>
    <row r="65" spans="2:9" x14ac:dyDescent="0.2">
      <c r="B65" s="57" t="s">
        <v>530</v>
      </c>
      <c r="C65" s="57">
        <v>1</v>
      </c>
      <c r="D65" s="57" t="s">
        <v>571</v>
      </c>
      <c r="E65" s="102">
        <f>VLOOKUP(VLOOKUP(B65,MonsterWaveCallRuleCfg!$L$23:$Q$102,5,FALSE),无限模式!$A$3:$X$22,3+VLOOKUP(B65,MonsterWaveCallRuleCfg!$L$23:$Q$102,6,FALSE)*5,FALSE)</f>
        <v>1643</v>
      </c>
      <c r="F65" s="57">
        <v>1</v>
      </c>
      <c r="G65" s="57">
        <v>0</v>
      </c>
      <c r="H65" s="57">
        <v>0</v>
      </c>
      <c r="I65" s="57">
        <v>0</v>
      </c>
    </row>
    <row r="66" spans="2:9" x14ac:dyDescent="0.2">
      <c r="B66" s="57" t="s">
        <v>566</v>
      </c>
      <c r="C66" s="57">
        <v>1</v>
      </c>
      <c r="D66" s="57" t="s">
        <v>571</v>
      </c>
      <c r="E66" s="102">
        <f>VLOOKUP(VLOOKUP(B66,MonsterWaveCallRuleCfg!$L$23:$Q$102,5,FALSE),无限模式!$A$3:$X$22,3+VLOOKUP(B66,MonsterWaveCallRuleCfg!$L$23:$Q$102,6,FALSE)*5,FALSE)</f>
        <v>411</v>
      </c>
      <c r="F66" s="57">
        <v>1</v>
      </c>
      <c r="G66" s="57">
        <v>0</v>
      </c>
      <c r="H66" s="57">
        <v>0</v>
      </c>
      <c r="I66" s="57">
        <v>0</v>
      </c>
    </row>
    <row r="67" spans="2:9" x14ac:dyDescent="0.2">
      <c r="B67" s="57" t="s">
        <v>531</v>
      </c>
      <c r="C67" s="57">
        <v>1</v>
      </c>
      <c r="D67" s="57" t="s">
        <v>571</v>
      </c>
      <c r="E67" s="102">
        <f>VLOOKUP(VLOOKUP(B67,MonsterWaveCallRuleCfg!$L$23:$Q$102,5,FALSE),无限模式!$A$3:$X$22,3+VLOOKUP(B67,MonsterWaveCallRuleCfg!$L$23:$Q$102,6,FALSE)*5,FALSE)</f>
        <v>63310</v>
      </c>
      <c r="F67" s="57">
        <v>1</v>
      </c>
      <c r="G67" s="57">
        <v>0</v>
      </c>
      <c r="H67" s="57">
        <v>0</v>
      </c>
      <c r="I67" s="57">
        <v>0</v>
      </c>
    </row>
    <row r="68" spans="2:9" x14ac:dyDescent="0.2">
      <c r="B68" s="57" t="s">
        <v>532</v>
      </c>
      <c r="C68" s="57">
        <v>1</v>
      </c>
      <c r="D68" s="57" t="s">
        <v>571</v>
      </c>
      <c r="E68" s="102">
        <f>VLOOKUP(VLOOKUP(B68,MonsterWaveCallRuleCfg!$L$23:$Q$102,5,FALSE),无限模式!$A$3:$X$22,3+VLOOKUP(B68,MonsterWaveCallRuleCfg!$L$23:$Q$102,6,FALSE)*5,FALSE)</f>
        <v>791</v>
      </c>
      <c r="F68" s="57">
        <v>1</v>
      </c>
      <c r="G68" s="57">
        <v>0</v>
      </c>
      <c r="H68" s="57">
        <v>0</v>
      </c>
      <c r="I68" s="57">
        <v>0</v>
      </c>
    </row>
    <row r="69" spans="2:9" x14ac:dyDescent="0.2">
      <c r="B69" s="57" t="s">
        <v>533</v>
      </c>
      <c r="C69" s="57">
        <v>1</v>
      </c>
      <c r="D69" s="57" t="s">
        <v>571</v>
      </c>
      <c r="E69" s="102">
        <f>VLOOKUP(VLOOKUP(B69,MonsterWaveCallRuleCfg!$L$23:$Q$102,5,FALSE),无限模式!$A$3:$X$22,3+VLOOKUP(B69,MonsterWaveCallRuleCfg!$L$23:$Q$102,6,FALSE)*5,FALSE)</f>
        <v>3767</v>
      </c>
      <c r="F69" s="57">
        <v>1</v>
      </c>
      <c r="G69" s="57">
        <v>0</v>
      </c>
      <c r="H69" s="57">
        <v>0</v>
      </c>
      <c r="I69" s="57">
        <v>0</v>
      </c>
    </row>
    <row r="70" spans="2:9" x14ac:dyDescent="0.2">
      <c r="B70" s="57" t="s">
        <v>534</v>
      </c>
      <c r="C70" s="57">
        <v>1</v>
      </c>
      <c r="D70" s="57" t="s">
        <v>571</v>
      </c>
      <c r="E70" s="102">
        <f>VLOOKUP(VLOOKUP(B70,MonsterWaveCallRuleCfg!$L$23:$Q$102,5,FALSE),无限模式!$A$3:$X$22,3+VLOOKUP(B70,MonsterWaveCallRuleCfg!$L$23:$Q$102,6,FALSE)*5,FALSE)</f>
        <v>1884</v>
      </c>
      <c r="F70" s="57">
        <v>1</v>
      </c>
      <c r="G70" s="57">
        <v>0</v>
      </c>
      <c r="H70" s="57">
        <v>0</v>
      </c>
      <c r="I70" s="57">
        <v>0</v>
      </c>
    </row>
    <row r="71" spans="2:9" x14ac:dyDescent="0.2">
      <c r="B71" s="57" t="s">
        <v>535</v>
      </c>
      <c r="C71" s="57">
        <v>1</v>
      </c>
      <c r="D71" s="57" t="s">
        <v>571</v>
      </c>
      <c r="E71" s="102">
        <f>VLOOKUP(VLOOKUP(B71,MonsterWaveCallRuleCfg!$L$23:$Q$102,5,FALSE),无限模式!$A$3:$X$22,3+VLOOKUP(B71,MonsterWaveCallRuleCfg!$L$23:$Q$102,6,FALSE)*5,FALSE)</f>
        <v>4200</v>
      </c>
      <c r="F71" s="57">
        <v>1</v>
      </c>
      <c r="G71" s="57">
        <v>0</v>
      </c>
      <c r="H71" s="57">
        <v>0</v>
      </c>
      <c r="I71" s="57">
        <v>0</v>
      </c>
    </row>
    <row r="72" spans="2:9" x14ac:dyDescent="0.2">
      <c r="B72" s="57" t="s">
        <v>536</v>
      </c>
      <c r="C72" s="57">
        <v>1</v>
      </c>
      <c r="D72" s="57" t="s">
        <v>571</v>
      </c>
      <c r="E72" s="102">
        <f>VLOOKUP(VLOOKUP(B72,MonsterWaveCallRuleCfg!$L$23:$Q$102,5,FALSE),无限模式!$A$3:$X$22,3+VLOOKUP(B72,MonsterWaveCallRuleCfg!$L$23:$Q$102,6,FALSE)*5,FALSE)</f>
        <v>2100</v>
      </c>
      <c r="F72" s="57">
        <v>1</v>
      </c>
      <c r="G72" s="57">
        <v>0</v>
      </c>
      <c r="H72" s="57">
        <v>0</v>
      </c>
      <c r="I72" s="57">
        <v>0</v>
      </c>
    </row>
    <row r="73" spans="2:9" x14ac:dyDescent="0.2">
      <c r="B73" s="57" t="s">
        <v>537</v>
      </c>
      <c r="C73" s="57">
        <v>1</v>
      </c>
      <c r="D73" s="57" t="s">
        <v>571</v>
      </c>
      <c r="E73" s="102">
        <f>VLOOKUP(VLOOKUP(B73,MonsterWaveCallRuleCfg!$L$23:$Q$102,5,FALSE),无限模式!$A$3:$X$22,3+VLOOKUP(B73,MonsterWaveCallRuleCfg!$L$23:$Q$102,6,FALSE)*5,FALSE)</f>
        <v>1328</v>
      </c>
      <c r="F73" s="57">
        <v>1</v>
      </c>
      <c r="G73" s="57">
        <v>0</v>
      </c>
      <c r="H73" s="57">
        <v>0</v>
      </c>
      <c r="I73" s="57">
        <v>0</v>
      </c>
    </row>
    <row r="74" spans="2:9" x14ac:dyDescent="0.2">
      <c r="B74" s="57" t="s">
        <v>538</v>
      </c>
      <c r="C74" s="57">
        <v>1</v>
      </c>
      <c r="D74" s="57" t="s">
        <v>571</v>
      </c>
      <c r="E74" s="102">
        <f>VLOOKUP(VLOOKUP(B74,MonsterWaveCallRuleCfg!$L$23:$Q$102,5,FALSE),无限模式!$A$3:$X$22,3+VLOOKUP(B74,MonsterWaveCallRuleCfg!$L$23:$Q$102,6,FALSE)*5,FALSE)</f>
        <v>2656</v>
      </c>
      <c r="F74" s="57">
        <v>1</v>
      </c>
      <c r="G74" s="57">
        <v>0</v>
      </c>
      <c r="H74" s="57">
        <v>0</v>
      </c>
      <c r="I74" s="57">
        <v>0</v>
      </c>
    </row>
    <row r="75" spans="2:9" x14ac:dyDescent="0.2">
      <c r="B75" s="57" t="s">
        <v>539</v>
      </c>
      <c r="C75" s="57">
        <v>1</v>
      </c>
      <c r="D75" s="57" t="s">
        <v>571</v>
      </c>
      <c r="E75" s="102">
        <f>VLOOKUP(VLOOKUP(B75,MonsterWaveCallRuleCfg!$L$23:$Q$102,5,FALSE),无限模式!$A$3:$X$22,3+VLOOKUP(B75,MonsterWaveCallRuleCfg!$L$23:$Q$102,6,FALSE)*5,FALSE)</f>
        <v>5143</v>
      </c>
      <c r="F75" s="57">
        <v>1</v>
      </c>
      <c r="G75" s="57">
        <v>0</v>
      </c>
      <c r="H75" s="57">
        <v>0</v>
      </c>
      <c r="I75" s="57">
        <v>0</v>
      </c>
    </row>
    <row r="76" spans="2:9" x14ac:dyDescent="0.2">
      <c r="B76" s="57" t="s">
        <v>540</v>
      </c>
      <c r="C76" s="57">
        <v>1</v>
      </c>
      <c r="D76" s="57" t="s">
        <v>571</v>
      </c>
      <c r="E76" s="102">
        <f>VLOOKUP(VLOOKUP(B76,MonsterWaveCallRuleCfg!$L$23:$Q$102,5,FALSE),无限模式!$A$3:$X$22,3+VLOOKUP(B76,MonsterWaveCallRuleCfg!$L$23:$Q$102,6,FALSE)*5,FALSE)</f>
        <v>102857</v>
      </c>
      <c r="F76" s="57">
        <v>1</v>
      </c>
      <c r="G76" s="57">
        <v>0</v>
      </c>
      <c r="H76" s="57">
        <v>0</v>
      </c>
      <c r="I76" s="57">
        <v>0</v>
      </c>
    </row>
    <row r="77" spans="2:9" x14ac:dyDescent="0.2">
      <c r="B77" s="57" t="s">
        <v>541</v>
      </c>
      <c r="C77" s="57">
        <v>1</v>
      </c>
      <c r="D77" s="57" t="s">
        <v>571</v>
      </c>
      <c r="E77" s="102">
        <f>VLOOKUP(VLOOKUP(B77,MonsterWaveCallRuleCfg!$L$23:$Q$102,5,FALSE),无限模式!$A$3:$X$22,3+VLOOKUP(B77,MonsterWaveCallRuleCfg!$L$23:$Q$102,6,FALSE)*5,FALSE)</f>
        <v>15429</v>
      </c>
      <c r="F77" s="57">
        <v>1</v>
      </c>
      <c r="G77" s="57">
        <v>0</v>
      </c>
      <c r="H77" s="57">
        <v>0</v>
      </c>
      <c r="I77" s="57">
        <v>0</v>
      </c>
    </row>
    <row r="78" spans="2:9" x14ac:dyDescent="0.2">
      <c r="B78" s="57" t="s">
        <v>542</v>
      </c>
      <c r="C78" s="57">
        <v>1</v>
      </c>
      <c r="D78" s="57" t="s">
        <v>571</v>
      </c>
      <c r="E78" s="102">
        <f>VLOOKUP(VLOOKUP(B78,MonsterWaveCallRuleCfg!$L$23:$Q$102,5,FALSE),无限模式!$A$3:$X$22,3+VLOOKUP(B78,MonsterWaveCallRuleCfg!$L$23:$Q$102,6,FALSE)*5,FALSE)</f>
        <v>23143</v>
      </c>
      <c r="F78" s="57">
        <v>1</v>
      </c>
      <c r="G78" s="57">
        <v>0</v>
      </c>
      <c r="H78" s="57">
        <v>0</v>
      </c>
      <c r="I78" s="57">
        <v>0</v>
      </c>
    </row>
    <row r="79" spans="2:9" x14ac:dyDescent="0.2">
      <c r="B79" s="57" t="s">
        <v>543</v>
      </c>
      <c r="C79" s="57">
        <v>1</v>
      </c>
      <c r="D79" s="57" t="s">
        <v>571</v>
      </c>
      <c r="E79" s="102">
        <f>VLOOKUP(VLOOKUP(B79,MonsterWaveCallRuleCfg!$L$23:$Q$102,5,FALSE),无限模式!$A$3:$X$22,3+VLOOKUP(B79,MonsterWaveCallRuleCfg!$L$23:$Q$102,6,FALSE)*5,FALSE)</f>
        <v>4219</v>
      </c>
      <c r="F79" s="57">
        <v>1</v>
      </c>
      <c r="G79" s="57">
        <v>0</v>
      </c>
      <c r="H79" s="57">
        <v>0</v>
      </c>
      <c r="I79" s="57">
        <v>0</v>
      </c>
    </row>
    <row r="80" spans="2:9" x14ac:dyDescent="0.2">
      <c r="B80" s="57" t="s">
        <v>544</v>
      </c>
      <c r="C80" s="57">
        <v>1</v>
      </c>
      <c r="D80" s="57" t="s">
        <v>571</v>
      </c>
      <c r="E80" s="102">
        <f>VLOOKUP(VLOOKUP(B80,MonsterWaveCallRuleCfg!$L$23:$Q$102,5,FALSE),无限模式!$A$3:$X$22,3+VLOOKUP(B80,MonsterWaveCallRuleCfg!$L$23:$Q$102,6,FALSE)*5,FALSE)</f>
        <v>6328</v>
      </c>
      <c r="F80" s="57">
        <v>1</v>
      </c>
      <c r="G80" s="57">
        <v>0</v>
      </c>
      <c r="H80" s="57">
        <v>0</v>
      </c>
      <c r="I80" s="57">
        <v>0</v>
      </c>
    </row>
    <row r="81" spans="2:9" x14ac:dyDescent="0.2">
      <c r="B81" s="57" t="s">
        <v>545</v>
      </c>
      <c r="C81" s="57">
        <v>1</v>
      </c>
      <c r="D81" s="57" t="s">
        <v>571</v>
      </c>
      <c r="E81" s="102">
        <f>VLOOKUP(VLOOKUP(B81,MonsterWaveCallRuleCfg!$L$23:$Q$102,5,FALSE),无限模式!$A$3:$X$22,3+VLOOKUP(B81,MonsterWaveCallRuleCfg!$L$23:$Q$102,6,FALSE)*5,FALSE)</f>
        <v>21263</v>
      </c>
      <c r="F81" s="57">
        <v>1</v>
      </c>
      <c r="G81" s="57">
        <v>0</v>
      </c>
      <c r="H81" s="57">
        <v>0</v>
      </c>
      <c r="I81" s="57">
        <v>0</v>
      </c>
    </row>
    <row r="82" spans="2:9" x14ac:dyDescent="0.2">
      <c r="B82" s="57" t="s">
        <v>546</v>
      </c>
      <c r="C82" s="57">
        <v>1</v>
      </c>
      <c r="D82" s="57" t="s">
        <v>571</v>
      </c>
      <c r="E82" s="102">
        <f>VLOOKUP(VLOOKUP(B82,MonsterWaveCallRuleCfg!$L$23:$Q$102,5,FALSE),无限模式!$A$3:$X$22,3+VLOOKUP(B82,MonsterWaveCallRuleCfg!$L$23:$Q$102,6,FALSE)*5,FALSE)</f>
        <v>14175</v>
      </c>
      <c r="F82" s="57">
        <v>1</v>
      </c>
      <c r="G82" s="57">
        <v>0</v>
      </c>
      <c r="H82" s="57">
        <v>0</v>
      </c>
      <c r="I82" s="57">
        <v>0</v>
      </c>
    </row>
    <row r="83" spans="2:9" x14ac:dyDescent="0.2">
      <c r="B83" s="57" t="s">
        <v>547</v>
      </c>
      <c r="C83" s="57">
        <v>1</v>
      </c>
      <c r="D83" s="57" t="s">
        <v>571</v>
      </c>
      <c r="E83" s="102">
        <f>VLOOKUP(VLOOKUP(B83,MonsterWaveCallRuleCfg!$L$23:$Q$102,5,FALSE),无限模式!$A$3:$X$22,3+VLOOKUP(B83,MonsterWaveCallRuleCfg!$L$23:$Q$102,6,FALSE)*5,FALSE)</f>
        <v>9931</v>
      </c>
      <c r="F83" s="57">
        <v>1</v>
      </c>
      <c r="G83" s="57">
        <v>0</v>
      </c>
      <c r="H83" s="57">
        <v>0</v>
      </c>
      <c r="I83" s="57">
        <v>0</v>
      </c>
    </row>
    <row r="84" spans="2:9" x14ac:dyDescent="0.2">
      <c r="B84" s="57" t="s">
        <v>548</v>
      </c>
      <c r="C84" s="57">
        <v>1</v>
      </c>
      <c r="D84" s="57" t="s">
        <v>571</v>
      </c>
      <c r="E84" s="102">
        <f>VLOOKUP(VLOOKUP(B84,MonsterWaveCallRuleCfg!$L$23:$Q$102,5,FALSE),无限模式!$A$3:$X$22,3+VLOOKUP(B84,MonsterWaveCallRuleCfg!$L$23:$Q$102,6,FALSE)*5,FALSE)</f>
        <v>14897</v>
      </c>
      <c r="F84" s="57">
        <v>1</v>
      </c>
      <c r="G84" s="57">
        <v>0</v>
      </c>
      <c r="H84" s="57">
        <v>0</v>
      </c>
      <c r="I84" s="57">
        <v>0</v>
      </c>
    </row>
    <row r="85" spans="2:9" x14ac:dyDescent="0.2">
      <c r="B85" s="57" t="s">
        <v>567</v>
      </c>
      <c r="C85" s="57">
        <v>1</v>
      </c>
      <c r="D85" s="57" t="s">
        <v>571</v>
      </c>
      <c r="E85" s="102">
        <f>VLOOKUP(VLOOKUP(B85,MonsterWaveCallRuleCfg!$L$23:$Q$102,5,FALSE),无限模式!$A$3:$X$22,3+VLOOKUP(B85,MonsterWaveCallRuleCfg!$L$23:$Q$102,6,FALSE)*5,FALSE)</f>
        <v>198621</v>
      </c>
      <c r="F85" s="57">
        <v>1</v>
      </c>
      <c r="G85" s="57">
        <v>0</v>
      </c>
      <c r="H85" s="57">
        <v>0</v>
      </c>
      <c r="I85" s="57">
        <v>0</v>
      </c>
    </row>
    <row r="86" spans="2:9" x14ac:dyDescent="0.2">
      <c r="B86" s="57" t="s">
        <v>549</v>
      </c>
      <c r="C86" s="57">
        <v>1</v>
      </c>
      <c r="D86" s="57" t="s">
        <v>571</v>
      </c>
      <c r="E86" s="102">
        <f>VLOOKUP(VLOOKUP(B86,MonsterWaveCallRuleCfg!$L$23:$Q$102,5,FALSE),无限模式!$A$3:$X$22,3+VLOOKUP(B86,MonsterWaveCallRuleCfg!$L$23:$Q$102,6,FALSE)*5,FALSE)</f>
        <v>71400</v>
      </c>
      <c r="F86" s="57">
        <v>1</v>
      </c>
      <c r="G86" s="57">
        <v>0</v>
      </c>
      <c r="H86" s="57">
        <v>0</v>
      </c>
      <c r="I86" s="57">
        <v>0</v>
      </c>
    </row>
    <row r="87" spans="2:9" x14ac:dyDescent="0.2">
      <c r="B87" s="57" t="s">
        <v>550</v>
      </c>
      <c r="C87" s="57">
        <v>1</v>
      </c>
      <c r="D87" s="57" t="s">
        <v>571</v>
      </c>
      <c r="E87" s="102">
        <f>VLOOKUP(VLOOKUP(B87,MonsterWaveCallRuleCfg!$L$23:$Q$102,5,FALSE),无限模式!$A$3:$X$22,3+VLOOKUP(B87,MonsterWaveCallRuleCfg!$L$23:$Q$102,6,FALSE)*5,FALSE)</f>
        <v>28800</v>
      </c>
      <c r="F87" s="57">
        <v>1</v>
      </c>
      <c r="G87" s="57">
        <v>0</v>
      </c>
      <c r="H87" s="57">
        <v>0</v>
      </c>
      <c r="I87" s="57">
        <v>0</v>
      </c>
    </row>
    <row r="88" spans="2:9" x14ac:dyDescent="0.2">
      <c r="B88" s="57" t="s">
        <v>551</v>
      </c>
      <c r="C88" s="57">
        <v>1</v>
      </c>
      <c r="D88" s="57" t="s">
        <v>571</v>
      </c>
      <c r="E88" s="102">
        <f>VLOOKUP(VLOOKUP(B88,MonsterWaveCallRuleCfg!$L$23:$Q$102,5,FALSE),无限模式!$A$3:$X$22,3+VLOOKUP(B88,MonsterWaveCallRuleCfg!$L$23:$Q$102,6,FALSE)*5,FALSE)</f>
        <v>57600</v>
      </c>
      <c r="F88" s="57">
        <v>1</v>
      </c>
      <c r="G88" s="57">
        <v>0</v>
      </c>
      <c r="H88" s="57">
        <v>0</v>
      </c>
      <c r="I88" s="57">
        <v>0</v>
      </c>
    </row>
    <row r="89" spans="2:9" x14ac:dyDescent="0.2">
      <c r="B89" s="57" t="s">
        <v>552</v>
      </c>
      <c r="C89" s="57">
        <v>1</v>
      </c>
      <c r="D89" s="57" t="s">
        <v>571</v>
      </c>
      <c r="E89" s="102">
        <f>VLOOKUP(VLOOKUP(B89,MonsterWaveCallRuleCfg!$L$23:$Q$102,5,FALSE),无限模式!$A$3:$X$22,3+VLOOKUP(B89,MonsterWaveCallRuleCfg!$L$23:$Q$102,6,FALSE)*5,FALSE)</f>
        <v>13500</v>
      </c>
      <c r="F89" s="57">
        <v>1</v>
      </c>
      <c r="G89" s="57">
        <v>0</v>
      </c>
      <c r="H89" s="57">
        <v>0</v>
      </c>
      <c r="I89" s="57">
        <v>0</v>
      </c>
    </row>
    <row r="90" spans="2:9" x14ac:dyDescent="0.2">
      <c r="B90" s="57" t="s">
        <v>553</v>
      </c>
      <c r="C90" s="57">
        <v>1</v>
      </c>
      <c r="D90" s="57" t="s">
        <v>571</v>
      </c>
      <c r="E90" s="102">
        <f>VLOOKUP(VLOOKUP(B90,MonsterWaveCallRuleCfg!$L$23:$Q$102,5,FALSE),无限模式!$A$3:$X$22,3+VLOOKUP(B90,MonsterWaveCallRuleCfg!$L$23:$Q$102,6,FALSE)*5,FALSE)</f>
        <v>81000</v>
      </c>
      <c r="F90" s="57">
        <v>1</v>
      </c>
      <c r="G90" s="57">
        <v>0</v>
      </c>
      <c r="H90" s="57">
        <v>0</v>
      </c>
      <c r="I90" s="57">
        <v>0</v>
      </c>
    </row>
    <row r="91" spans="2:9" x14ac:dyDescent="0.2">
      <c r="B91" s="57" t="s">
        <v>554</v>
      </c>
      <c r="C91" s="57">
        <v>1</v>
      </c>
      <c r="D91" s="57" t="s">
        <v>571</v>
      </c>
      <c r="E91" s="102">
        <f>VLOOKUP(VLOOKUP(B91,MonsterWaveCallRuleCfg!$L$23:$Q$102,5,FALSE),无限模式!$A$3:$X$22,3+VLOOKUP(B91,MonsterWaveCallRuleCfg!$L$23:$Q$102,6,FALSE)*5,FALSE)</f>
        <v>16945</v>
      </c>
      <c r="F91" s="57">
        <v>1</v>
      </c>
      <c r="G91" s="57">
        <v>0</v>
      </c>
      <c r="H91" s="57">
        <v>0</v>
      </c>
      <c r="I91" s="57">
        <v>0</v>
      </c>
    </row>
    <row r="92" spans="2:9" x14ac:dyDescent="0.2">
      <c r="B92" s="57" t="s">
        <v>555</v>
      </c>
      <c r="C92" s="57">
        <v>1</v>
      </c>
      <c r="D92" s="57" t="s">
        <v>571</v>
      </c>
      <c r="E92" s="102">
        <f>VLOOKUP(VLOOKUP(B92,MonsterWaveCallRuleCfg!$L$23:$Q$102,5,FALSE),无限模式!$A$3:$X$22,3+VLOOKUP(B92,MonsterWaveCallRuleCfg!$L$23:$Q$102,6,FALSE)*5,FALSE)</f>
        <v>338897</v>
      </c>
      <c r="F92" s="57">
        <v>1</v>
      </c>
      <c r="G92" s="57">
        <v>0</v>
      </c>
      <c r="H92" s="57">
        <v>0</v>
      </c>
      <c r="I92" s="57">
        <v>0</v>
      </c>
    </row>
    <row r="93" spans="2:9" x14ac:dyDescent="0.2">
      <c r="B93" s="57" t="s">
        <v>556</v>
      </c>
      <c r="C93" s="57">
        <v>1</v>
      </c>
      <c r="D93" s="57" t="s">
        <v>571</v>
      </c>
      <c r="E93" s="102">
        <f>VLOOKUP(VLOOKUP(B93,MonsterWaveCallRuleCfg!$L$23:$Q$102,5,FALSE),无限模式!$A$3:$X$22,3+VLOOKUP(B93,MonsterWaveCallRuleCfg!$L$23:$Q$102,6,FALSE)*5,FALSE)</f>
        <v>37358</v>
      </c>
      <c r="F93" s="57">
        <v>1</v>
      </c>
      <c r="G93" s="57">
        <v>0</v>
      </c>
      <c r="H93" s="57">
        <v>0</v>
      </c>
      <c r="I93" s="57">
        <v>0</v>
      </c>
    </row>
    <row r="94" spans="2:9" x14ac:dyDescent="0.2">
      <c r="B94" s="57" t="s">
        <v>557</v>
      </c>
      <c r="C94" s="57">
        <v>1</v>
      </c>
      <c r="D94" s="57" t="s">
        <v>571</v>
      </c>
      <c r="E94" s="102">
        <f>VLOOKUP(VLOOKUP(B94,MonsterWaveCallRuleCfg!$L$23:$Q$102,5,FALSE),无限模式!$A$3:$X$22,3+VLOOKUP(B94,MonsterWaveCallRuleCfg!$L$23:$Q$102,6,FALSE)*5,FALSE)</f>
        <v>74717</v>
      </c>
      <c r="F94" s="57">
        <v>1</v>
      </c>
      <c r="G94" s="57">
        <v>0</v>
      </c>
      <c r="H94" s="57">
        <v>0</v>
      </c>
      <c r="I94" s="57">
        <v>0</v>
      </c>
    </row>
    <row r="95" spans="2:9" x14ac:dyDescent="0.2">
      <c r="B95" s="57" t="s">
        <v>558</v>
      </c>
      <c r="C95" s="57">
        <v>1</v>
      </c>
      <c r="D95" s="57" t="s">
        <v>571</v>
      </c>
      <c r="E95" s="102">
        <f>VLOOKUP(VLOOKUP(B95,MonsterWaveCallRuleCfg!$L$23:$Q$102,5,FALSE),无限模式!$A$3:$X$22,3+VLOOKUP(B95,MonsterWaveCallRuleCfg!$L$23:$Q$102,6,FALSE)*5,FALSE)</f>
        <v>66000</v>
      </c>
      <c r="F95" s="57">
        <v>1</v>
      </c>
      <c r="G95" s="57">
        <v>0</v>
      </c>
      <c r="H95" s="57">
        <v>0</v>
      </c>
      <c r="I95" s="57">
        <v>0</v>
      </c>
    </row>
    <row r="96" spans="2:9" x14ac:dyDescent="0.2">
      <c r="B96" s="57" t="s">
        <v>559</v>
      </c>
      <c r="C96" s="57">
        <v>1</v>
      </c>
      <c r="D96" s="57" t="s">
        <v>571</v>
      </c>
      <c r="E96" s="102">
        <f>VLOOKUP(VLOOKUP(B96,MonsterWaveCallRuleCfg!$L$23:$Q$102,5,FALSE),无限模式!$A$3:$X$22,3+VLOOKUP(B96,MonsterWaveCallRuleCfg!$L$23:$Q$102,6,FALSE)*5,FALSE)</f>
        <v>33000</v>
      </c>
      <c r="F96" s="57">
        <v>1</v>
      </c>
      <c r="G96" s="57">
        <v>0</v>
      </c>
      <c r="H96" s="57">
        <v>0</v>
      </c>
      <c r="I96" s="57">
        <v>0</v>
      </c>
    </row>
    <row r="97" spans="2:28" x14ac:dyDescent="0.2">
      <c r="B97" s="57" t="s">
        <v>560</v>
      </c>
      <c r="C97" s="57">
        <v>1</v>
      </c>
      <c r="D97" s="57" t="s">
        <v>571</v>
      </c>
      <c r="E97" s="102">
        <f>VLOOKUP(VLOOKUP(B97,MonsterWaveCallRuleCfg!$L$23:$Q$102,5,FALSE),无限模式!$A$3:$X$22,3+VLOOKUP(B97,MonsterWaveCallRuleCfg!$L$23:$Q$102,6,FALSE)*5,FALSE)</f>
        <v>46154</v>
      </c>
      <c r="F97" s="57">
        <v>1</v>
      </c>
      <c r="G97" s="57">
        <v>0</v>
      </c>
      <c r="H97" s="57">
        <v>0</v>
      </c>
      <c r="I97" s="57">
        <v>0</v>
      </c>
    </row>
    <row r="98" spans="2:28" x14ac:dyDescent="0.2">
      <c r="B98" s="57" t="s">
        <v>561</v>
      </c>
      <c r="C98" s="57">
        <v>1</v>
      </c>
      <c r="D98" s="57" t="s">
        <v>571</v>
      </c>
      <c r="E98" s="102">
        <f>VLOOKUP(VLOOKUP(B98,MonsterWaveCallRuleCfg!$L$23:$Q$102,5,FALSE),无限模式!$A$3:$X$22,3+VLOOKUP(B98,MonsterWaveCallRuleCfg!$L$23:$Q$102,6,FALSE)*5,FALSE)</f>
        <v>23077</v>
      </c>
      <c r="F98" s="57">
        <v>1</v>
      </c>
      <c r="G98" s="57">
        <v>0</v>
      </c>
      <c r="H98" s="57">
        <v>0</v>
      </c>
      <c r="I98" s="57">
        <v>0</v>
      </c>
    </row>
    <row r="99" spans="2:28" x14ac:dyDescent="0.2">
      <c r="B99" s="57" t="s">
        <v>568</v>
      </c>
      <c r="C99" s="57">
        <v>1</v>
      </c>
      <c r="D99" s="57" t="s">
        <v>571</v>
      </c>
      <c r="E99" s="102">
        <f>VLOOKUP(VLOOKUP(B99,MonsterWaveCallRuleCfg!$L$23:$Q$102,5,FALSE),无限模式!$A$3:$X$22,3+VLOOKUP(B99,MonsterWaveCallRuleCfg!$L$23:$Q$102,6,FALSE)*5,FALSE)</f>
        <v>69231</v>
      </c>
      <c r="F99" s="57">
        <v>1</v>
      </c>
      <c r="G99" s="57">
        <v>0</v>
      </c>
      <c r="H99" s="57">
        <v>0</v>
      </c>
      <c r="I99" s="57">
        <v>0</v>
      </c>
    </row>
    <row r="100" spans="2:28" x14ac:dyDescent="0.2">
      <c r="B100" s="57" t="s">
        <v>562</v>
      </c>
      <c r="C100" s="57">
        <v>1</v>
      </c>
      <c r="D100" s="57" t="s">
        <v>571</v>
      </c>
      <c r="E100" s="102">
        <f>VLOOKUP(VLOOKUP(B100,MonsterWaveCallRuleCfg!$L$23:$Q$102,5,FALSE),无限模式!$A$3:$X$22,3+VLOOKUP(B100,MonsterWaveCallRuleCfg!$L$23:$Q$102,6,FALSE)*5,FALSE)</f>
        <v>40696</v>
      </c>
      <c r="F100" s="57">
        <v>1</v>
      </c>
      <c r="G100" s="57">
        <v>0</v>
      </c>
      <c r="H100" s="57">
        <v>0</v>
      </c>
      <c r="I100" s="57">
        <v>0</v>
      </c>
    </row>
    <row r="101" spans="2:28" x14ac:dyDescent="0.2">
      <c r="B101" s="57" t="s">
        <v>563</v>
      </c>
      <c r="C101" s="57">
        <v>1</v>
      </c>
      <c r="D101" s="57" t="s">
        <v>571</v>
      </c>
      <c r="E101" s="102">
        <f>VLOOKUP(VLOOKUP(B101,MonsterWaveCallRuleCfg!$L$23:$Q$102,5,FALSE),无限模式!$A$3:$X$22,3+VLOOKUP(B101,MonsterWaveCallRuleCfg!$L$23:$Q$102,6,FALSE)*5,FALSE)</f>
        <v>20348</v>
      </c>
      <c r="F101" s="57">
        <v>1</v>
      </c>
      <c r="G101" s="57">
        <v>0</v>
      </c>
      <c r="H101" s="57">
        <v>0</v>
      </c>
      <c r="I101" s="57">
        <v>0</v>
      </c>
    </row>
    <row r="102" spans="2:28" x14ac:dyDescent="0.2">
      <c r="B102" s="57" t="s">
        <v>569</v>
      </c>
      <c r="C102" s="57">
        <v>1</v>
      </c>
      <c r="D102" s="57" t="s">
        <v>571</v>
      </c>
      <c r="E102" s="102">
        <f>VLOOKUP(VLOOKUP(B102,MonsterWaveCallRuleCfg!$L$23:$Q$102,5,FALSE),无限模式!$A$3:$X$22,3+VLOOKUP(B102,MonsterWaveCallRuleCfg!$L$23:$Q$102,6,FALSE)*5,FALSE)</f>
        <v>61043</v>
      </c>
      <c r="F102" s="57">
        <v>1</v>
      </c>
      <c r="G102" s="57">
        <v>0</v>
      </c>
      <c r="H102" s="57">
        <v>0</v>
      </c>
      <c r="I102" s="57">
        <v>0</v>
      </c>
    </row>
    <row r="103" spans="2:28" x14ac:dyDescent="0.2">
      <c r="B103" s="57" t="s">
        <v>570</v>
      </c>
      <c r="C103" s="57">
        <v>1</v>
      </c>
      <c r="D103" s="57" t="s">
        <v>571</v>
      </c>
      <c r="E103" s="102">
        <f>VLOOKUP(VLOOKUP(B103,MonsterWaveCallRuleCfg!$L$23:$Q$102,5,FALSE),无限模式!$A$3:$X$22,3+VLOOKUP(B103,MonsterWaveCallRuleCfg!$L$23:$Q$102,6,FALSE)*5,FALSE)</f>
        <v>406957</v>
      </c>
      <c r="F103" s="57">
        <v>1</v>
      </c>
      <c r="G103" s="57">
        <v>0</v>
      </c>
      <c r="H103" s="57">
        <v>0</v>
      </c>
      <c r="I103" s="57">
        <v>0</v>
      </c>
    </row>
    <row r="105" spans="2:28" x14ac:dyDescent="0.2">
      <c r="B105" s="57" t="s">
        <v>832</v>
      </c>
      <c r="C105" s="57">
        <v>1</v>
      </c>
      <c r="D105" s="57" t="s">
        <v>731</v>
      </c>
      <c r="E105" s="102">
        <f>VLOOKUP(Z105&amp;"_"&amp;AA105,挑战模式!$A$3:$Z$58,5+5*AB105,FALSE)</f>
        <v>180</v>
      </c>
      <c r="F105" s="57">
        <v>1</v>
      </c>
      <c r="G105" s="57">
        <v>0</v>
      </c>
      <c r="H105" s="57">
        <v>0</v>
      </c>
      <c r="I105" s="57">
        <v>0</v>
      </c>
      <c r="Z105" s="110">
        <v>1</v>
      </c>
      <c r="AA105" s="110">
        <v>1</v>
      </c>
      <c r="AB105" s="110">
        <v>1</v>
      </c>
    </row>
    <row r="106" spans="2:28" x14ac:dyDescent="0.2">
      <c r="B106" s="57" t="s">
        <v>833</v>
      </c>
      <c r="C106" s="57">
        <v>1</v>
      </c>
      <c r="D106" s="57" t="s">
        <v>732</v>
      </c>
      <c r="E106" s="102">
        <f>VLOOKUP(Z106&amp;"_"&amp;AA106,挑战模式!$A$3:$Z$58,5+5*AB106,FALSE)</f>
        <v>130</v>
      </c>
      <c r="F106" s="57">
        <v>1</v>
      </c>
      <c r="G106" s="57">
        <v>0</v>
      </c>
      <c r="H106" s="57">
        <v>0</v>
      </c>
      <c r="I106" s="57">
        <v>0</v>
      </c>
      <c r="Z106" s="110">
        <v>1</v>
      </c>
      <c r="AA106" s="110">
        <v>2</v>
      </c>
      <c r="AB106" s="110">
        <v>1</v>
      </c>
    </row>
    <row r="107" spans="2:28" x14ac:dyDescent="0.2">
      <c r="B107" s="57" t="s">
        <v>834</v>
      </c>
      <c r="C107" s="57">
        <v>1</v>
      </c>
      <c r="D107" s="57" t="s">
        <v>733</v>
      </c>
      <c r="E107" s="102">
        <f>VLOOKUP(Z107&amp;"_"&amp;AA107,挑战模式!$A$3:$Z$58,5+5*AB107,FALSE)</f>
        <v>166</v>
      </c>
      <c r="F107" s="57">
        <v>1</v>
      </c>
      <c r="G107" s="57">
        <v>0</v>
      </c>
      <c r="H107" s="57">
        <v>0</v>
      </c>
      <c r="I107" s="57">
        <v>0</v>
      </c>
      <c r="Z107" s="110">
        <v>1</v>
      </c>
      <c r="AA107" s="110">
        <v>3</v>
      </c>
      <c r="AB107" s="110">
        <v>1</v>
      </c>
    </row>
    <row r="108" spans="2:28" x14ac:dyDescent="0.2">
      <c r="B108" s="57" t="s">
        <v>835</v>
      </c>
      <c r="C108" s="57">
        <v>1</v>
      </c>
      <c r="D108" s="57" t="s">
        <v>734</v>
      </c>
      <c r="E108" s="102">
        <f>VLOOKUP(Z108&amp;"_"&amp;AA108,挑战模式!$A$3:$Z$58,5+5*AB108,FALSE)</f>
        <v>662</v>
      </c>
      <c r="F108" s="57">
        <v>1</v>
      </c>
      <c r="G108" s="57">
        <v>0</v>
      </c>
      <c r="H108" s="57">
        <v>0</v>
      </c>
      <c r="I108" s="57">
        <v>0</v>
      </c>
      <c r="Z108" s="110">
        <v>1</v>
      </c>
      <c r="AA108" s="110">
        <v>3</v>
      </c>
      <c r="AB108" s="110">
        <v>2</v>
      </c>
    </row>
    <row r="109" spans="2:28" x14ac:dyDescent="0.2">
      <c r="B109" s="57" t="s">
        <v>836</v>
      </c>
      <c r="C109" s="57">
        <v>1</v>
      </c>
      <c r="D109" s="57" t="s">
        <v>735</v>
      </c>
      <c r="E109" s="102">
        <f>VLOOKUP(Z109&amp;"_"&amp;AA109,挑战模式!$A$3:$Z$58,5+5*AB109,FALSE)</f>
        <v>166</v>
      </c>
      <c r="F109" s="57">
        <v>1</v>
      </c>
      <c r="G109" s="57">
        <v>0</v>
      </c>
      <c r="H109" s="57">
        <v>0</v>
      </c>
      <c r="I109" s="57">
        <v>0</v>
      </c>
      <c r="Z109" s="110">
        <v>1</v>
      </c>
      <c r="AA109" s="110">
        <v>4</v>
      </c>
      <c r="AB109" s="110">
        <v>1</v>
      </c>
    </row>
    <row r="110" spans="2:28" x14ac:dyDescent="0.2">
      <c r="B110" s="57" t="s">
        <v>837</v>
      </c>
      <c r="C110" s="57">
        <v>1</v>
      </c>
      <c r="D110" s="57" t="s">
        <v>736</v>
      </c>
      <c r="E110" s="102">
        <f>VLOOKUP(Z110&amp;"_"&amp;AA110,挑战模式!$A$3:$Z$58,5+5*AB110,FALSE)</f>
        <v>662</v>
      </c>
      <c r="F110" s="57">
        <v>1</v>
      </c>
      <c r="G110" s="57">
        <v>0</v>
      </c>
      <c r="H110" s="57">
        <v>0</v>
      </c>
      <c r="I110" s="57">
        <v>0</v>
      </c>
      <c r="Z110" s="110">
        <v>1</v>
      </c>
      <c r="AA110" s="110">
        <v>4</v>
      </c>
      <c r="AB110" s="110">
        <v>2</v>
      </c>
    </row>
    <row r="111" spans="2:28" x14ac:dyDescent="0.2">
      <c r="B111" s="57" t="s">
        <v>838</v>
      </c>
      <c r="C111" s="57">
        <v>1</v>
      </c>
      <c r="D111" s="57" t="s">
        <v>737</v>
      </c>
      <c r="E111" s="102">
        <f>VLOOKUP(Z111&amp;"_"&amp;AA111,挑战模式!$A$3:$Z$58,5+5*AB111,FALSE)</f>
        <v>181</v>
      </c>
      <c r="F111" s="57">
        <v>1</v>
      </c>
      <c r="G111" s="57">
        <v>0</v>
      </c>
      <c r="H111" s="57">
        <v>0</v>
      </c>
      <c r="I111" s="57">
        <v>0</v>
      </c>
      <c r="Z111" s="110">
        <v>1</v>
      </c>
      <c r="AA111" s="110">
        <v>5</v>
      </c>
      <c r="AB111" s="110">
        <v>1</v>
      </c>
    </row>
    <row r="112" spans="2:28" x14ac:dyDescent="0.2">
      <c r="B112" s="57" t="s">
        <v>839</v>
      </c>
      <c r="C112" s="57">
        <v>1</v>
      </c>
      <c r="D112" s="57" t="s">
        <v>738</v>
      </c>
      <c r="E112" s="102">
        <f>VLOOKUP(Z112&amp;"_"&amp;AA112,挑战模式!$A$3:$Z$58,5+5*AB112,FALSE)</f>
        <v>722</v>
      </c>
      <c r="F112" s="57">
        <v>1</v>
      </c>
      <c r="G112" s="57">
        <v>0</v>
      </c>
      <c r="H112" s="57">
        <v>0</v>
      </c>
      <c r="I112" s="57">
        <v>0</v>
      </c>
      <c r="Z112" s="110">
        <v>1</v>
      </c>
      <c r="AA112" s="110">
        <v>5</v>
      </c>
      <c r="AB112" s="110">
        <v>2</v>
      </c>
    </row>
    <row r="113" spans="2:28" x14ac:dyDescent="0.2">
      <c r="B113" s="57" t="s">
        <v>840</v>
      </c>
      <c r="C113" s="57">
        <v>1</v>
      </c>
      <c r="D113" s="57" t="s">
        <v>739</v>
      </c>
      <c r="E113" s="102">
        <f>VLOOKUP(Z113&amp;"_"&amp;AA113,挑战模式!$A$3:$Z$58,5+5*AB113,FALSE)</f>
        <v>180</v>
      </c>
      <c r="F113" s="57">
        <v>1</v>
      </c>
      <c r="G113" s="57">
        <v>0</v>
      </c>
      <c r="H113" s="57">
        <v>0</v>
      </c>
      <c r="I113" s="57">
        <v>0</v>
      </c>
      <c r="Z113" s="110">
        <v>2</v>
      </c>
      <c r="AA113" s="110">
        <v>1</v>
      </c>
      <c r="AB113" s="110">
        <v>1</v>
      </c>
    </row>
    <row r="114" spans="2:28" x14ac:dyDescent="0.2">
      <c r="B114" s="57" t="s">
        <v>841</v>
      </c>
      <c r="C114" s="57">
        <v>1</v>
      </c>
      <c r="D114" s="57" t="s">
        <v>740</v>
      </c>
      <c r="E114" s="102">
        <f>VLOOKUP(Z114&amp;"_"&amp;AA114,挑战模式!$A$3:$Z$58,5+5*AB114,FALSE)</f>
        <v>360</v>
      </c>
      <c r="F114" s="57">
        <v>1</v>
      </c>
      <c r="G114" s="57">
        <v>0</v>
      </c>
      <c r="H114" s="57">
        <v>0</v>
      </c>
      <c r="I114" s="57">
        <v>0</v>
      </c>
      <c r="Z114" s="110">
        <v>2</v>
      </c>
      <c r="AA114" s="110">
        <v>2</v>
      </c>
      <c r="AB114" s="110">
        <v>1</v>
      </c>
    </row>
    <row r="115" spans="2:28" x14ac:dyDescent="0.2">
      <c r="B115" s="57" t="s">
        <v>842</v>
      </c>
      <c r="C115" s="57">
        <v>1</v>
      </c>
      <c r="D115" s="57" t="s">
        <v>741</v>
      </c>
      <c r="E115" s="102">
        <f>VLOOKUP(Z115&amp;"_"&amp;AA115,挑战模式!$A$3:$Z$58,5+5*AB115,FALSE)</f>
        <v>720</v>
      </c>
      <c r="F115" s="57">
        <v>1</v>
      </c>
      <c r="G115" s="57">
        <v>0</v>
      </c>
      <c r="H115" s="57">
        <v>0</v>
      </c>
      <c r="I115" s="57">
        <v>0</v>
      </c>
      <c r="Z115" s="110">
        <v>2</v>
      </c>
      <c r="AA115" s="110">
        <v>2</v>
      </c>
      <c r="AB115" s="110">
        <v>2</v>
      </c>
    </row>
    <row r="116" spans="2:28" x14ac:dyDescent="0.2">
      <c r="B116" s="57" t="s">
        <v>843</v>
      </c>
      <c r="C116" s="57">
        <v>1</v>
      </c>
      <c r="D116" s="57" t="s">
        <v>742</v>
      </c>
      <c r="E116" s="102">
        <f>VLOOKUP(Z116&amp;"_"&amp;AA116,挑战模式!$A$3:$Z$58,5+5*AB116,FALSE)</f>
        <v>576</v>
      </c>
      <c r="F116" s="57">
        <v>1</v>
      </c>
      <c r="G116" s="57">
        <v>0</v>
      </c>
      <c r="H116" s="57">
        <v>0</v>
      </c>
      <c r="I116" s="57">
        <v>0</v>
      </c>
      <c r="Z116" s="110">
        <v>2</v>
      </c>
      <c r="AA116" s="110">
        <v>3</v>
      </c>
      <c r="AB116" s="110">
        <v>1</v>
      </c>
    </row>
    <row r="117" spans="2:28" x14ac:dyDescent="0.2">
      <c r="B117" s="57" t="s">
        <v>844</v>
      </c>
      <c r="C117" s="57">
        <v>1</v>
      </c>
      <c r="D117" s="57" t="s">
        <v>743</v>
      </c>
      <c r="E117" s="102">
        <f>VLOOKUP(Z117&amp;"_"&amp;AA117,挑战模式!$A$3:$Z$58,5+5*AB117,FALSE)</f>
        <v>288</v>
      </c>
      <c r="F117" s="57">
        <v>1</v>
      </c>
      <c r="G117" s="57">
        <v>0</v>
      </c>
      <c r="H117" s="57">
        <v>0</v>
      </c>
      <c r="I117" s="57">
        <v>0</v>
      </c>
      <c r="Z117" s="110">
        <v>2</v>
      </c>
      <c r="AA117" s="110">
        <v>3</v>
      </c>
      <c r="AB117" s="110">
        <v>2</v>
      </c>
    </row>
    <row r="118" spans="2:28" x14ac:dyDescent="0.2">
      <c r="B118" s="57" t="s">
        <v>845</v>
      </c>
      <c r="C118" s="57">
        <v>1</v>
      </c>
      <c r="D118" s="57" t="s">
        <v>744</v>
      </c>
      <c r="E118" s="102">
        <f>VLOOKUP(Z118&amp;"_"&amp;AA118,挑战模式!$A$3:$Z$58,5+5*AB118,FALSE)</f>
        <v>206</v>
      </c>
      <c r="F118" s="57">
        <v>1</v>
      </c>
      <c r="G118" s="57">
        <v>0</v>
      </c>
      <c r="H118" s="57">
        <v>0</v>
      </c>
      <c r="I118" s="57">
        <v>0</v>
      </c>
      <c r="Z118" s="110">
        <v>2</v>
      </c>
      <c r="AA118" s="110">
        <v>4</v>
      </c>
      <c r="AB118" s="110">
        <v>1</v>
      </c>
    </row>
    <row r="119" spans="2:28" x14ac:dyDescent="0.2">
      <c r="B119" s="57" t="s">
        <v>846</v>
      </c>
      <c r="C119" s="57">
        <v>1</v>
      </c>
      <c r="D119" s="57" t="s">
        <v>745</v>
      </c>
      <c r="E119" s="102">
        <f>VLOOKUP(Z119&amp;"_"&amp;AA119,挑战模式!$A$3:$Z$58,5+5*AB119,FALSE)</f>
        <v>103</v>
      </c>
      <c r="F119" s="57">
        <v>1</v>
      </c>
      <c r="G119" s="57">
        <v>0</v>
      </c>
      <c r="H119" s="57">
        <v>0</v>
      </c>
      <c r="I119" s="57">
        <v>0</v>
      </c>
      <c r="Z119" s="110">
        <v>2</v>
      </c>
      <c r="AA119" s="110">
        <v>4</v>
      </c>
      <c r="AB119" s="110">
        <v>2</v>
      </c>
    </row>
    <row r="120" spans="2:28" x14ac:dyDescent="0.2">
      <c r="B120" s="57" t="s">
        <v>847</v>
      </c>
      <c r="C120" s="57">
        <v>1</v>
      </c>
      <c r="D120" s="57" t="s">
        <v>746</v>
      </c>
      <c r="E120" s="102">
        <f>VLOOKUP(Z120&amp;"_"&amp;AA120,挑战模式!$A$3:$Z$58,5+5*AB120,FALSE)</f>
        <v>411</v>
      </c>
      <c r="F120" s="57">
        <v>1</v>
      </c>
      <c r="G120" s="57">
        <v>0</v>
      </c>
      <c r="H120" s="57">
        <v>0</v>
      </c>
      <c r="I120" s="57">
        <v>0</v>
      </c>
      <c r="Z120" s="110">
        <v>2</v>
      </c>
      <c r="AA120" s="110">
        <v>4</v>
      </c>
      <c r="AB120" s="110">
        <v>3</v>
      </c>
    </row>
    <row r="121" spans="2:28" x14ac:dyDescent="0.2">
      <c r="B121" s="57" t="s">
        <v>848</v>
      </c>
      <c r="C121" s="57">
        <v>1</v>
      </c>
      <c r="D121" s="57" t="s">
        <v>747</v>
      </c>
      <c r="E121" s="102">
        <f>VLOOKUP(Z121&amp;"_"&amp;AA121,挑战模式!$A$3:$Z$58,5+5*AB121,FALSE)</f>
        <v>267</v>
      </c>
      <c r="F121" s="57">
        <v>1</v>
      </c>
      <c r="G121" s="57">
        <v>0</v>
      </c>
      <c r="H121" s="57">
        <v>0</v>
      </c>
      <c r="I121" s="57">
        <v>0</v>
      </c>
      <c r="Z121" s="110">
        <v>2</v>
      </c>
      <c r="AA121" s="110">
        <v>5</v>
      </c>
      <c r="AB121" s="110">
        <v>1</v>
      </c>
    </row>
    <row r="122" spans="2:28" x14ac:dyDescent="0.2">
      <c r="B122" s="57" t="s">
        <v>849</v>
      </c>
      <c r="C122" s="57">
        <v>1</v>
      </c>
      <c r="D122" s="57" t="s">
        <v>748</v>
      </c>
      <c r="E122" s="102">
        <f>VLOOKUP(Z122&amp;"_"&amp;AA122,挑战模式!$A$3:$Z$58,5+5*AB122,FALSE)</f>
        <v>134</v>
      </c>
      <c r="F122" s="57">
        <v>1</v>
      </c>
      <c r="G122" s="57">
        <v>0</v>
      </c>
      <c r="H122" s="57">
        <v>0</v>
      </c>
      <c r="I122" s="57">
        <v>0</v>
      </c>
      <c r="Z122" s="110">
        <v>2</v>
      </c>
      <c r="AA122" s="110">
        <v>5</v>
      </c>
      <c r="AB122" s="110">
        <v>2</v>
      </c>
    </row>
    <row r="123" spans="2:28" x14ac:dyDescent="0.2">
      <c r="B123" s="57" t="s">
        <v>850</v>
      </c>
      <c r="C123" s="57">
        <v>1</v>
      </c>
      <c r="D123" s="57" t="s">
        <v>749</v>
      </c>
      <c r="E123" s="102">
        <f>VLOOKUP(Z123&amp;"_"&amp;AA123,挑战模式!$A$3:$Z$58,5+5*AB123,FALSE)</f>
        <v>535</v>
      </c>
      <c r="F123" s="57">
        <v>1</v>
      </c>
      <c r="G123" s="57">
        <v>0</v>
      </c>
      <c r="H123" s="57">
        <v>0</v>
      </c>
      <c r="I123" s="57">
        <v>0</v>
      </c>
      <c r="Z123" s="110">
        <v>2</v>
      </c>
      <c r="AA123" s="110">
        <v>5</v>
      </c>
      <c r="AB123" s="110">
        <v>3</v>
      </c>
    </row>
    <row r="124" spans="2:28" x14ac:dyDescent="0.2">
      <c r="B124" s="57" t="s">
        <v>883</v>
      </c>
      <c r="C124" s="57">
        <v>1</v>
      </c>
      <c r="D124" s="57" t="s">
        <v>884</v>
      </c>
      <c r="E124" s="102">
        <f>VLOOKUP(Z124&amp;"_"&amp;AA124,挑战模式!$A$3:$Z$58,5+5*AB124,FALSE)</f>
        <v>219</v>
      </c>
      <c r="F124" s="57">
        <v>1</v>
      </c>
      <c r="G124" s="57">
        <v>0</v>
      </c>
      <c r="H124" s="57">
        <v>0</v>
      </c>
      <c r="I124" s="57">
        <v>0</v>
      </c>
      <c r="Z124" s="110">
        <v>3</v>
      </c>
      <c r="AA124" s="110">
        <v>1</v>
      </c>
      <c r="AB124" s="110">
        <v>1</v>
      </c>
    </row>
    <row r="125" spans="2:28" x14ac:dyDescent="0.2">
      <c r="B125" s="57" t="s">
        <v>851</v>
      </c>
      <c r="C125" s="57">
        <v>1</v>
      </c>
      <c r="D125" s="57" t="s">
        <v>750</v>
      </c>
      <c r="E125" s="102">
        <f>VLOOKUP(Z125&amp;"_"&amp;AA125,挑战模式!$A$3:$Z$58,5+5*AB125,FALSE)</f>
        <v>324</v>
      </c>
      <c r="F125" s="57">
        <v>1</v>
      </c>
      <c r="G125" s="57">
        <v>0</v>
      </c>
      <c r="H125" s="57">
        <v>0</v>
      </c>
      <c r="I125" s="57">
        <v>0</v>
      </c>
      <c r="Z125" s="110">
        <v>3</v>
      </c>
      <c r="AA125" s="110">
        <v>2</v>
      </c>
      <c r="AB125" s="110">
        <v>1</v>
      </c>
    </row>
    <row r="126" spans="2:28" x14ac:dyDescent="0.2">
      <c r="B126" s="57" t="s">
        <v>852</v>
      </c>
      <c r="C126" s="57">
        <v>1</v>
      </c>
      <c r="D126" s="57" t="s">
        <v>751</v>
      </c>
      <c r="E126" s="102">
        <f>VLOOKUP(Z126&amp;"_"&amp;AA126,挑战模式!$A$3:$Z$58,5+5*AB126,FALSE)</f>
        <v>216</v>
      </c>
      <c r="F126" s="57">
        <v>1</v>
      </c>
      <c r="G126" s="57">
        <v>0</v>
      </c>
      <c r="H126" s="57">
        <v>0</v>
      </c>
      <c r="I126" s="57">
        <v>0</v>
      </c>
      <c r="Z126" s="110">
        <v>3</v>
      </c>
      <c r="AA126" s="110">
        <v>2</v>
      </c>
      <c r="AB126" s="110">
        <v>2</v>
      </c>
    </row>
    <row r="127" spans="2:28" x14ac:dyDescent="0.2">
      <c r="B127" s="57" t="s">
        <v>853</v>
      </c>
      <c r="C127" s="57">
        <v>1</v>
      </c>
      <c r="D127" s="57" t="s">
        <v>752</v>
      </c>
      <c r="E127" s="102">
        <f>VLOOKUP(Z127&amp;"_"&amp;AA127,挑战模式!$A$3:$Z$58,5+5*AB127,FALSE)</f>
        <v>1543</v>
      </c>
      <c r="F127" s="57">
        <v>1</v>
      </c>
      <c r="G127" s="57">
        <v>0</v>
      </c>
      <c r="H127" s="57">
        <v>0</v>
      </c>
      <c r="I127" s="57">
        <v>0</v>
      </c>
      <c r="Z127" s="110">
        <v>3</v>
      </c>
      <c r="AA127" s="110">
        <v>3</v>
      </c>
      <c r="AB127" s="110">
        <v>1</v>
      </c>
    </row>
    <row r="128" spans="2:28" x14ac:dyDescent="0.2">
      <c r="B128" s="57" t="s">
        <v>854</v>
      </c>
      <c r="C128" s="57">
        <v>1</v>
      </c>
      <c r="D128" s="57" t="s">
        <v>753</v>
      </c>
      <c r="E128" s="102">
        <f>VLOOKUP(Z128&amp;"_"&amp;AA128,挑战模式!$A$3:$Z$58,5+5*AB128,FALSE)</f>
        <v>257</v>
      </c>
      <c r="F128" s="57">
        <v>1</v>
      </c>
      <c r="G128" s="57">
        <v>0</v>
      </c>
      <c r="H128" s="57">
        <v>0</v>
      </c>
      <c r="I128" s="57">
        <v>0</v>
      </c>
      <c r="Z128" s="110">
        <v>3</v>
      </c>
      <c r="AA128" s="110">
        <v>3</v>
      </c>
      <c r="AB128" s="110">
        <v>2</v>
      </c>
    </row>
    <row r="129" spans="2:28" x14ac:dyDescent="0.2">
      <c r="B129" s="57" t="s">
        <v>855</v>
      </c>
      <c r="C129" s="57">
        <v>1</v>
      </c>
      <c r="D129" s="57" t="s">
        <v>754</v>
      </c>
      <c r="E129" s="102">
        <f>VLOOKUP(Z129&amp;"_"&amp;AA129,挑战模式!$A$3:$Z$58,5+5*AB129,FALSE)</f>
        <v>410</v>
      </c>
      <c r="F129" s="57">
        <v>1</v>
      </c>
      <c r="G129" s="57">
        <v>0</v>
      </c>
      <c r="H129" s="57">
        <v>0</v>
      </c>
      <c r="I129" s="57">
        <v>0</v>
      </c>
      <c r="Z129" s="110">
        <v>3</v>
      </c>
      <c r="AA129" s="110">
        <v>4</v>
      </c>
      <c r="AB129" s="110">
        <v>1</v>
      </c>
    </row>
    <row r="130" spans="2:28" x14ac:dyDescent="0.2">
      <c r="B130" s="57" t="s">
        <v>856</v>
      </c>
      <c r="C130" s="57">
        <v>1</v>
      </c>
      <c r="D130" s="57" t="s">
        <v>755</v>
      </c>
      <c r="E130" s="102">
        <f>VLOOKUP(Z130&amp;"_"&amp;AA130,挑战模式!$A$3:$Z$58,5+5*AB130,FALSE)</f>
        <v>68</v>
      </c>
      <c r="F130" s="57">
        <v>1</v>
      </c>
      <c r="G130" s="57">
        <v>0</v>
      </c>
      <c r="H130" s="57">
        <v>0</v>
      </c>
      <c r="I130" s="57">
        <v>0</v>
      </c>
      <c r="Z130" s="110">
        <v>3</v>
      </c>
      <c r="AA130" s="110">
        <v>4</v>
      </c>
      <c r="AB130" s="110">
        <v>2</v>
      </c>
    </row>
    <row r="131" spans="2:28" x14ac:dyDescent="0.2">
      <c r="B131" s="57" t="s">
        <v>857</v>
      </c>
      <c r="C131" s="57">
        <v>1</v>
      </c>
      <c r="D131" s="57" t="s">
        <v>756</v>
      </c>
      <c r="E131" s="102">
        <f>VLOOKUP(Z131&amp;"_"&amp;AA131,挑战模式!$A$3:$Z$58,5+5*AB131,FALSE)</f>
        <v>137</v>
      </c>
      <c r="F131" s="57">
        <v>1</v>
      </c>
      <c r="G131" s="57">
        <v>0</v>
      </c>
      <c r="H131" s="57">
        <v>0</v>
      </c>
      <c r="I131" s="57">
        <v>0</v>
      </c>
      <c r="Z131" s="110">
        <v>3</v>
      </c>
      <c r="AA131" s="110">
        <v>4</v>
      </c>
      <c r="AB131" s="110">
        <v>3</v>
      </c>
    </row>
    <row r="132" spans="2:28" x14ac:dyDescent="0.2">
      <c r="B132" s="57" t="s">
        <v>858</v>
      </c>
      <c r="C132" s="57">
        <v>1</v>
      </c>
      <c r="D132" s="57" t="s">
        <v>757</v>
      </c>
      <c r="E132" s="102">
        <f>VLOOKUP(Z132&amp;"_"&amp;AA132,挑战模式!$A$3:$Z$58,5+5*AB132,FALSE)</f>
        <v>416</v>
      </c>
      <c r="F132" s="57">
        <v>1</v>
      </c>
      <c r="G132" s="57">
        <v>0</v>
      </c>
      <c r="H132" s="57">
        <v>0</v>
      </c>
      <c r="I132" s="57">
        <v>0</v>
      </c>
      <c r="Z132" s="110">
        <v>3</v>
      </c>
      <c r="AA132" s="110">
        <v>5</v>
      </c>
      <c r="AB132" s="110">
        <v>1</v>
      </c>
    </row>
    <row r="133" spans="2:28" x14ac:dyDescent="0.2">
      <c r="B133" s="57" t="s">
        <v>859</v>
      </c>
      <c r="C133" s="57">
        <v>1</v>
      </c>
      <c r="D133" s="57" t="s">
        <v>758</v>
      </c>
      <c r="E133" s="102">
        <f>VLOOKUP(Z133&amp;"_"&amp;AA133,挑战模式!$A$3:$Z$58,5+5*AB133,FALSE)</f>
        <v>277</v>
      </c>
      <c r="F133" s="57">
        <v>1</v>
      </c>
      <c r="G133" s="57">
        <v>0</v>
      </c>
      <c r="H133" s="57">
        <v>0</v>
      </c>
      <c r="I133" s="57">
        <v>0</v>
      </c>
      <c r="Z133" s="110">
        <v>3</v>
      </c>
      <c r="AA133" s="110">
        <v>5</v>
      </c>
      <c r="AB133" s="110">
        <v>2</v>
      </c>
    </row>
    <row r="134" spans="2:28" x14ac:dyDescent="0.2">
      <c r="B134" s="57" t="s">
        <v>860</v>
      </c>
      <c r="C134" s="57">
        <v>1</v>
      </c>
      <c r="D134" s="57" t="s">
        <v>759</v>
      </c>
      <c r="E134" s="102">
        <f>VLOOKUP(Z134&amp;"_"&amp;AA134,挑战模式!$A$3:$Z$58,5+5*AB134,FALSE)</f>
        <v>139</v>
      </c>
      <c r="F134" s="57">
        <v>1</v>
      </c>
      <c r="G134" s="57">
        <v>0</v>
      </c>
      <c r="H134" s="57">
        <v>0</v>
      </c>
      <c r="I134" s="57">
        <v>0</v>
      </c>
      <c r="Z134" s="110">
        <v>3</v>
      </c>
      <c r="AA134" s="110">
        <v>5</v>
      </c>
      <c r="AB134" s="110">
        <v>3</v>
      </c>
    </row>
    <row r="135" spans="2:28" x14ac:dyDescent="0.2">
      <c r="B135" s="57" t="s">
        <v>861</v>
      </c>
      <c r="C135" s="57">
        <v>1</v>
      </c>
      <c r="D135" s="57" t="s">
        <v>760</v>
      </c>
      <c r="E135" s="102">
        <f>VLOOKUP(Z135&amp;"_"&amp;AA135,挑战模式!$A$3:$Z$58,5+5*AB135,FALSE)</f>
        <v>321</v>
      </c>
      <c r="F135" s="57">
        <v>1</v>
      </c>
      <c r="G135" s="57">
        <v>0</v>
      </c>
      <c r="H135" s="57">
        <v>0</v>
      </c>
      <c r="I135" s="57">
        <v>0</v>
      </c>
      <c r="Z135" s="110">
        <v>4</v>
      </c>
      <c r="AA135" s="110">
        <v>1</v>
      </c>
      <c r="AB135" s="110">
        <v>1</v>
      </c>
    </row>
    <row r="136" spans="2:28" x14ac:dyDescent="0.2">
      <c r="B136" s="57" t="s">
        <v>862</v>
      </c>
      <c r="C136" s="57">
        <v>1</v>
      </c>
      <c r="D136" s="57" t="s">
        <v>761</v>
      </c>
      <c r="E136" s="102">
        <f>VLOOKUP(Z136&amp;"_"&amp;AA136,挑战模式!$A$3:$Z$58,5+5*AB136,FALSE)</f>
        <v>233</v>
      </c>
      <c r="F136" s="57">
        <v>1</v>
      </c>
      <c r="G136" s="57">
        <v>0</v>
      </c>
      <c r="H136" s="57">
        <v>0</v>
      </c>
      <c r="I136" s="57">
        <v>0</v>
      </c>
      <c r="Z136" s="110">
        <v>4</v>
      </c>
      <c r="AA136" s="110">
        <v>2</v>
      </c>
      <c r="AB136" s="110">
        <v>1</v>
      </c>
    </row>
    <row r="137" spans="2:28" x14ac:dyDescent="0.2">
      <c r="B137" s="57" t="s">
        <v>863</v>
      </c>
      <c r="C137" s="57">
        <v>1</v>
      </c>
      <c r="D137" s="57" t="s">
        <v>762</v>
      </c>
      <c r="E137" s="102">
        <f>VLOOKUP(Z137&amp;"_"&amp;AA137,挑战模式!$A$3:$Z$58,5+5*AB137,FALSE)</f>
        <v>466</v>
      </c>
      <c r="F137" s="57">
        <v>1</v>
      </c>
      <c r="G137" s="57">
        <v>0</v>
      </c>
      <c r="H137" s="57">
        <v>0</v>
      </c>
      <c r="I137" s="57">
        <v>0</v>
      </c>
      <c r="Z137" s="110">
        <v>4</v>
      </c>
      <c r="AA137" s="110">
        <v>2</v>
      </c>
      <c r="AB137" s="110">
        <v>2</v>
      </c>
    </row>
    <row r="138" spans="2:28" x14ac:dyDescent="0.2">
      <c r="B138" s="57" t="s">
        <v>864</v>
      </c>
      <c r="C138" s="57">
        <v>1</v>
      </c>
      <c r="D138" s="57" t="s">
        <v>763</v>
      </c>
      <c r="E138" s="102">
        <f>VLOOKUP(Z138&amp;"_"&amp;AA138,挑战模式!$A$3:$Z$58,5+5*AB138,FALSE)</f>
        <v>1023</v>
      </c>
      <c r="F138" s="57">
        <v>1</v>
      </c>
      <c r="G138" s="57">
        <v>0</v>
      </c>
      <c r="H138" s="57">
        <v>0</v>
      </c>
      <c r="I138" s="57">
        <v>0</v>
      </c>
      <c r="Z138" s="110">
        <v>4</v>
      </c>
      <c r="AA138" s="110">
        <v>3</v>
      </c>
      <c r="AB138" s="110">
        <v>1</v>
      </c>
    </row>
    <row r="139" spans="2:28" x14ac:dyDescent="0.2">
      <c r="B139" s="57" t="s">
        <v>865</v>
      </c>
      <c r="C139" s="57">
        <v>1</v>
      </c>
      <c r="D139" s="57" t="s">
        <v>764</v>
      </c>
      <c r="E139" s="102">
        <f>VLOOKUP(Z139&amp;"_"&amp;AA139,挑战模式!$A$3:$Z$58,5+5*AB139,FALSE)</f>
        <v>512</v>
      </c>
      <c r="F139" s="57">
        <v>1</v>
      </c>
      <c r="G139" s="57">
        <v>0</v>
      </c>
      <c r="H139" s="57">
        <v>0</v>
      </c>
      <c r="I139" s="57">
        <v>0</v>
      </c>
      <c r="Z139" s="110">
        <v>4</v>
      </c>
      <c r="AA139" s="110">
        <v>3</v>
      </c>
      <c r="AB139" s="110">
        <v>2</v>
      </c>
    </row>
    <row r="140" spans="2:28" x14ac:dyDescent="0.2">
      <c r="B140" s="57" t="s">
        <v>866</v>
      </c>
      <c r="C140" s="57">
        <v>1</v>
      </c>
      <c r="D140" s="57" t="s">
        <v>765</v>
      </c>
      <c r="E140" s="102">
        <f>VLOOKUP(Z140&amp;"_"&amp;AA140,挑战模式!$A$3:$Z$58,5+5*AB140,FALSE)</f>
        <v>241</v>
      </c>
      <c r="F140" s="57">
        <v>1</v>
      </c>
      <c r="G140" s="57">
        <v>0</v>
      </c>
      <c r="H140" s="57">
        <v>0</v>
      </c>
      <c r="I140" s="57">
        <v>0</v>
      </c>
      <c r="Z140" s="110">
        <v>4</v>
      </c>
      <c r="AA140" s="110">
        <v>4</v>
      </c>
      <c r="AB140" s="110">
        <v>1</v>
      </c>
    </row>
    <row r="141" spans="2:28" x14ac:dyDescent="0.2">
      <c r="B141" s="57" t="s">
        <v>867</v>
      </c>
      <c r="C141" s="57">
        <v>1</v>
      </c>
      <c r="D141" s="57" t="s">
        <v>766</v>
      </c>
      <c r="E141" s="102">
        <f>VLOOKUP(Z141&amp;"_"&amp;AA141,挑战模式!$A$3:$Z$58,5+5*AB141,FALSE)</f>
        <v>241</v>
      </c>
      <c r="F141" s="57">
        <v>1</v>
      </c>
      <c r="G141" s="57">
        <v>0</v>
      </c>
      <c r="H141" s="57">
        <v>0</v>
      </c>
      <c r="I141" s="57">
        <v>0</v>
      </c>
      <c r="Z141" s="110">
        <v>4</v>
      </c>
      <c r="AA141" s="110">
        <v>4</v>
      </c>
      <c r="AB141" s="110">
        <v>2</v>
      </c>
    </row>
    <row r="142" spans="2:28" x14ac:dyDescent="0.2">
      <c r="B142" s="57" t="s">
        <v>868</v>
      </c>
      <c r="C142" s="57">
        <v>1</v>
      </c>
      <c r="D142" s="57" t="s">
        <v>767</v>
      </c>
      <c r="E142" s="102">
        <f>VLOOKUP(Z142&amp;"_"&amp;AA142,挑战模式!$A$3:$Z$58,5+5*AB142,FALSE)</f>
        <v>231</v>
      </c>
      <c r="F142" s="57">
        <v>1</v>
      </c>
      <c r="G142" s="57">
        <v>0</v>
      </c>
      <c r="H142" s="57">
        <v>0</v>
      </c>
      <c r="I142" s="57">
        <v>0</v>
      </c>
      <c r="Z142" s="110">
        <v>4</v>
      </c>
      <c r="AA142" s="110">
        <v>5</v>
      </c>
      <c r="AB142" s="110">
        <v>1</v>
      </c>
    </row>
    <row r="143" spans="2:28" x14ac:dyDescent="0.2">
      <c r="B143" s="57" t="s">
        <v>869</v>
      </c>
      <c r="C143" s="57">
        <v>1</v>
      </c>
      <c r="D143" s="57" t="s">
        <v>768</v>
      </c>
      <c r="E143" s="102">
        <f>VLOOKUP(Z143&amp;"_"&amp;AA143,挑战模式!$A$3:$Z$58,5+5*AB143,FALSE)</f>
        <v>694</v>
      </c>
      <c r="F143" s="57">
        <v>1</v>
      </c>
      <c r="G143" s="57">
        <v>0</v>
      </c>
      <c r="H143" s="57">
        <v>0</v>
      </c>
      <c r="I143" s="57">
        <v>0</v>
      </c>
      <c r="Z143" s="110">
        <v>4</v>
      </c>
      <c r="AA143" s="110">
        <v>5</v>
      </c>
      <c r="AB143" s="110">
        <v>2</v>
      </c>
    </row>
    <row r="144" spans="2:28" x14ac:dyDescent="0.2">
      <c r="B144" s="57" t="s">
        <v>870</v>
      </c>
      <c r="C144" s="57">
        <v>1</v>
      </c>
      <c r="D144" s="57" t="s">
        <v>769</v>
      </c>
      <c r="E144" s="102">
        <f>VLOOKUP(Z144&amp;"_"&amp;AA144,挑战模式!$A$3:$Z$58,5+5*AB144,FALSE)</f>
        <v>617</v>
      </c>
      <c r="F144" s="57">
        <v>1</v>
      </c>
      <c r="G144" s="57">
        <v>0</v>
      </c>
      <c r="H144" s="57">
        <v>0</v>
      </c>
      <c r="I144" s="57">
        <v>0</v>
      </c>
      <c r="Z144" s="110">
        <v>5</v>
      </c>
      <c r="AA144" s="110">
        <v>1</v>
      </c>
      <c r="AB144" s="110">
        <v>1</v>
      </c>
    </row>
    <row r="145" spans="2:28" x14ac:dyDescent="0.2">
      <c r="B145" s="57" t="s">
        <v>871</v>
      </c>
      <c r="C145" s="57">
        <v>1</v>
      </c>
      <c r="D145" s="57" t="s">
        <v>770</v>
      </c>
      <c r="E145" s="102">
        <f>VLOOKUP(Z145&amp;"_"&amp;AA145,挑战模式!$A$3:$Z$58,5+5*AB145,FALSE)</f>
        <v>850</v>
      </c>
      <c r="F145" s="57">
        <v>1</v>
      </c>
      <c r="G145" s="57">
        <v>0</v>
      </c>
      <c r="H145" s="57">
        <v>0</v>
      </c>
      <c r="I145" s="57">
        <v>0</v>
      </c>
      <c r="Z145" s="110">
        <v>5</v>
      </c>
      <c r="AA145" s="110">
        <v>2</v>
      </c>
      <c r="AB145" s="110">
        <v>1</v>
      </c>
    </row>
    <row r="146" spans="2:28" x14ac:dyDescent="0.2">
      <c r="B146" s="57" t="s">
        <v>872</v>
      </c>
      <c r="C146" s="57">
        <v>1</v>
      </c>
      <c r="D146" s="57" t="s">
        <v>771</v>
      </c>
      <c r="E146" s="102">
        <f>VLOOKUP(Z146&amp;"_"&amp;AA146,挑战模式!$A$3:$Z$58,5+5*AB146,FALSE)</f>
        <v>106</v>
      </c>
      <c r="F146" s="57">
        <v>1</v>
      </c>
      <c r="G146" s="57">
        <v>0</v>
      </c>
      <c r="H146" s="57">
        <v>0</v>
      </c>
      <c r="I146" s="57">
        <v>0</v>
      </c>
      <c r="Z146" s="110">
        <v>5</v>
      </c>
      <c r="AA146" s="110">
        <v>2</v>
      </c>
      <c r="AB146" s="110">
        <v>2</v>
      </c>
    </row>
    <row r="147" spans="2:28" x14ac:dyDescent="0.2">
      <c r="B147" s="57" t="s">
        <v>873</v>
      </c>
      <c r="C147" s="57">
        <v>1</v>
      </c>
      <c r="D147" s="57" t="s">
        <v>772</v>
      </c>
      <c r="E147" s="102">
        <f>VLOOKUP(Z147&amp;"_"&amp;AA147,挑战模式!$A$3:$Z$58,5+5*AB147,FALSE)</f>
        <v>2209</v>
      </c>
      <c r="F147" s="57">
        <v>1</v>
      </c>
      <c r="G147" s="57">
        <v>0</v>
      </c>
      <c r="H147" s="57">
        <v>0</v>
      </c>
      <c r="I147" s="57">
        <v>0</v>
      </c>
      <c r="Z147" s="110">
        <v>5</v>
      </c>
      <c r="AA147" s="110">
        <v>3</v>
      </c>
      <c r="AB147" s="110">
        <v>1</v>
      </c>
    </row>
    <row r="148" spans="2:28" x14ac:dyDescent="0.2">
      <c r="B148" s="57" t="s">
        <v>874</v>
      </c>
      <c r="C148" s="57">
        <v>1</v>
      </c>
      <c r="D148" s="57" t="s">
        <v>773</v>
      </c>
      <c r="E148" s="102">
        <f>VLOOKUP(Z148&amp;"_"&amp;AA148,挑战模式!$A$3:$Z$58,5+5*AB148,FALSE)</f>
        <v>552</v>
      </c>
      <c r="F148" s="57">
        <v>1</v>
      </c>
      <c r="G148" s="57">
        <v>0</v>
      </c>
      <c r="H148" s="57">
        <v>0</v>
      </c>
      <c r="I148" s="57">
        <v>0</v>
      </c>
      <c r="Z148" s="110">
        <v>5</v>
      </c>
      <c r="AA148" s="110">
        <v>3</v>
      </c>
      <c r="AB148" s="110">
        <v>2</v>
      </c>
    </row>
    <row r="149" spans="2:28" x14ac:dyDescent="0.2">
      <c r="B149" s="57" t="s">
        <v>875</v>
      </c>
      <c r="C149" s="57">
        <v>1</v>
      </c>
      <c r="D149" s="57" t="s">
        <v>774</v>
      </c>
      <c r="E149" s="102">
        <f>VLOOKUP(Z149&amp;"_"&amp;AA149,挑战模式!$A$3:$Z$58,5+5*AB149,FALSE)</f>
        <v>552</v>
      </c>
      <c r="F149" s="57">
        <v>1</v>
      </c>
      <c r="G149" s="57">
        <v>0</v>
      </c>
      <c r="H149" s="57">
        <v>0</v>
      </c>
      <c r="I149" s="57">
        <v>0</v>
      </c>
      <c r="Z149" s="110">
        <v>5</v>
      </c>
      <c r="AA149" s="110">
        <v>3</v>
      </c>
      <c r="AB149" s="110">
        <v>3</v>
      </c>
    </row>
    <row r="150" spans="2:28" x14ac:dyDescent="0.2">
      <c r="B150" s="57" t="s">
        <v>876</v>
      </c>
      <c r="C150" s="57">
        <v>1</v>
      </c>
      <c r="D150" s="57" t="s">
        <v>775</v>
      </c>
      <c r="E150" s="102">
        <f>VLOOKUP(Z150&amp;"_"&amp;AA150,挑战模式!$A$3:$Z$58,5+5*AB150,FALSE)</f>
        <v>1301</v>
      </c>
      <c r="F150" s="57">
        <v>1</v>
      </c>
      <c r="G150" s="57">
        <v>0</v>
      </c>
      <c r="H150" s="57">
        <v>0</v>
      </c>
      <c r="I150" s="57">
        <v>0</v>
      </c>
      <c r="Z150" s="110">
        <v>5</v>
      </c>
      <c r="AA150" s="110">
        <v>4</v>
      </c>
      <c r="AB150" s="110">
        <v>1</v>
      </c>
    </row>
    <row r="151" spans="2:28" x14ac:dyDescent="0.2">
      <c r="B151" s="57" t="s">
        <v>877</v>
      </c>
      <c r="C151" s="57">
        <v>1</v>
      </c>
      <c r="D151" s="57" t="s">
        <v>776</v>
      </c>
      <c r="E151" s="102">
        <f>VLOOKUP(Z151&amp;"_"&amp;AA151,挑战模式!$A$3:$Z$58,5+5*AB151,FALSE)</f>
        <v>325</v>
      </c>
      <c r="F151" s="57">
        <v>1</v>
      </c>
      <c r="G151" s="57">
        <v>0</v>
      </c>
      <c r="H151" s="57">
        <v>0</v>
      </c>
      <c r="I151" s="57">
        <v>0</v>
      </c>
      <c r="Z151" s="110">
        <v>5</v>
      </c>
      <c r="AA151" s="110">
        <v>4</v>
      </c>
      <c r="AB151" s="110">
        <v>2</v>
      </c>
    </row>
    <row r="152" spans="2:28" x14ac:dyDescent="0.2">
      <c r="B152" s="57" t="s">
        <v>878</v>
      </c>
      <c r="C152" s="57">
        <v>1</v>
      </c>
      <c r="D152" s="57" t="s">
        <v>777</v>
      </c>
      <c r="E152" s="102">
        <f>VLOOKUP(Z152&amp;"_"&amp;AA152,挑战模式!$A$3:$Z$58,5+5*AB152,FALSE)</f>
        <v>800</v>
      </c>
      <c r="F152" s="57">
        <v>1</v>
      </c>
      <c r="G152" s="57">
        <v>0</v>
      </c>
      <c r="H152" s="57">
        <v>0</v>
      </c>
      <c r="I152" s="57">
        <v>0</v>
      </c>
      <c r="Z152" s="110">
        <v>5</v>
      </c>
      <c r="AA152" s="110">
        <v>5</v>
      </c>
      <c r="AB152" s="110">
        <v>1</v>
      </c>
    </row>
    <row r="153" spans="2:28" x14ac:dyDescent="0.2">
      <c r="B153" s="57" t="s">
        <v>879</v>
      </c>
      <c r="C153" s="57">
        <v>1</v>
      </c>
      <c r="D153" s="57" t="s">
        <v>778</v>
      </c>
      <c r="E153" s="102">
        <f>VLOOKUP(Z153&amp;"_"&amp;AA153,挑战模式!$A$3:$Z$58,5+5*AB153,FALSE)</f>
        <v>200</v>
      </c>
      <c r="F153" s="57">
        <v>1</v>
      </c>
      <c r="G153" s="57">
        <v>0</v>
      </c>
      <c r="H153" s="57">
        <v>0</v>
      </c>
      <c r="I153" s="57">
        <v>0</v>
      </c>
      <c r="Z153" s="110">
        <v>5</v>
      </c>
      <c r="AA153" s="110">
        <v>5</v>
      </c>
      <c r="AB153" s="110">
        <v>2</v>
      </c>
    </row>
    <row r="154" spans="2:28" x14ac:dyDescent="0.2">
      <c r="B154" s="57" t="s">
        <v>880</v>
      </c>
      <c r="C154" s="57">
        <v>1</v>
      </c>
      <c r="D154" s="57" t="s">
        <v>779</v>
      </c>
      <c r="E154" s="102">
        <f>VLOOKUP(Z154&amp;"_"&amp;AA154,挑战模式!$A$3:$Z$58,5+5*AB154,FALSE)</f>
        <v>600</v>
      </c>
      <c r="F154" s="57">
        <v>1</v>
      </c>
      <c r="G154" s="57">
        <v>0</v>
      </c>
      <c r="H154" s="57">
        <v>0</v>
      </c>
      <c r="I154" s="57">
        <v>0</v>
      </c>
      <c r="Z154" s="110">
        <v>5</v>
      </c>
      <c r="AA154" s="110">
        <v>5</v>
      </c>
      <c r="AB154" s="110">
        <v>3</v>
      </c>
    </row>
    <row r="155" spans="2:28" x14ac:dyDescent="0.2">
      <c r="B155" s="57" t="s">
        <v>881</v>
      </c>
      <c r="C155" s="57">
        <v>1</v>
      </c>
      <c r="D155" s="57" t="s">
        <v>780</v>
      </c>
      <c r="E155" s="102">
        <f>VLOOKUP(Z155&amp;"_"&amp;AA155,挑战模式!$A$3:$Z$58,5+5*AB155,FALSE)</f>
        <v>8000</v>
      </c>
      <c r="F155" s="57">
        <v>1</v>
      </c>
      <c r="G155" s="57">
        <v>0</v>
      </c>
      <c r="H155" s="57">
        <v>0</v>
      </c>
      <c r="I155" s="57">
        <v>0</v>
      </c>
      <c r="Z155" s="110">
        <v>5</v>
      </c>
      <c r="AA155" s="110">
        <v>5</v>
      </c>
      <c r="AB155" s="110">
        <v>4</v>
      </c>
    </row>
    <row r="156" spans="2:28" x14ac:dyDescent="0.2">
      <c r="B156" s="57" t="s">
        <v>1121</v>
      </c>
      <c r="C156" s="57">
        <v>1</v>
      </c>
      <c r="D156" s="57" t="s">
        <v>1196</v>
      </c>
      <c r="E156" s="102">
        <f>VLOOKUP(Z156&amp;"_"&amp;AA156,挑战模式!$A$3:$Z$58,5+5*AB156,FALSE)</f>
        <v>386</v>
      </c>
      <c r="F156" s="57">
        <v>1</v>
      </c>
      <c r="G156" s="57">
        <v>0</v>
      </c>
      <c r="H156" s="57">
        <v>0</v>
      </c>
      <c r="I156" s="57">
        <v>0</v>
      </c>
      <c r="Z156" s="57">
        <v>6</v>
      </c>
      <c r="AA156" s="57">
        <v>1</v>
      </c>
      <c r="AB156" s="57">
        <v>1</v>
      </c>
    </row>
    <row r="157" spans="2:28" x14ac:dyDescent="0.2">
      <c r="B157" s="57" t="s">
        <v>1122</v>
      </c>
      <c r="C157" s="57">
        <v>1</v>
      </c>
      <c r="D157" s="57" t="s">
        <v>1197</v>
      </c>
      <c r="E157" s="102">
        <f>VLOOKUP(Z157&amp;"_"&amp;AA157,挑战模式!$A$3:$Z$58,5+5*AB157,FALSE)</f>
        <v>1543</v>
      </c>
      <c r="F157" s="57">
        <v>1</v>
      </c>
      <c r="G157" s="57">
        <v>0</v>
      </c>
      <c r="H157" s="57">
        <v>0</v>
      </c>
      <c r="I157" s="57">
        <v>0</v>
      </c>
      <c r="Z157" s="57">
        <v>6</v>
      </c>
      <c r="AA157" s="57">
        <v>1</v>
      </c>
      <c r="AB157" s="57">
        <v>2</v>
      </c>
    </row>
    <row r="158" spans="2:28" x14ac:dyDescent="0.2">
      <c r="B158" s="57" t="s">
        <v>1123</v>
      </c>
      <c r="C158" s="57">
        <v>1</v>
      </c>
      <c r="D158" s="57" t="s">
        <v>1198</v>
      </c>
      <c r="E158" s="102">
        <f>VLOOKUP(Z158&amp;"_"&amp;AA158,挑战模式!$A$3:$Z$58,5+5*AB158,FALSE)</f>
        <v>438</v>
      </c>
      <c r="F158" s="57">
        <v>1</v>
      </c>
      <c r="G158" s="57">
        <v>0</v>
      </c>
      <c r="H158" s="57">
        <v>0</v>
      </c>
      <c r="I158" s="57">
        <v>0</v>
      </c>
      <c r="Z158" s="57">
        <v>6</v>
      </c>
      <c r="AA158" s="57">
        <v>2</v>
      </c>
      <c r="AB158" s="57">
        <v>1</v>
      </c>
    </row>
    <row r="159" spans="2:28" x14ac:dyDescent="0.2">
      <c r="B159" s="57" t="s">
        <v>1124</v>
      </c>
      <c r="C159" s="57">
        <v>1</v>
      </c>
      <c r="D159" s="57" t="s">
        <v>1199</v>
      </c>
      <c r="E159" s="102">
        <f>VLOOKUP(Z159&amp;"_"&amp;AA159,挑战模式!$A$3:$Z$58,5+5*AB159,FALSE)</f>
        <v>1751</v>
      </c>
      <c r="F159" s="57">
        <v>1</v>
      </c>
      <c r="G159" s="57">
        <v>0</v>
      </c>
      <c r="H159" s="57">
        <v>0</v>
      </c>
      <c r="I159" s="57">
        <v>0</v>
      </c>
      <c r="Z159" s="57">
        <v>6</v>
      </c>
      <c r="AA159" s="57">
        <v>2</v>
      </c>
      <c r="AB159" s="57">
        <v>2</v>
      </c>
    </row>
    <row r="160" spans="2:28" x14ac:dyDescent="0.2">
      <c r="B160" s="57" t="s">
        <v>1125</v>
      </c>
      <c r="C160" s="57">
        <v>1</v>
      </c>
      <c r="D160" s="57" t="s">
        <v>1200</v>
      </c>
      <c r="E160" s="102">
        <f>VLOOKUP(Z160&amp;"_"&amp;AA160,挑战模式!$A$3:$Z$58,5+5*AB160,FALSE)</f>
        <v>628</v>
      </c>
      <c r="F160" s="57">
        <v>1</v>
      </c>
      <c r="G160" s="57">
        <v>0</v>
      </c>
      <c r="H160" s="57">
        <v>0</v>
      </c>
      <c r="I160" s="57">
        <v>0</v>
      </c>
      <c r="Z160" s="57">
        <v>6</v>
      </c>
      <c r="AA160" s="57">
        <v>3</v>
      </c>
      <c r="AB160" s="57">
        <v>1</v>
      </c>
    </row>
    <row r="161" spans="2:28" x14ac:dyDescent="0.2">
      <c r="B161" s="57" t="s">
        <v>1126</v>
      </c>
      <c r="C161" s="57">
        <v>1</v>
      </c>
      <c r="D161" s="57" t="s">
        <v>1201</v>
      </c>
      <c r="E161" s="102">
        <f>VLOOKUP(Z161&amp;"_"&amp;AA161,挑战模式!$A$3:$Z$58,5+5*AB161,FALSE)</f>
        <v>2512</v>
      </c>
      <c r="F161" s="57">
        <v>1</v>
      </c>
      <c r="G161" s="57">
        <v>0</v>
      </c>
      <c r="H161" s="57">
        <v>0</v>
      </c>
      <c r="I161" s="57">
        <v>0</v>
      </c>
      <c r="Z161" s="57">
        <v>6</v>
      </c>
      <c r="AA161" s="57">
        <v>3</v>
      </c>
      <c r="AB161" s="57">
        <v>2</v>
      </c>
    </row>
    <row r="162" spans="2:28" x14ac:dyDescent="0.2">
      <c r="B162" s="57" t="s">
        <v>1127</v>
      </c>
      <c r="C162" s="57">
        <v>1</v>
      </c>
      <c r="D162" s="57" t="s">
        <v>1202</v>
      </c>
      <c r="E162" s="102">
        <f>VLOOKUP(Z162&amp;"_"&amp;AA162,挑战模式!$A$3:$Z$58,5+5*AB162,FALSE)</f>
        <v>2512</v>
      </c>
      <c r="F162" s="57">
        <v>1</v>
      </c>
      <c r="G162" s="57">
        <v>0</v>
      </c>
      <c r="H162" s="57">
        <v>0</v>
      </c>
      <c r="I162" s="57">
        <v>0</v>
      </c>
      <c r="Z162" s="57">
        <v>6</v>
      </c>
      <c r="AA162" s="57">
        <v>3</v>
      </c>
      <c r="AB162" s="57">
        <v>3</v>
      </c>
    </row>
    <row r="163" spans="2:28" x14ac:dyDescent="0.2">
      <c r="B163" s="57" t="s">
        <v>1128</v>
      </c>
      <c r="C163" s="57">
        <v>1</v>
      </c>
      <c r="D163" s="57" t="s">
        <v>1203</v>
      </c>
      <c r="E163" s="102">
        <f>VLOOKUP(Z163&amp;"_"&amp;AA163,挑战模式!$A$3:$Z$58,5+5*AB163,FALSE)</f>
        <v>775</v>
      </c>
      <c r="F163" s="57">
        <v>1</v>
      </c>
      <c r="G163" s="57">
        <v>0</v>
      </c>
      <c r="H163" s="57">
        <v>0</v>
      </c>
      <c r="I163" s="57">
        <v>0</v>
      </c>
      <c r="Z163" s="57">
        <v>6</v>
      </c>
      <c r="AA163" s="57">
        <v>4</v>
      </c>
      <c r="AB163" s="57">
        <v>1</v>
      </c>
    </row>
    <row r="164" spans="2:28" x14ac:dyDescent="0.2">
      <c r="B164" s="57" t="s">
        <v>1129</v>
      </c>
      <c r="C164" s="57">
        <v>1</v>
      </c>
      <c r="D164" s="57" t="s">
        <v>1204</v>
      </c>
      <c r="E164" s="102">
        <f>VLOOKUP(Z164&amp;"_"&amp;AA164,挑战模式!$A$3:$Z$58,5+5*AB164,FALSE)</f>
        <v>3098</v>
      </c>
      <c r="F164" s="57">
        <v>1</v>
      </c>
      <c r="G164" s="57">
        <v>0</v>
      </c>
      <c r="H164" s="57">
        <v>0</v>
      </c>
      <c r="I164" s="57">
        <v>0</v>
      </c>
      <c r="Z164" s="57">
        <v>6</v>
      </c>
      <c r="AA164" s="57">
        <v>4</v>
      </c>
      <c r="AB164" s="57">
        <v>2</v>
      </c>
    </row>
    <row r="165" spans="2:28" x14ac:dyDescent="0.2">
      <c r="B165" s="57" t="s">
        <v>1130</v>
      </c>
      <c r="C165" s="57">
        <v>1</v>
      </c>
      <c r="D165" s="57" t="s">
        <v>1205</v>
      </c>
      <c r="E165" s="102">
        <f>VLOOKUP(Z165&amp;"_"&amp;AA165,挑战模式!$A$3:$Z$58,5+5*AB165,FALSE)</f>
        <v>3098</v>
      </c>
      <c r="F165" s="57">
        <v>1</v>
      </c>
      <c r="G165" s="57">
        <v>0</v>
      </c>
      <c r="H165" s="57">
        <v>0</v>
      </c>
      <c r="I165" s="57">
        <v>0</v>
      </c>
      <c r="Z165" s="57">
        <v>6</v>
      </c>
      <c r="AA165" s="57">
        <v>4</v>
      </c>
      <c r="AB165" s="57">
        <v>3</v>
      </c>
    </row>
    <row r="166" spans="2:28" x14ac:dyDescent="0.2">
      <c r="B166" s="57" t="s">
        <v>1131</v>
      </c>
      <c r="C166" s="57">
        <v>1</v>
      </c>
      <c r="D166" s="57" t="s">
        <v>1206</v>
      </c>
      <c r="E166" s="102">
        <f>VLOOKUP(Z166&amp;"_"&amp;AA166,挑战模式!$A$3:$Z$58,5+5*AB166,FALSE)</f>
        <v>703</v>
      </c>
      <c r="F166" s="57">
        <v>1</v>
      </c>
      <c r="G166" s="57">
        <v>0</v>
      </c>
      <c r="H166" s="57">
        <v>0</v>
      </c>
      <c r="I166" s="57">
        <v>0</v>
      </c>
      <c r="Z166" s="57">
        <v>6</v>
      </c>
      <c r="AA166" s="57">
        <v>5</v>
      </c>
      <c r="AB166" s="57">
        <v>1</v>
      </c>
    </row>
    <row r="167" spans="2:28" x14ac:dyDescent="0.2">
      <c r="B167" s="57" t="s">
        <v>1132</v>
      </c>
      <c r="C167" s="57">
        <v>1</v>
      </c>
      <c r="D167" s="57" t="s">
        <v>1207</v>
      </c>
      <c r="E167" s="102">
        <f>VLOOKUP(Z167&amp;"_"&amp;AA167,挑战模式!$A$3:$Z$58,5+5*AB167,FALSE)</f>
        <v>2813</v>
      </c>
      <c r="F167" s="57">
        <v>1</v>
      </c>
      <c r="G167" s="57">
        <v>0</v>
      </c>
      <c r="H167" s="57">
        <v>0</v>
      </c>
      <c r="I167" s="57">
        <v>0</v>
      </c>
      <c r="Z167" s="57">
        <v>6</v>
      </c>
      <c r="AA167" s="57">
        <v>5</v>
      </c>
      <c r="AB167" s="57">
        <v>2</v>
      </c>
    </row>
    <row r="168" spans="2:28" x14ac:dyDescent="0.2">
      <c r="B168" s="57" t="s">
        <v>1133</v>
      </c>
      <c r="C168" s="57">
        <v>1</v>
      </c>
      <c r="D168" s="57" t="s">
        <v>1208</v>
      </c>
      <c r="E168" s="102">
        <f>VLOOKUP(Z168&amp;"_"&amp;AA168,挑战模式!$A$3:$Z$58,5+5*AB168,FALSE)</f>
        <v>2813</v>
      </c>
      <c r="F168" s="57">
        <v>1</v>
      </c>
      <c r="G168" s="57">
        <v>0</v>
      </c>
      <c r="H168" s="57">
        <v>0</v>
      </c>
      <c r="I168" s="57">
        <v>0</v>
      </c>
      <c r="Z168" s="57">
        <v>6</v>
      </c>
      <c r="AA168" s="57">
        <v>5</v>
      </c>
      <c r="AB168" s="57">
        <v>3</v>
      </c>
    </row>
    <row r="169" spans="2:28" x14ac:dyDescent="0.2">
      <c r="B169" s="57" t="s">
        <v>1134</v>
      </c>
      <c r="C169" s="57">
        <v>1</v>
      </c>
      <c r="D169" s="57" t="s">
        <v>1209</v>
      </c>
      <c r="E169" s="102">
        <f>VLOOKUP(Z169&amp;"_"&amp;AA169,挑战模式!$A$3:$Z$58,5+5*AB169,FALSE)</f>
        <v>495</v>
      </c>
      <c r="F169" s="57">
        <v>1</v>
      </c>
      <c r="G169" s="57">
        <v>0</v>
      </c>
      <c r="H169" s="57">
        <v>0</v>
      </c>
      <c r="I169" s="57">
        <v>0</v>
      </c>
      <c r="Z169" s="57">
        <v>7</v>
      </c>
      <c r="AA169" s="57">
        <v>1</v>
      </c>
      <c r="AB169" s="57">
        <v>1</v>
      </c>
    </row>
    <row r="170" spans="2:28" x14ac:dyDescent="0.2">
      <c r="B170" s="57" t="s">
        <v>1135</v>
      </c>
      <c r="C170" s="57">
        <v>1</v>
      </c>
      <c r="D170" s="57" t="s">
        <v>1210</v>
      </c>
      <c r="E170" s="102">
        <f>VLOOKUP(Z170&amp;"_"&amp;AA170,挑战模式!$A$3:$Z$58,5+5*AB170,FALSE)</f>
        <v>990</v>
      </c>
      <c r="F170" s="57">
        <v>1</v>
      </c>
      <c r="G170" s="57">
        <v>0</v>
      </c>
      <c r="H170" s="57">
        <v>0</v>
      </c>
      <c r="I170" s="57">
        <v>0</v>
      </c>
      <c r="Z170" s="57">
        <v>7</v>
      </c>
      <c r="AA170" s="57">
        <v>1</v>
      </c>
      <c r="AB170" s="57">
        <v>2</v>
      </c>
    </row>
    <row r="171" spans="2:28" x14ac:dyDescent="0.2">
      <c r="B171" s="57" t="s">
        <v>1136</v>
      </c>
      <c r="C171" s="57">
        <v>1</v>
      </c>
      <c r="D171" s="57" t="s">
        <v>1211</v>
      </c>
      <c r="E171" s="102">
        <f>VLOOKUP(Z171&amp;"_"&amp;AA171,挑战模式!$A$3:$Z$58,5+5*AB171,FALSE)</f>
        <v>258</v>
      </c>
      <c r="F171" s="57">
        <v>1</v>
      </c>
      <c r="G171" s="57">
        <v>0</v>
      </c>
      <c r="H171" s="57">
        <v>0</v>
      </c>
      <c r="I171" s="57">
        <v>0</v>
      </c>
      <c r="Z171" s="57">
        <v>7</v>
      </c>
      <c r="AA171" s="57">
        <v>2</v>
      </c>
      <c r="AB171" s="57">
        <v>1</v>
      </c>
    </row>
    <row r="172" spans="2:28" x14ac:dyDescent="0.2">
      <c r="B172" s="57" t="s">
        <v>1137</v>
      </c>
      <c r="C172" s="57">
        <v>1</v>
      </c>
      <c r="D172" s="57" t="s">
        <v>1212</v>
      </c>
      <c r="E172" s="102">
        <f>VLOOKUP(Z172&amp;"_"&amp;AA172,挑战模式!$A$3:$Z$58,5+5*AB172,FALSE)</f>
        <v>517</v>
      </c>
      <c r="F172" s="57">
        <v>1</v>
      </c>
      <c r="G172" s="57">
        <v>0</v>
      </c>
      <c r="H172" s="57">
        <v>0</v>
      </c>
      <c r="I172" s="57">
        <v>0</v>
      </c>
      <c r="Z172" s="57">
        <v>7</v>
      </c>
      <c r="AA172" s="57">
        <v>2</v>
      </c>
      <c r="AB172" s="57">
        <v>2</v>
      </c>
    </row>
    <row r="173" spans="2:28" x14ac:dyDescent="0.2">
      <c r="B173" s="57" t="s">
        <v>1138</v>
      </c>
      <c r="C173" s="57">
        <v>1</v>
      </c>
      <c r="D173" s="57" t="s">
        <v>1213</v>
      </c>
      <c r="E173" s="102">
        <f>VLOOKUP(Z173&amp;"_"&amp;AA173,挑战模式!$A$3:$Z$58,5+5*AB173,FALSE)</f>
        <v>517</v>
      </c>
      <c r="F173" s="57">
        <v>1</v>
      </c>
      <c r="G173" s="57">
        <v>0</v>
      </c>
      <c r="H173" s="57">
        <v>0</v>
      </c>
      <c r="I173" s="57">
        <v>0</v>
      </c>
      <c r="Z173" s="57">
        <v>7</v>
      </c>
      <c r="AA173" s="57">
        <v>2</v>
      </c>
      <c r="AB173" s="57">
        <v>3</v>
      </c>
    </row>
    <row r="174" spans="2:28" x14ac:dyDescent="0.2">
      <c r="B174" s="57" t="s">
        <v>1139</v>
      </c>
      <c r="C174" s="57">
        <v>1</v>
      </c>
      <c r="D174" s="57" t="s">
        <v>1214</v>
      </c>
      <c r="E174" s="102">
        <f>VLOOKUP(Z174&amp;"_"&amp;AA174,挑战模式!$A$3:$Z$58,5+5*AB174,FALSE)</f>
        <v>982</v>
      </c>
      <c r="F174" s="57">
        <v>1</v>
      </c>
      <c r="G174" s="57">
        <v>0</v>
      </c>
      <c r="H174" s="57">
        <v>0</v>
      </c>
      <c r="I174" s="57">
        <v>0</v>
      </c>
      <c r="Z174" s="57">
        <v>7</v>
      </c>
      <c r="AA174" s="57">
        <v>3</v>
      </c>
      <c r="AB174" s="57">
        <v>1</v>
      </c>
    </row>
    <row r="175" spans="2:28" x14ac:dyDescent="0.2">
      <c r="B175" s="57" t="s">
        <v>1140</v>
      </c>
      <c r="C175" s="57">
        <v>1</v>
      </c>
      <c r="D175" s="57" t="s">
        <v>1215</v>
      </c>
      <c r="E175" s="102">
        <f>VLOOKUP(Z175&amp;"_"&amp;AA175,挑战模式!$A$3:$Z$58,5+5*AB175,FALSE)</f>
        <v>491</v>
      </c>
      <c r="F175" s="57">
        <v>1</v>
      </c>
      <c r="G175" s="57">
        <v>0</v>
      </c>
      <c r="H175" s="57">
        <v>0</v>
      </c>
      <c r="I175" s="57">
        <v>0</v>
      </c>
      <c r="Z175" s="57">
        <v>7</v>
      </c>
      <c r="AA175" s="57">
        <v>3</v>
      </c>
      <c r="AB175" s="57">
        <v>2</v>
      </c>
    </row>
    <row r="176" spans="2:28" x14ac:dyDescent="0.2">
      <c r="B176" s="57" t="s">
        <v>1141</v>
      </c>
      <c r="C176" s="57">
        <v>1</v>
      </c>
      <c r="D176" s="57" t="s">
        <v>1216</v>
      </c>
      <c r="E176" s="102">
        <f>VLOOKUP(Z176&amp;"_"&amp;AA176,挑战模式!$A$3:$Z$58,5+5*AB176,FALSE)</f>
        <v>1964</v>
      </c>
      <c r="F176" s="57">
        <v>1</v>
      </c>
      <c r="G176" s="57">
        <v>0</v>
      </c>
      <c r="H176" s="57">
        <v>0</v>
      </c>
      <c r="I176" s="57">
        <v>0</v>
      </c>
      <c r="Z176" s="57">
        <v>7</v>
      </c>
      <c r="AA176" s="57">
        <v>3</v>
      </c>
      <c r="AB176" s="57">
        <v>3</v>
      </c>
    </row>
    <row r="177" spans="2:28" x14ac:dyDescent="0.2">
      <c r="B177" s="57" t="s">
        <v>1142</v>
      </c>
      <c r="C177" s="57">
        <v>1</v>
      </c>
      <c r="D177" s="57" t="s">
        <v>1217</v>
      </c>
      <c r="E177" s="102">
        <f>VLOOKUP(Z177&amp;"_"&amp;AA177,挑战模式!$A$3:$Z$58,5+5*AB177,FALSE)</f>
        <v>881</v>
      </c>
      <c r="F177" s="57">
        <v>1</v>
      </c>
      <c r="G177" s="57">
        <v>0</v>
      </c>
      <c r="H177" s="57">
        <v>0</v>
      </c>
      <c r="I177" s="57">
        <v>0</v>
      </c>
      <c r="Z177" s="57">
        <v>7</v>
      </c>
      <c r="AA177" s="57">
        <v>4</v>
      </c>
      <c r="AB177" s="57">
        <v>1</v>
      </c>
    </row>
    <row r="178" spans="2:28" x14ac:dyDescent="0.2">
      <c r="B178" s="57" t="s">
        <v>1143</v>
      </c>
      <c r="C178" s="57">
        <v>1</v>
      </c>
      <c r="D178" s="57" t="s">
        <v>1218</v>
      </c>
      <c r="E178" s="102">
        <f>VLOOKUP(Z178&amp;"_"&amp;AA178,挑战模式!$A$3:$Z$58,5+5*AB178,FALSE)</f>
        <v>440</v>
      </c>
      <c r="F178" s="57">
        <v>1</v>
      </c>
      <c r="G178" s="57">
        <v>0</v>
      </c>
      <c r="H178" s="57">
        <v>0</v>
      </c>
      <c r="I178" s="57">
        <v>0</v>
      </c>
      <c r="Z178" s="57">
        <v>7</v>
      </c>
      <c r="AA178" s="57">
        <v>4</v>
      </c>
      <c r="AB178" s="57">
        <v>2</v>
      </c>
    </row>
    <row r="179" spans="2:28" x14ac:dyDescent="0.2">
      <c r="B179" s="57" t="s">
        <v>1144</v>
      </c>
      <c r="C179" s="57">
        <v>1</v>
      </c>
      <c r="D179" s="57" t="s">
        <v>1219</v>
      </c>
      <c r="E179" s="102">
        <f>VLOOKUP(Z179&amp;"_"&amp;AA179,挑战模式!$A$3:$Z$58,5+5*AB179,FALSE)</f>
        <v>1762</v>
      </c>
      <c r="F179" s="57">
        <v>1</v>
      </c>
      <c r="G179" s="57">
        <v>0</v>
      </c>
      <c r="H179" s="57">
        <v>0</v>
      </c>
      <c r="I179" s="57">
        <v>0</v>
      </c>
      <c r="Z179" s="57">
        <v>7</v>
      </c>
      <c r="AA179" s="57">
        <v>4</v>
      </c>
      <c r="AB179" s="57">
        <v>3</v>
      </c>
    </row>
    <row r="180" spans="2:28" x14ac:dyDescent="0.2">
      <c r="B180" s="57" t="s">
        <v>1145</v>
      </c>
      <c r="C180" s="57">
        <v>1</v>
      </c>
      <c r="D180" s="57" t="s">
        <v>1220</v>
      </c>
      <c r="E180" s="102">
        <f>VLOOKUP(Z180&amp;"_"&amp;AA180,挑战模式!$A$3:$Z$58,5+5*AB180,FALSE)</f>
        <v>1762</v>
      </c>
      <c r="F180" s="57">
        <v>1</v>
      </c>
      <c r="G180" s="57">
        <v>0</v>
      </c>
      <c r="H180" s="57">
        <v>0</v>
      </c>
      <c r="I180" s="57">
        <v>0</v>
      </c>
      <c r="Z180" s="57">
        <v>7</v>
      </c>
      <c r="AA180" s="57">
        <v>4</v>
      </c>
      <c r="AB180" s="57">
        <v>4</v>
      </c>
    </row>
    <row r="181" spans="2:28" x14ac:dyDescent="0.2">
      <c r="B181" s="57" t="s">
        <v>1146</v>
      </c>
      <c r="C181" s="57">
        <v>1</v>
      </c>
      <c r="D181" s="57" t="s">
        <v>1221</v>
      </c>
      <c r="E181" s="102">
        <f>VLOOKUP(Z181&amp;"_"&amp;AA181,挑战模式!$A$3:$Z$58,5+5*AB181,FALSE)</f>
        <v>766</v>
      </c>
      <c r="F181" s="57">
        <v>1</v>
      </c>
      <c r="G181" s="57">
        <v>0</v>
      </c>
      <c r="H181" s="57">
        <v>0</v>
      </c>
      <c r="I181" s="57">
        <v>0</v>
      </c>
      <c r="Z181" s="57">
        <v>7</v>
      </c>
      <c r="AA181" s="57">
        <v>5</v>
      </c>
      <c r="AB181" s="57">
        <v>1</v>
      </c>
    </row>
    <row r="182" spans="2:28" x14ac:dyDescent="0.2">
      <c r="B182" s="57" t="s">
        <v>1147</v>
      </c>
      <c r="C182" s="57">
        <v>1</v>
      </c>
      <c r="D182" s="57" t="s">
        <v>1222</v>
      </c>
      <c r="E182" s="102">
        <f>VLOOKUP(Z182&amp;"_"&amp;AA182,挑战模式!$A$3:$Z$58,5+5*AB182,FALSE)</f>
        <v>383</v>
      </c>
      <c r="F182" s="57">
        <v>1</v>
      </c>
      <c r="G182" s="57">
        <v>0</v>
      </c>
      <c r="H182" s="57">
        <v>0</v>
      </c>
      <c r="I182" s="57">
        <v>0</v>
      </c>
      <c r="Z182" s="57">
        <v>7</v>
      </c>
      <c r="AA182" s="57">
        <v>5</v>
      </c>
      <c r="AB182" s="57">
        <v>2</v>
      </c>
    </row>
    <row r="183" spans="2:28" x14ac:dyDescent="0.2">
      <c r="B183" s="57" t="s">
        <v>1148</v>
      </c>
      <c r="C183" s="57">
        <v>1</v>
      </c>
      <c r="D183" s="57" t="s">
        <v>1223</v>
      </c>
      <c r="E183" s="102">
        <f>VLOOKUP(Z183&amp;"_"&amp;AA183,挑战模式!$A$3:$Z$58,5+5*AB183,FALSE)</f>
        <v>1533</v>
      </c>
      <c r="F183" s="57">
        <v>1</v>
      </c>
      <c r="G183" s="57">
        <v>0</v>
      </c>
      <c r="H183" s="57">
        <v>0</v>
      </c>
      <c r="I183" s="57">
        <v>0</v>
      </c>
      <c r="Z183" s="57">
        <v>7</v>
      </c>
      <c r="AA183" s="57">
        <v>5</v>
      </c>
      <c r="AB183" s="57">
        <v>3</v>
      </c>
    </row>
    <row r="184" spans="2:28" x14ac:dyDescent="0.2">
      <c r="B184" s="57" t="s">
        <v>1149</v>
      </c>
      <c r="C184" s="57">
        <v>1</v>
      </c>
      <c r="D184" s="57" t="s">
        <v>1224</v>
      </c>
      <c r="E184" s="102">
        <f>VLOOKUP(Z184&amp;"_"&amp;AA184,挑战模式!$A$3:$Z$58,5+5*AB184,FALSE)</f>
        <v>1533</v>
      </c>
      <c r="F184" s="57">
        <v>1</v>
      </c>
      <c r="G184" s="57">
        <v>0</v>
      </c>
      <c r="H184" s="57">
        <v>0</v>
      </c>
      <c r="I184" s="57">
        <v>0</v>
      </c>
      <c r="Z184" s="57">
        <v>7</v>
      </c>
      <c r="AA184" s="57">
        <v>5</v>
      </c>
      <c r="AB184" s="57">
        <v>4</v>
      </c>
    </row>
    <row r="185" spans="2:28" x14ac:dyDescent="0.2">
      <c r="B185" s="57" t="s">
        <v>1150</v>
      </c>
      <c r="C185" s="57">
        <v>1</v>
      </c>
      <c r="D185" s="57" t="s">
        <v>1225</v>
      </c>
      <c r="E185" s="102">
        <f>VLOOKUP(Z185&amp;"_"&amp;AA185,挑战模式!$A$3:$Z$58,5+5*AB185,FALSE)</f>
        <v>853</v>
      </c>
      <c r="F185" s="57">
        <v>1</v>
      </c>
      <c r="G185" s="57">
        <v>0</v>
      </c>
      <c r="H185" s="57">
        <v>0</v>
      </c>
      <c r="I185" s="57">
        <v>0</v>
      </c>
      <c r="Z185" s="57">
        <v>8</v>
      </c>
      <c r="AA185" s="57">
        <v>1</v>
      </c>
      <c r="AB185" s="57">
        <v>1</v>
      </c>
    </row>
    <row r="186" spans="2:28" x14ac:dyDescent="0.2">
      <c r="B186" s="57" t="s">
        <v>1151</v>
      </c>
      <c r="C186" s="57">
        <v>1</v>
      </c>
      <c r="D186" s="57" t="s">
        <v>1226</v>
      </c>
      <c r="E186" s="102">
        <f>VLOOKUP(Z186&amp;"_"&amp;AA186,挑战模式!$A$3:$Z$58,5+5*AB186,FALSE)</f>
        <v>1137</v>
      </c>
      <c r="F186" s="57">
        <v>1</v>
      </c>
      <c r="G186" s="57">
        <v>0</v>
      </c>
      <c r="H186" s="57">
        <v>0</v>
      </c>
      <c r="I186" s="57">
        <v>0</v>
      </c>
      <c r="Z186" s="57">
        <v>8</v>
      </c>
      <c r="AA186" s="57">
        <v>1</v>
      </c>
      <c r="AB186" s="57">
        <v>2</v>
      </c>
    </row>
    <row r="187" spans="2:28" x14ac:dyDescent="0.2">
      <c r="B187" s="57" t="s">
        <v>1152</v>
      </c>
      <c r="C187" s="57">
        <v>1</v>
      </c>
      <c r="D187" s="57" t="s">
        <v>1227</v>
      </c>
      <c r="E187" s="102">
        <f>VLOOKUP(Z187&amp;"_"&amp;AA187,挑战模式!$A$3:$Z$58,5+5*AB187,FALSE)</f>
        <v>868</v>
      </c>
      <c r="F187" s="57">
        <v>1</v>
      </c>
      <c r="G187" s="57">
        <v>0</v>
      </c>
      <c r="H187" s="57">
        <v>0</v>
      </c>
      <c r="I187" s="57">
        <v>0</v>
      </c>
      <c r="Z187" s="57">
        <v>8</v>
      </c>
      <c r="AA187" s="57">
        <v>2</v>
      </c>
      <c r="AB187" s="57">
        <v>1</v>
      </c>
    </row>
    <row r="188" spans="2:28" x14ac:dyDescent="0.2">
      <c r="B188" s="57" t="s">
        <v>1153</v>
      </c>
      <c r="C188" s="57">
        <v>1</v>
      </c>
      <c r="D188" s="57" t="s">
        <v>1228</v>
      </c>
      <c r="E188" s="102">
        <f>VLOOKUP(Z188&amp;"_"&amp;AA188,挑战模式!$A$3:$Z$58,5+5*AB188,FALSE)</f>
        <v>579</v>
      </c>
      <c r="F188" s="57">
        <v>1</v>
      </c>
      <c r="G188" s="57">
        <v>0</v>
      </c>
      <c r="H188" s="57">
        <v>0</v>
      </c>
      <c r="I188" s="57">
        <v>0</v>
      </c>
      <c r="Z188" s="57">
        <v>8</v>
      </c>
      <c r="AA188" s="57">
        <v>2</v>
      </c>
      <c r="AB188" s="57">
        <v>2</v>
      </c>
    </row>
    <row r="189" spans="2:28" x14ac:dyDescent="0.2">
      <c r="B189" s="57" t="s">
        <v>1154</v>
      </c>
      <c r="C189" s="57">
        <v>1</v>
      </c>
      <c r="D189" s="57" t="s">
        <v>1229</v>
      </c>
      <c r="E189" s="102">
        <f>VLOOKUP(Z189&amp;"_"&amp;AA189,挑战模式!$A$3:$Z$58,5+5*AB189,FALSE)</f>
        <v>1157</v>
      </c>
      <c r="F189" s="57">
        <v>1</v>
      </c>
      <c r="G189" s="57">
        <v>0</v>
      </c>
      <c r="H189" s="57">
        <v>0</v>
      </c>
      <c r="I189" s="57">
        <v>0</v>
      </c>
      <c r="Z189" s="57">
        <v>8</v>
      </c>
      <c r="AA189" s="57">
        <v>2</v>
      </c>
      <c r="AB189" s="57">
        <v>3</v>
      </c>
    </row>
    <row r="190" spans="2:28" x14ac:dyDescent="0.2">
      <c r="B190" s="57" t="s">
        <v>1155</v>
      </c>
      <c r="C190" s="57">
        <v>1</v>
      </c>
      <c r="D190" s="57" t="s">
        <v>1230</v>
      </c>
      <c r="E190" s="102">
        <f>VLOOKUP(Z190&amp;"_"&amp;AA190,挑战模式!$A$3:$Z$58,5+5*AB190,FALSE)</f>
        <v>2492</v>
      </c>
      <c r="F190" s="57">
        <v>1</v>
      </c>
      <c r="G190" s="57">
        <v>0</v>
      </c>
      <c r="H190" s="57">
        <v>0</v>
      </c>
      <c r="I190" s="57">
        <v>0</v>
      </c>
      <c r="Z190" s="57">
        <v>8</v>
      </c>
      <c r="AA190" s="57">
        <v>3</v>
      </c>
      <c r="AB190" s="57">
        <v>1</v>
      </c>
    </row>
    <row r="191" spans="2:28" x14ac:dyDescent="0.2">
      <c r="B191" s="57" t="s">
        <v>1156</v>
      </c>
      <c r="C191" s="57">
        <v>1</v>
      </c>
      <c r="D191" s="57" t="s">
        <v>1231</v>
      </c>
      <c r="E191" s="102">
        <f>VLOOKUP(Z191&amp;"_"&amp;AA191,挑战模式!$A$3:$Z$58,5+5*AB191,FALSE)</f>
        <v>415</v>
      </c>
      <c r="F191" s="57">
        <v>1</v>
      </c>
      <c r="G191" s="57">
        <v>0</v>
      </c>
      <c r="H191" s="57">
        <v>0</v>
      </c>
      <c r="I191" s="57">
        <v>0</v>
      </c>
      <c r="Z191" s="57">
        <v>8</v>
      </c>
      <c r="AA191" s="57">
        <v>3</v>
      </c>
      <c r="AB191" s="57">
        <v>2</v>
      </c>
    </row>
    <row r="192" spans="2:28" x14ac:dyDescent="0.2">
      <c r="B192" s="57" t="s">
        <v>1157</v>
      </c>
      <c r="C192" s="57">
        <v>1</v>
      </c>
      <c r="D192" s="57" t="s">
        <v>1232</v>
      </c>
      <c r="E192" s="102">
        <f>VLOOKUP(Z192&amp;"_"&amp;AA192,挑战模式!$A$3:$Z$58,5+5*AB192,FALSE)</f>
        <v>3323</v>
      </c>
      <c r="F192" s="57">
        <v>1</v>
      </c>
      <c r="G192" s="57">
        <v>0</v>
      </c>
      <c r="H192" s="57">
        <v>0</v>
      </c>
      <c r="I192" s="57">
        <v>0</v>
      </c>
      <c r="Z192" s="57">
        <v>8</v>
      </c>
      <c r="AA192" s="57">
        <v>3</v>
      </c>
      <c r="AB192" s="57">
        <v>3</v>
      </c>
    </row>
    <row r="193" spans="2:28" x14ac:dyDescent="0.2">
      <c r="B193" s="57" t="s">
        <v>1158</v>
      </c>
      <c r="C193" s="57">
        <v>1</v>
      </c>
      <c r="D193" s="57" t="s">
        <v>1233</v>
      </c>
      <c r="E193" s="102">
        <f>VLOOKUP(Z193&amp;"_"&amp;AA193,挑战模式!$A$3:$Z$58,5+5*AB193,FALSE)</f>
        <v>2700</v>
      </c>
      <c r="F193" s="57">
        <v>1</v>
      </c>
      <c r="G193" s="57">
        <v>0</v>
      </c>
      <c r="H193" s="57">
        <v>0</v>
      </c>
      <c r="I193" s="57">
        <v>0</v>
      </c>
      <c r="Z193" s="57">
        <v>8</v>
      </c>
      <c r="AA193" s="57">
        <v>4</v>
      </c>
      <c r="AB193" s="57">
        <v>1</v>
      </c>
    </row>
    <row r="194" spans="2:28" x14ac:dyDescent="0.2">
      <c r="B194" s="57" t="s">
        <v>1159</v>
      </c>
      <c r="C194" s="57">
        <v>1</v>
      </c>
      <c r="D194" s="57" t="s">
        <v>1234</v>
      </c>
      <c r="E194" s="102">
        <f>VLOOKUP(Z194&amp;"_"&amp;AA194,挑战模式!$A$3:$Z$58,5+5*AB194,FALSE)</f>
        <v>450</v>
      </c>
      <c r="F194" s="57">
        <v>1</v>
      </c>
      <c r="G194" s="57">
        <v>0</v>
      </c>
      <c r="H194" s="57">
        <v>0</v>
      </c>
      <c r="I194" s="57">
        <v>0</v>
      </c>
      <c r="Z194" s="57">
        <v>8</v>
      </c>
      <c r="AA194" s="57">
        <v>4</v>
      </c>
      <c r="AB194" s="57">
        <v>2</v>
      </c>
    </row>
    <row r="195" spans="2:28" x14ac:dyDescent="0.2">
      <c r="B195" s="57" t="s">
        <v>1160</v>
      </c>
      <c r="C195" s="57">
        <v>1</v>
      </c>
      <c r="D195" s="57" t="s">
        <v>1235</v>
      </c>
      <c r="E195" s="102">
        <f>VLOOKUP(Z195&amp;"_"&amp;AA195,挑战模式!$A$3:$Z$58,5+5*AB195,FALSE)</f>
        <v>900</v>
      </c>
      <c r="F195" s="57">
        <v>1</v>
      </c>
      <c r="G195" s="57">
        <v>0</v>
      </c>
      <c r="H195" s="57">
        <v>0</v>
      </c>
      <c r="I195" s="57">
        <v>0</v>
      </c>
      <c r="Z195" s="57">
        <v>8</v>
      </c>
      <c r="AA195" s="57">
        <v>4</v>
      </c>
      <c r="AB195" s="57">
        <v>3</v>
      </c>
    </row>
    <row r="196" spans="2:28" x14ac:dyDescent="0.2">
      <c r="B196" s="57" t="s">
        <v>1161</v>
      </c>
      <c r="C196" s="57">
        <v>1</v>
      </c>
      <c r="D196" s="57" t="s">
        <v>1236</v>
      </c>
      <c r="E196" s="102">
        <f>VLOOKUP(Z196&amp;"_"&amp;AA196,挑战模式!$A$3:$Z$58,5+5*AB196,FALSE)</f>
        <v>3600</v>
      </c>
      <c r="F196" s="57">
        <v>1</v>
      </c>
      <c r="G196" s="57">
        <v>0</v>
      </c>
      <c r="H196" s="57">
        <v>0</v>
      </c>
      <c r="I196" s="57">
        <v>0</v>
      </c>
      <c r="Z196" s="57">
        <v>8</v>
      </c>
      <c r="AA196" s="57">
        <v>4</v>
      </c>
      <c r="AB196" s="57">
        <v>4</v>
      </c>
    </row>
    <row r="197" spans="2:28" x14ac:dyDescent="0.2">
      <c r="B197" s="57" t="s">
        <v>1162</v>
      </c>
      <c r="C197" s="57">
        <v>1</v>
      </c>
      <c r="D197" s="57" t="s">
        <v>1237</v>
      </c>
      <c r="E197" s="102">
        <f>VLOOKUP(Z197&amp;"_"&amp;AA197,挑战模式!$A$3:$Z$58,5+5*AB197,FALSE)</f>
        <v>1878</v>
      </c>
      <c r="F197" s="57">
        <v>1</v>
      </c>
      <c r="G197" s="57">
        <v>0</v>
      </c>
      <c r="H197" s="57">
        <v>0</v>
      </c>
      <c r="I197" s="57">
        <v>0</v>
      </c>
      <c r="Z197" s="57">
        <v>8</v>
      </c>
      <c r="AA197" s="57">
        <v>5</v>
      </c>
      <c r="AB197" s="57">
        <v>1</v>
      </c>
    </row>
    <row r="198" spans="2:28" x14ac:dyDescent="0.2">
      <c r="B198" s="57" t="s">
        <v>1163</v>
      </c>
      <c r="C198" s="57">
        <v>1</v>
      </c>
      <c r="D198" s="57" t="s">
        <v>1238</v>
      </c>
      <c r="E198" s="102">
        <f>VLOOKUP(Z198&amp;"_"&amp;AA198,挑战模式!$A$3:$Z$58,5+5*AB198,FALSE)</f>
        <v>1252</v>
      </c>
      <c r="F198" s="57">
        <v>1</v>
      </c>
      <c r="G198" s="57">
        <v>0</v>
      </c>
      <c r="H198" s="57">
        <v>0</v>
      </c>
      <c r="I198" s="57">
        <v>0</v>
      </c>
      <c r="Z198" s="57">
        <v>8</v>
      </c>
      <c r="AA198" s="57">
        <v>5</v>
      </c>
      <c r="AB198" s="57">
        <v>2</v>
      </c>
    </row>
    <row r="199" spans="2:28" x14ac:dyDescent="0.2">
      <c r="B199" s="57" t="s">
        <v>1164</v>
      </c>
      <c r="C199" s="57">
        <v>1</v>
      </c>
      <c r="D199" s="57" t="s">
        <v>1239</v>
      </c>
      <c r="E199" s="102">
        <f>VLOOKUP(Z199&amp;"_"&amp;AA199,挑战模式!$A$3:$Z$58,5+5*AB199,FALSE)</f>
        <v>626</v>
      </c>
      <c r="F199" s="57">
        <v>1</v>
      </c>
      <c r="G199" s="57">
        <v>0</v>
      </c>
      <c r="H199" s="57">
        <v>0</v>
      </c>
      <c r="I199" s="57">
        <v>0</v>
      </c>
      <c r="Z199" s="57">
        <v>8</v>
      </c>
      <c r="AA199" s="57">
        <v>5</v>
      </c>
      <c r="AB199" s="57">
        <v>3</v>
      </c>
    </row>
    <row r="200" spans="2:28" x14ac:dyDescent="0.2">
      <c r="B200" s="57" t="s">
        <v>1165</v>
      </c>
      <c r="C200" s="57">
        <v>1</v>
      </c>
      <c r="D200" s="57" t="s">
        <v>1240</v>
      </c>
      <c r="E200" s="102">
        <f>VLOOKUP(Z200&amp;"_"&amp;AA200,挑战模式!$A$3:$Z$58,5+5*AB200,FALSE)</f>
        <v>2504</v>
      </c>
      <c r="F200" s="57">
        <v>1</v>
      </c>
      <c r="G200" s="57">
        <v>0</v>
      </c>
      <c r="H200" s="57">
        <v>0</v>
      </c>
      <c r="I200" s="57">
        <v>0</v>
      </c>
      <c r="Z200" s="57">
        <v>8</v>
      </c>
      <c r="AA200" s="57">
        <v>5</v>
      </c>
      <c r="AB200" s="57">
        <v>4</v>
      </c>
    </row>
    <row r="201" spans="2:28" x14ac:dyDescent="0.2">
      <c r="B201" s="57" t="s">
        <v>1166</v>
      </c>
      <c r="C201" s="57">
        <v>1</v>
      </c>
      <c r="D201" s="57" t="s">
        <v>1241</v>
      </c>
      <c r="E201" s="102">
        <f>VLOOKUP(Z201&amp;"_"&amp;AA201,挑战模式!$A$3:$Z$58,5+5*AB201,FALSE)</f>
        <v>540</v>
      </c>
      <c r="F201" s="57">
        <v>1</v>
      </c>
      <c r="G201" s="57">
        <v>0</v>
      </c>
      <c r="H201" s="57">
        <v>0</v>
      </c>
      <c r="I201" s="57">
        <v>0</v>
      </c>
      <c r="Z201" s="57">
        <v>9</v>
      </c>
      <c r="AA201" s="57">
        <v>1</v>
      </c>
      <c r="AB201" s="57">
        <v>1</v>
      </c>
    </row>
    <row r="202" spans="2:28" x14ac:dyDescent="0.2">
      <c r="B202" s="57" t="s">
        <v>1167</v>
      </c>
      <c r="C202" s="57">
        <v>1</v>
      </c>
      <c r="D202" s="57" t="s">
        <v>1242</v>
      </c>
      <c r="E202" s="102">
        <f>VLOOKUP(Z202&amp;"_"&amp;AA202,挑战模式!$A$3:$Z$58,5+5*AB202,FALSE)</f>
        <v>2160</v>
      </c>
      <c r="F202" s="57">
        <v>1</v>
      </c>
      <c r="G202" s="57">
        <v>0</v>
      </c>
      <c r="H202" s="57">
        <v>0</v>
      </c>
      <c r="I202" s="57">
        <v>0</v>
      </c>
      <c r="Z202" s="57">
        <v>9</v>
      </c>
      <c r="AA202" s="57">
        <v>1</v>
      </c>
      <c r="AB202" s="57">
        <v>2</v>
      </c>
    </row>
    <row r="203" spans="2:28" x14ac:dyDescent="0.2">
      <c r="B203" s="57" t="s">
        <v>1168</v>
      </c>
      <c r="C203" s="57">
        <v>1</v>
      </c>
      <c r="D203" s="57" t="s">
        <v>1243</v>
      </c>
      <c r="E203" s="102">
        <f>VLOOKUP(Z203&amp;"_"&amp;AA203,挑战模式!$A$3:$Z$58,5+5*AB203,FALSE)</f>
        <v>255</v>
      </c>
      <c r="F203" s="57">
        <v>1</v>
      </c>
      <c r="G203" s="57">
        <v>0</v>
      </c>
      <c r="H203" s="57">
        <v>0</v>
      </c>
      <c r="I203" s="57">
        <v>0</v>
      </c>
      <c r="Z203" s="57">
        <v>9</v>
      </c>
      <c r="AA203" s="57">
        <v>2</v>
      </c>
      <c r="AB203" s="57">
        <v>1</v>
      </c>
    </row>
    <row r="204" spans="2:28" x14ac:dyDescent="0.2">
      <c r="B204" s="57" t="s">
        <v>1169</v>
      </c>
      <c r="C204" s="57">
        <v>1</v>
      </c>
      <c r="D204" s="57" t="s">
        <v>1244</v>
      </c>
      <c r="E204" s="102">
        <f>VLOOKUP(Z204&amp;"_"&amp;AA204,挑战模式!$A$3:$Z$58,5+5*AB204,FALSE)</f>
        <v>509</v>
      </c>
      <c r="F204" s="57">
        <v>1</v>
      </c>
      <c r="G204" s="57">
        <v>0</v>
      </c>
      <c r="H204" s="57">
        <v>0</v>
      </c>
      <c r="I204" s="57">
        <v>0</v>
      </c>
      <c r="Z204" s="57">
        <v>9</v>
      </c>
      <c r="AA204" s="57">
        <v>2</v>
      </c>
      <c r="AB204" s="57">
        <v>2</v>
      </c>
    </row>
    <row r="205" spans="2:28" x14ac:dyDescent="0.2">
      <c r="B205" s="57" t="s">
        <v>1170</v>
      </c>
      <c r="C205" s="57">
        <v>1</v>
      </c>
      <c r="D205" s="57" t="s">
        <v>1245</v>
      </c>
      <c r="E205" s="102">
        <f>VLOOKUP(Z205&amp;"_"&amp;AA205,挑战模式!$A$3:$Z$58,5+5*AB205,FALSE)</f>
        <v>1018</v>
      </c>
      <c r="F205" s="57">
        <v>1</v>
      </c>
      <c r="G205" s="57">
        <v>0</v>
      </c>
      <c r="H205" s="57">
        <v>0</v>
      </c>
      <c r="I205" s="57">
        <v>0</v>
      </c>
      <c r="Z205" s="57">
        <v>9</v>
      </c>
      <c r="AA205" s="57">
        <v>2</v>
      </c>
      <c r="AB205" s="57">
        <v>3</v>
      </c>
    </row>
    <row r="206" spans="2:28" x14ac:dyDescent="0.2">
      <c r="B206" s="57" t="s">
        <v>1171</v>
      </c>
      <c r="C206" s="57">
        <v>1</v>
      </c>
      <c r="D206" s="57" t="s">
        <v>1246</v>
      </c>
      <c r="E206" s="102">
        <f>VLOOKUP(Z206&amp;"_"&amp;AA206,挑战模式!$A$3:$Z$58,5+5*AB206,FALSE)</f>
        <v>935</v>
      </c>
      <c r="F206" s="57">
        <v>1</v>
      </c>
      <c r="G206" s="57">
        <v>0</v>
      </c>
      <c r="H206" s="57">
        <v>0</v>
      </c>
      <c r="I206" s="57">
        <v>0</v>
      </c>
      <c r="Z206" s="57">
        <v>9</v>
      </c>
      <c r="AA206" s="57">
        <v>3</v>
      </c>
      <c r="AB206" s="57">
        <v>1</v>
      </c>
    </row>
    <row r="207" spans="2:28" x14ac:dyDescent="0.2">
      <c r="B207" s="57" t="s">
        <v>1172</v>
      </c>
      <c r="C207" s="57">
        <v>1</v>
      </c>
      <c r="D207" s="57" t="s">
        <v>1247</v>
      </c>
      <c r="E207" s="102">
        <f>VLOOKUP(Z207&amp;"_"&amp;AA207,挑战模式!$A$3:$Z$58,5+5*AB207,FALSE)</f>
        <v>468</v>
      </c>
      <c r="F207" s="57">
        <v>1</v>
      </c>
      <c r="G207" s="57">
        <v>0</v>
      </c>
      <c r="H207" s="57">
        <v>0</v>
      </c>
      <c r="I207" s="57">
        <v>0</v>
      </c>
      <c r="Z207" s="57">
        <v>9</v>
      </c>
      <c r="AA207" s="57">
        <v>3</v>
      </c>
      <c r="AB207" s="57">
        <v>2</v>
      </c>
    </row>
    <row r="208" spans="2:28" x14ac:dyDescent="0.2">
      <c r="B208" s="57" t="s">
        <v>1173</v>
      </c>
      <c r="C208" s="57">
        <v>1</v>
      </c>
      <c r="D208" s="57" t="s">
        <v>1248</v>
      </c>
      <c r="E208" s="102">
        <f>VLOOKUP(Z208&amp;"_"&amp;AA208,挑战模式!$A$3:$Z$58,5+5*AB208,FALSE)</f>
        <v>3742</v>
      </c>
      <c r="F208" s="57">
        <v>1</v>
      </c>
      <c r="G208" s="57">
        <v>0</v>
      </c>
      <c r="H208" s="57">
        <v>0</v>
      </c>
      <c r="I208" s="57">
        <v>0</v>
      </c>
      <c r="Z208" s="57">
        <v>9</v>
      </c>
      <c r="AA208" s="57">
        <v>3</v>
      </c>
      <c r="AB208" s="57">
        <v>3</v>
      </c>
    </row>
    <row r="209" spans="2:28" x14ac:dyDescent="0.2">
      <c r="B209" s="57" t="s">
        <v>1174</v>
      </c>
      <c r="C209" s="57">
        <v>1</v>
      </c>
      <c r="D209" s="57" t="s">
        <v>1249</v>
      </c>
      <c r="E209" s="102">
        <f>VLOOKUP(Z209&amp;"_"&amp;AA209,挑战模式!$A$3:$Z$58,5+5*AB209,FALSE)</f>
        <v>1238</v>
      </c>
      <c r="F209" s="57">
        <v>1</v>
      </c>
      <c r="G209" s="57">
        <v>0</v>
      </c>
      <c r="H209" s="57">
        <v>0</v>
      </c>
      <c r="I209" s="57">
        <v>0</v>
      </c>
      <c r="Z209" s="57">
        <v>9</v>
      </c>
      <c r="AA209" s="57">
        <v>4</v>
      </c>
      <c r="AB209" s="57">
        <v>1</v>
      </c>
    </row>
    <row r="210" spans="2:28" x14ac:dyDescent="0.2">
      <c r="B210" s="57" t="s">
        <v>1175</v>
      </c>
      <c r="C210" s="57">
        <v>1</v>
      </c>
      <c r="D210" s="57" t="s">
        <v>1250</v>
      </c>
      <c r="E210" s="102">
        <f>VLOOKUP(Z210&amp;"_"&amp;AA210,挑战模式!$A$3:$Z$58,5+5*AB210,FALSE)</f>
        <v>1238</v>
      </c>
      <c r="F210" s="57">
        <v>1</v>
      </c>
      <c r="G210" s="57">
        <v>0</v>
      </c>
      <c r="H210" s="57">
        <v>0</v>
      </c>
      <c r="I210" s="57">
        <v>0</v>
      </c>
      <c r="Z210" s="57">
        <v>9</v>
      </c>
      <c r="AA210" s="57">
        <v>4</v>
      </c>
      <c r="AB210" s="57">
        <v>2</v>
      </c>
    </row>
    <row r="211" spans="2:28" x14ac:dyDescent="0.2">
      <c r="B211" s="57" t="s">
        <v>1176</v>
      </c>
      <c r="C211" s="57">
        <v>1</v>
      </c>
      <c r="D211" s="57" t="s">
        <v>1251</v>
      </c>
      <c r="E211" s="102">
        <f>VLOOKUP(Z211&amp;"_"&amp;AA211,挑战模式!$A$3:$Z$58,5+5*AB211,FALSE)</f>
        <v>4950</v>
      </c>
      <c r="F211" s="57">
        <v>1</v>
      </c>
      <c r="G211" s="57">
        <v>0</v>
      </c>
      <c r="H211" s="57">
        <v>0</v>
      </c>
      <c r="I211" s="57">
        <v>0</v>
      </c>
      <c r="Z211" s="57">
        <v>9</v>
      </c>
      <c r="AA211" s="57">
        <v>4</v>
      </c>
      <c r="AB211" s="57">
        <v>3</v>
      </c>
    </row>
    <row r="212" spans="2:28" x14ac:dyDescent="0.2">
      <c r="B212" s="57" t="s">
        <v>1177</v>
      </c>
      <c r="C212" s="57">
        <v>1</v>
      </c>
      <c r="D212" s="57" t="s">
        <v>1252</v>
      </c>
      <c r="E212" s="102">
        <f>VLOOKUP(Z212&amp;"_"&amp;AA212,挑战模式!$A$3:$Z$58,5+5*AB212,FALSE)</f>
        <v>1296</v>
      </c>
      <c r="F212" s="57">
        <v>1</v>
      </c>
      <c r="G212" s="57">
        <v>0</v>
      </c>
      <c r="H212" s="57">
        <v>0</v>
      </c>
      <c r="I212" s="57">
        <v>0</v>
      </c>
      <c r="Z212" s="57">
        <v>9</v>
      </c>
      <c r="AA212" s="57">
        <v>5</v>
      </c>
      <c r="AB212" s="57">
        <v>1</v>
      </c>
    </row>
    <row r="213" spans="2:28" x14ac:dyDescent="0.2">
      <c r="B213" s="57" t="s">
        <v>1178</v>
      </c>
      <c r="C213" s="57">
        <v>1</v>
      </c>
      <c r="D213" s="57" t="s">
        <v>1253</v>
      </c>
      <c r="E213" s="102">
        <f>VLOOKUP(Z213&amp;"_"&amp;AA213,挑战模式!$A$3:$Z$58,5+5*AB213,FALSE)</f>
        <v>3888</v>
      </c>
      <c r="F213" s="57">
        <v>1</v>
      </c>
      <c r="G213" s="57">
        <v>0</v>
      </c>
      <c r="H213" s="57">
        <v>0</v>
      </c>
      <c r="I213" s="57">
        <v>0</v>
      </c>
      <c r="Z213" s="57">
        <v>9</v>
      </c>
      <c r="AA213" s="57">
        <v>5</v>
      </c>
      <c r="AB213" s="57">
        <v>2</v>
      </c>
    </row>
    <row r="214" spans="2:28" x14ac:dyDescent="0.2">
      <c r="B214" s="57" t="s">
        <v>1179</v>
      </c>
      <c r="C214" s="57">
        <v>1</v>
      </c>
      <c r="D214" s="57" t="s">
        <v>1254</v>
      </c>
      <c r="E214" s="102">
        <f>VLOOKUP(Z214&amp;"_"&amp;AA214,挑战模式!$A$3:$Z$58,5+5*AB214,FALSE)</f>
        <v>5184</v>
      </c>
      <c r="F214" s="57">
        <v>1</v>
      </c>
      <c r="G214" s="57">
        <v>0</v>
      </c>
      <c r="H214" s="57">
        <v>0</v>
      </c>
      <c r="I214" s="57">
        <v>0</v>
      </c>
      <c r="Z214" s="57">
        <v>9</v>
      </c>
      <c r="AA214" s="57">
        <v>5</v>
      </c>
      <c r="AB214" s="57">
        <v>3</v>
      </c>
    </row>
    <row r="215" spans="2:28" x14ac:dyDescent="0.2">
      <c r="B215" s="57" t="s">
        <v>1180</v>
      </c>
      <c r="C215" s="57">
        <v>1</v>
      </c>
      <c r="D215" s="57" t="s">
        <v>1255</v>
      </c>
      <c r="E215" s="102">
        <f>VLOOKUP(Z215&amp;"_"&amp;AA215,挑战模式!$A$3:$Z$58,5+5*AB215,FALSE)</f>
        <v>726</v>
      </c>
      <c r="F215" s="57">
        <v>1</v>
      </c>
      <c r="G215" s="57">
        <v>0</v>
      </c>
      <c r="H215" s="57">
        <v>0</v>
      </c>
      <c r="I215" s="57">
        <v>0</v>
      </c>
      <c r="Z215" s="57">
        <v>10</v>
      </c>
      <c r="AA215" s="57">
        <v>1</v>
      </c>
      <c r="AB215" s="57">
        <v>1</v>
      </c>
    </row>
    <row r="216" spans="2:28" x14ac:dyDescent="0.2">
      <c r="B216" s="57" t="s">
        <v>1181</v>
      </c>
      <c r="C216" s="57">
        <v>1</v>
      </c>
      <c r="D216" s="57" t="s">
        <v>1256</v>
      </c>
      <c r="E216" s="102">
        <f>VLOOKUP(Z216&amp;"_"&amp;AA216,挑战模式!$A$3:$Z$58,5+5*AB216,FALSE)</f>
        <v>1452</v>
      </c>
      <c r="F216" s="57">
        <v>1</v>
      </c>
      <c r="G216" s="57">
        <v>0</v>
      </c>
      <c r="H216" s="57">
        <v>0</v>
      </c>
      <c r="I216" s="57">
        <v>0</v>
      </c>
      <c r="Z216" s="57">
        <v>10</v>
      </c>
      <c r="AA216" s="57">
        <v>1</v>
      </c>
      <c r="AB216" s="57">
        <v>2</v>
      </c>
    </row>
    <row r="217" spans="2:28" x14ac:dyDescent="0.2">
      <c r="B217" s="57" t="s">
        <v>1182</v>
      </c>
      <c r="C217" s="57">
        <v>1</v>
      </c>
      <c r="D217" s="57" t="s">
        <v>1257</v>
      </c>
      <c r="E217" s="102">
        <f>VLOOKUP(Z217&amp;"_"&amp;AA217,挑战模式!$A$3:$Z$58,5+5*AB217,FALSE)</f>
        <v>896</v>
      </c>
      <c r="F217" s="57">
        <v>1</v>
      </c>
      <c r="G217" s="57">
        <v>0</v>
      </c>
      <c r="H217" s="57">
        <v>0</v>
      </c>
      <c r="I217" s="57">
        <v>0</v>
      </c>
      <c r="Z217" s="57">
        <v>10</v>
      </c>
      <c r="AA217" s="57">
        <v>2</v>
      </c>
      <c r="AB217" s="57">
        <v>1</v>
      </c>
    </row>
    <row r="218" spans="2:28" x14ac:dyDescent="0.2">
      <c r="B218" s="57" t="s">
        <v>1183</v>
      </c>
      <c r="C218" s="57">
        <v>1</v>
      </c>
      <c r="D218" s="57" t="s">
        <v>1258</v>
      </c>
      <c r="E218" s="102">
        <f>VLOOKUP(Z218&amp;"_"&amp;AA218,挑战模式!$A$3:$Z$58,5+5*AB218,FALSE)</f>
        <v>112</v>
      </c>
      <c r="F218" s="57">
        <v>1</v>
      </c>
      <c r="G218" s="57">
        <v>0</v>
      </c>
      <c r="H218" s="57">
        <v>0</v>
      </c>
      <c r="I218" s="57">
        <v>0</v>
      </c>
      <c r="Z218" s="57">
        <v>10</v>
      </c>
      <c r="AA218" s="57">
        <v>2</v>
      </c>
      <c r="AB218" s="57">
        <v>2</v>
      </c>
    </row>
    <row r="219" spans="2:28" x14ac:dyDescent="0.2">
      <c r="B219" s="57" t="s">
        <v>1184</v>
      </c>
      <c r="C219" s="57">
        <v>1</v>
      </c>
      <c r="D219" s="57" t="s">
        <v>1259</v>
      </c>
      <c r="E219" s="102">
        <f>VLOOKUP(Z219&amp;"_"&amp;AA219,挑战模式!$A$3:$Z$58,5+5*AB219,FALSE)</f>
        <v>1792</v>
      </c>
      <c r="F219" s="57">
        <v>1</v>
      </c>
      <c r="G219" s="57">
        <v>0</v>
      </c>
      <c r="H219" s="57">
        <v>0</v>
      </c>
      <c r="I219" s="57">
        <v>0</v>
      </c>
      <c r="Z219" s="57">
        <v>10</v>
      </c>
      <c r="AA219" s="57">
        <v>2</v>
      </c>
      <c r="AB219" s="57">
        <v>3</v>
      </c>
    </row>
    <row r="220" spans="2:28" x14ac:dyDescent="0.2">
      <c r="B220" s="57" t="s">
        <v>1185</v>
      </c>
      <c r="C220" s="57">
        <v>1</v>
      </c>
      <c r="D220" s="57" t="s">
        <v>1260</v>
      </c>
      <c r="E220" s="102">
        <f>VLOOKUP(Z220&amp;"_"&amp;AA220,挑战模式!$A$3:$Z$58,5+5*AB220,FALSE)</f>
        <v>2178</v>
      </c>
      <c r="F220" s="57">
        <v>1</v>
      </c>
      <c r="G220" s="57">
        <v>0</v>
      </c>
      <c r="H220" s="57">
        <v>0</v>
      </c>
      <c r="I220" s="57">
        <v>0</v>
      </c>
      <c r="Z220" s="57">
        <v>10</v>
      </c>
      <c r="AA220" s="57">
        <v>3</v>
      </c>
      <c r="AB220" s="57">
        <v>1</v>
      </c>
    </row>
    <row r="221" spans="2:28" x14ac:dyDescent="0.2">
      <c r="B221" s="57" t="s">
        <v>1186</v>
      </c>
      <c r="C221" s="57">
        <v>1</v>
      </c>
      <c r="D221" s="57" t="s">
        <v>1261</v>
      </c>
      <c r="E221" s="102">
        <f>VLOOKUP(Z221&amp;"_"&amp;AA221,挑战模式!$A$3:$Z$58,5+5*AB221,FALSE)</f>
        <v>545</v>
      </c>
      <c r="F221" s="57">
        <v>1</v>
      </c>
      <c r="G221" s="57">
        <v>0</v>
      </c>
      <c r="H221" s="57">
        <v>0</v>
      </c>
      <c r="I221" s="57">
        <v>0</v>
      </c>
      <c r="Z221" s="57">
        <v>10</v>
      </c>
      <c r="AA221" s="57">
        <v>3</v>
      </c>
      <c r="AB221" s="57">
        <v>2</v>
      </c>
    </row>
    <row r="222" spans="2:28" x14ac:dyDescent="0.2">
      <c r="B222" s="57" t="s">
        <v>1187</v>
      </c>
      <c r="C222" s="57">
        <v>1</v>
      </c>
      <c r="D222" s="57" t="s">
        <v>1262</v>
      </c>
      <c r="E222" s="102">
        <f>VLOOKUP(Z222&amp;"_"&amp;AA222,挑战模式!$A$3:$Z$58,5+5*AB222,FALSE)</f>
        <v>545</v>
      </c>
      <c r="F222" s="57">
        <v>1</v>
      </c>
      <c r="G222" s="57">
        <v>0</v>
      </c>
      <c r="H222" s="57">
        <v>0</v>
      </c>
      <c r="I222" s="57">
        <v>0</v>
      </c>
      <c r="Z222" s="57">
        <v>10</v>
      </c>
      <c r="AA222" s="57">
        <v>3</v>
      </c>
      <c r="AB222" s="57">
        <v>3</v>
      </c>
    </row>
    <row r="223" spans="2:28" x14ac:dyDescent="0.2">
      <c r="B223" s="57" t="s">
        <v>1188</v>
      </c>
      <c r="C223" s="57">
        <v>1</v>
      </c>
      <c r="D223" s="57" t="s">
        <v>1263</v>
      </c>
      <c r="E223" s="102">
        <f>VLOOKUP(Z223&amp;"_"&amp;AA223,挑战模式!$A$3:$Z$58,5+5*AB223,FALSE)</f>
        <v>4356</v>
      </c>
      <c r="F223" s="57">
        <v>1</v>
      </c>
      <c r="G223" s="57">
        <v>0</v>
      </c>
      <c r="H223" s="57">
        <v>0</v>
      </c>
      <c r="I223" s="57">
        <v>0</v>
      </c>
      <c r="Z223" s="57">
        <v>10</v>
      </c>
      <c r="AA223" s="57">
        <v>3</v>
      </c>
      <c r="AB223" s="57">
        <v>4</v>
      </c>
    </row>
    <row r="224" spans="2:28" x14ac:dyDescent="0.2">
      <c r="B224" s="57" t="s">
        <v>1189</v>
      </c>
      <c r="C224" s="57">
        <v>1</v>
      </c>
      <c r="D224" s="57" t="s">
        <v>1264</v>
      </c>
      <c r="E224" s="102">
        <f>VLOOKUP(Z224&amp;"_"&amp;AA224,挑战模式!$A$3:$Z$58,5+5*AB224,FALSE)</f>
        <v>3409</v>
      </c>
      <c r="F224" s="57">
        <v>1</v>
      </c>
      <c r="G224" s="57">
        <v>0</v>
      </c>
      <c r="H224" s="57">
        <v>0</v>
      </c>
      <c r="I224" s="57">
        <v>0</v>
      </c>
      <c r="Z224" s="57">
        <v>10</v>
      </c>
      <c r="AA224" s="57">
        <v>4</v>
      </c>
      <c r="AB224" s="57">
        <v>1</v>
      </c>
    </row>
    <row r="225" spans="2:28" x14ac:dyDescent="0.2">
      <c r="B225" s="57" t="s">
        <v>1190</v>
      </c>
      <c r="C225" s="57">
        <v>1</v>
      </c>
      <c r="D225" s="57" t="s">
        <v>1265</v>
      </c>
      <c r="E225" s="102">
        <f>VLOOKUP(Z225&amp;"_"&amp;AA225,挑战模式!$A$3:$Z$58,5+5*AB225,FALSE)</f>
        <v>852</v>
      </c>
      <c r="F225" s="57">
        <v>1</v>
      </c>
      <c r="G225" s="57">
        <v>0</v>
      </c>
      <c r="H225" s="57">
        <v>0</v>
      </c>
      <c r="I225" s="57">
        <v>0</v>
      </c>
      <c r="Z225" s="57">
        <v>10</v>
      </c>
      <c r="AA225" s="57">
        <v>4</v>
      </c>
      <c r="AB225" s="57">
        <v>2</v>
      </c>
    </row>
    <row r="226" spans="2:28" x14ac:dyDescent="0.2">
      <c r="B226" s="57" t="s">
        <v>1191</v>
      </c>
      <c r="C226" s="57">
        <v>1</v>
      </c>
      <c r="D226" s="57" t="s">
        <v>1266</v>
      </c>
      <c r="E226" s="102">
        <f>VLOOKUP(Z226&amp;"_"&amp;AA226,挑战模式!$A$3:$Z$58,5+5*AB226,FALSE)</f>
        <v>6818</v>
      </c>
      <c r="F226" s="57">
        <v>1</v>
      </c>
      <c r="G226" s="57">
        <v>0</v>
      </c>
      <c r="H226" s="57">
        <v>0</v>
      </c>
      <c r="I226" s="57">
        <v>0</v>
      </c>
      <c r="Z226" s="57">
        <v>10</v>
      </c>
      <c r="AA226" s="57">
        <v>4</v>
      </c>
      <c r="AB226" s="57">
        <v>3</v>
      </c>
    </row>
    <row r="227" spans="2:28" x14ac:dyDescent="0.2">
      <c r="B227" s="57" t="s">
        <v>1192</v>
      </c>
      <c r="C227" s="57">
        <v>1</v>
      </c>
      <c r="D227" s="57" t="s">
        <v>1267</v>
      </c>
      <c r="E227" s="102">
        <f>VLOOKUP(Z227&amp;"_"&amp;AA227,挑战模式!$A$3:$Z$58,5+5*AB227,FALSE)</f>
        <v>3105</v>
      </c>
      <c r="F227" s="57">
        <v>1</v>
      </c>
      <c r="G227" s="57">
        <v>0</v>
      </c>
      <c r="H227" s="57">
        <v>0</v>
      </c>
      <c r="I227" s="57">
        <v>0</v>
      </c>
      <c r="Z227" s="57">
        <v>10</v>
      </c>
      <c r="AA227" s="57">
        <v>5</v>
      </c>
      <c r="AB227" s="57">
        <v>1</v>
      </c>
    </row>
    <row r="228" spans="2:28" x14ac:dyDescent="0.2">
      <c r="B228" s="57" t="s">
        <v>1193</v>
      </c>
      <c r="C228" s="57">
        <v>1</v>
      </c>
      <c r="D228" s="57" t="s">
        <v>1268</v>
      </c>
      <c r="E228" s="102">
        <f>VLOOKUP(Z228&amp;"_"&amp;AA228,挑战模式!$A$3:$Z$58,5+5*AB228,FALSE)</f>
        <v>776</v>
      </c>
      <c r="F228" s="57">
        <v>1</v>
      </c>
      <c r="G228" s="57">
        <v>0</v>
      </c>
      <c r="H228" s="57">
        <v>0</v>
      </c>
      <c r="I228" s="57">
        <v>0</v>
      </c>
      <c r="Z228" s="57">
        <v>10</v>
      </c>
      <c r="AA228" s="57">
        <v>5</v>
      </c>
      <c r="AB228" s="57">
        <v>2</v>
      </c>
    </row>
    <row r="229" spans="2:28" x14ac:dyDescent="0.2">
      <c r="B229" s="57" t="s">
        <v>1194</v>
      </c>
      <c r="C229" s="57">
        <v>1</v>
      </c>
      <c r="D229" s="57" t="s">
        <v>1269</v>
      </c>
      <c r="E229" s="102">
        <f>VLOOKUP(Z229&amp;"_"&amp;AA229,挑战模式!$A$3:$Z$58,5+5*AB229,FALSE)</f>
        <v>2329</v>
      </c>
      <c r="F229" s="57">
        <v>1</v>
      </c>
      <c r="G229" s="57">
        <v>0</v>
      </c>
      <c r="H229" s="57">
        <v>0</v>
      </c>
      <c r="I229" s="57">
        <v>0</v>
      </c>
      <c r="Z229" s="57">
        <v>10</v>
      </c>
      <c r="AA229" s="57">
        <v>5</v>
      </c>
      <c r="AB229" s="57">
        <v>3</v>
      </c>
    </row>
    <row r="230" spans="2:28" x14ac:dyDescent="0.2">
      <c r="B230" s="57" t="s">
        <v>1195</v>
      </c>
      <c r="C230" s="57">
        <v>1</v>
      </c>
      <c r="D230" s="57" t="s">
        <v>1270</v>
      </c>
      <c r="E230" s="102">
        <f>VLOOKUP(Z230&amp;"_"&amp;AA230,挑战模式!$A$3:$Z$58,5+5*AB230,FALSE)</f>
        <v>6211</v>
      </c>
      <c r="F230" s="57">
        <v>1</v>
      </c>
      <c r="G230" s="57">
        <v>0</v>
      </c>
      <c r="H230" s="57">
        <v>0</v>
      </c>
      <c r="I230" s="57">
        <v>0</v>
      </c>
      <c r="Z230" s="57">
        <v>10</v>
      </c>
      <c r="AA230" s="57">
        <v>5</v>
      </c>
      <c r="AB230" s="57">
        <v>4</v>
      </c>
    </row>
    <row r="232" spans="2:28" x14ac:dyDescent="0.2">
      <c r="B232" t="s">
        <v>1763</v>
      </c>
      <c r="D232" t="s">
        <v>1847</v>
      </c>
      <c r="E232" s="102">
        <f>VLOOKUP(VLOOKUP(B232,MonsterWaveCallRuleCfg!$L$306:$Q$385,5,FALSE),线下模式!$A$3:$X$22,3+VLOOKUP(B232,MonsterWaveCallRuleCfg!$L$306:$Q$385,6,FALSE)*5,FALSE)</f>
        <v>346</v>
      </c>
      <c r="F232" s="57">
        <v>1</v>
      </c>
      <c r="G232" s="57">
        <v>0</v>
      </c>
      <c r="H232" s="57">
        <v>0</v>
      </c>
      <c r="I232" s="57">
        <v>0</v>
      </c>
    </row>
    <row r="233" spans="2:28" x14ac:dyDescent="0.2">
      <c r="B233" t="s">
        <v>1764</v>
      </c>
      <c r="D233" t="s">
        <v>1848</v>
      </c>
      <c r="E233" s="102">
        <f>VLOOKUP(VLOOKUP(B233,MonsterWaveCallRuleCfg!$L$306:$Q$385,5,FALSE),线下模式!$A$3:$X$22,3+VLOOKUP(B233,MonsterWaveCallRuleCfg!$L$306:$Q$385,6,FALSE)*5,FALSE)</f>
        <v>322</v>
      </c>
      <c r="F233" s="57">
        <v>1</v>
      </c>
      <c r="G233" s="57">
        <v>0</v>
      </c>
      <c r="H233" s="57">
        <v>0</v>
      </c>
      <c r="I233" s="57">
        <v>0</v>
      </c>
    </row>
    <row r="234" spans="2:28" x14ac:dyDescent="0.2">
      <c r="B234" t="s">
        <v>1765</v>
      </c>
      <c r="D234" t="s">
        <v>1849</v>
      </c>
      <c r="E234" s="102">
        <f>VLOOKUP(VLOOKUP(B234,MonsterWaveCallRuleCfg!$L$306:$Q$385,5,FALSE),线下模式!$A$3:$X$22,3+VLOOKUP(B234,MonsterWaveCallRuleCfg!$L$306:$Q$385,6,FALSE)*5,FALSE)</f>
        <v>1289</v>
      </c>
      <c r="F234" s="57">
        <v>1</v>
      </c>
      <c r="G234" s="57">
        <v>0</v>
      </c>
      <c r="H234" s="57">
        <v>0</v>
      </c>
      <c r="I234" s="57">
        <v>0</v>
      </c>
    </row>
    <row r="235" spans="2:28" x14ac:dyDescent="0.2">
      <c r="B235" t="s">
        <v>1766</v>
      </c>
      <c r="D235" t="s">
        <v>1850</v>
      </c>
      <c r="E235" s="102">
        <f>VLOOKUP(VLOOKUP(B235,MonsterWaveCallRuleCfg!$L$306:$Q$385,5,FALSE),线下模式!$A$3:$X$22,3+VLOOKUP(B235,MonsterWaveCallRuleCfg!$L$306:$Q$385,6,FALSE)*5,FALSE)</f>
        <v>1628</v>
      </c>
      <c r="F235" s="57">
        <v>1</v>
      </c>
      <c r="G235" s="57">
        <v>0</v>
      </c>
      <c r="H235" s="57">
        <v>0</v>
      </c>
      <c r="I235" s="57">
        <v>0</v>
      </c>
    </row>
    <row r="236" spans="2:28" x14ac:dyDescent="0.2">
      <c r="B236" t="s">
        <v>1767</v>
      </c>
      <c r="D236" t="s">
        <v>1851</v>
      </c>
      <c r="E236" s="102">
        <f>VLOOKUP(VLOOKUP(B236,MonsterWaveCallRuleCfg!$L$306:$Q$385,5,FALSE),线下模式!$A$3:$X$22,3+VLOOKUP(B236,MonsterWaveCallRuleCfg!$L$306:$Q$385,6,FALSE)*5,FALSE)</f>
        <v>407</v>
      </c>
      <c r="F236" s="57">
        <v>1</v>
      </c>
      <c r="G236" s="57">
        <v>0</v>
      </c>
      <c r="H236" s="57">
        <v>0</v>
      </c>
      <c r="I236" s="57">
        <v>0</v>
      </c>
    </row>
    <row r="237" spans="2:28" x14ac:dyDescent="0.2">
      <c r="B237" t="s">
        <v>1768</v>
      </c>
      <c r="D237" t="s">
        <v>1852</v>
      </c>
      <c r="E237" s="102">
        <f>VLOOKUP(VLOOKUP(B237,MonsterWaveCallRuleCfg!$L$306:$Q$385,5,FALSE),线下模式!$A$3:$X$22,3+VLOOKUP(B237,MonsterWaveCallRuleCfg!$L$306:$Q$385,6,FALSE)*5,FALSE)</f>
        <v>1371</v>
      </c>
      <c r="F237" s="57">
        <v>1</v>
      </c>
      <c r="G237" s="57">
        <v>0</v>
      </c>
      <c r="H237" s="57">
        <v>0</v>
      </c>
      <c r="I237" s="57">
        <v>0</v>
      </c>
    </row>
    <row r="238" spans="2:28" x14ac:dyDescent="0.2">
      <c r="B238" t="s">
        <v>1769</v>
      </c>
      <c r="D238" t="s">
        <v>1853</v>
      </c>
      <c r="E238" s="102">
        <f>VLOOKUP(VLOOKUP(B238,MonsterWaveCallRuleCfg!$L$306:$Q$385,5,FALSE),线下模式!$A$3:$X$22,3+VLOOKUP(B238,MonsterWaveCallRuleCfg!$L$306:$Q$385,6,FALSE)*5,FALSE)</f>
        <v>2742</v>
      </c>
      <c r="F238" s="57">
        <v>1</v>
      </c>
      <c r="G238" s="57">
        <v>0</v>
      </c>
      <c r="H238" s="57">
        <v>0</v>
      </c>
      <c r="I238" s="57">
        <v>0</v>
      </c>
    </row>
    <row r="239" spans="2:28" x14ac:dyDescent="0.2">
      <c r="B239" t="s">
        <v>1770</v>
      </c>
      <c r="D239" t="s">
        <v>1854</v>
      </c>
      <c r="E239" s="102">
        <f>VLOOKUP(VLOOKUP(B239,MonsterWaveCallRuleCfg!$L$306:$Q$385,5,FALSE),线下模式!$A$3:$X$22,3+VLOOKUP(B239,MonsterWaveCallRuleCfg!$L$306:$Q$385,6,FALSE)*5,FALSE)</f>
        <v>161906</v>
      </c>
      <c r="F239" s="57">
        <v>10</v>
      </c>
      <c r="G239" s="57">
        <v>0</v>
      </c>
      <c r="H239" s="57">
        <v>0</v>
      </c>
      <c r="I239" s="57">
        <v>0</v>
      </c>
    </row>
    <row r="240" spans="2:28" x14ac:dyDescent="0.2">
      <c r="B240" t="s">
        <v>1771</v>
      </c>
      <c r="D240" t="s">
        <v>1855</v>
      </c>
      <c r="E240" s="102">
        <f>VLOOKUP(VLOOKUP(B240,MonsterWaveCallRuleCfg!$L$306:$Q$385,5,FALSE),线下模式!$A$3:$X$22,3+VLOOKUP(B240,MonsterWaveCallRuleCfg!$L$306:$Q$385,6,FALSE)*5,FALSE)</f>
        <v>2024</v>
      </c>
      <c r="F240" s="57">
        <v>1</v>
      </c>
      <c r="G240" s="57">
        <v>0</v>
      </c>
      <c r="H240" s="57">
        <v>0</v>
      </c>
      <c r="I240" s="57">
        <v>0</v>
      </c>
    </row>
    <row r="241" spans="2:9" x14ac:dyDescent="0.2">
      <c r="B241" t="s">
        <v>1772</v>
      </c>
      <c r="D241" t="s">
        <v>1856</v>
      </c>
      <c r="E241" s="102">
        <f>VLOOKUP(VLOOKUP(B241,MonsterWaveCallRuleCfg!$L$306:$Q$385,5,FALSE),线下模式!$A$3:$X$22,3+VLOOKUP(B241,MonsterWaveCallRuleCfg!$L$306:$Q$385,6,FALSE)*5,FALSE)</f>
        <v>3600</v>
      </c>
      <c r="F241" s="57">
        <v>1</v>
      </c>
      <c r="G241" s="57">
        <v>0</v>
      </c>
      <c r="H241" s="57">
        <v>0</v>
      </c>
      <c r="I241" s="57">
        <v>0</v>
      </c>
    </row>
    <row r="242" spans="2:9" x14ac:dyDescent="0.2">
      <c r="B242" t="s">
        <v>1773</v>
      </c>
      <c r="D242" t="s">
        <v>1857</v>
      </c>
      <c r="E242" s="102">
        <f>VLOOKUP(VLOOKUP(B242,MonsterWaveCallRuleCfg!$L$306:$Q$385,5,FALSE),线下模式!$A$3:$X$22,3+VLOOKUP(B242,MonsterWaveCallRuleCfg!$L$306:$Q$385,6,FALSE)*5,FALSE)</f>
        <v>1800</v>
      </c>
      <c r="F242" s="57">
        <v>1</v>
      </c>
      <c r="G242" s="57">
        <v>0</v>
      </c>
      <c r="H242" s="57">
        <v>0</v>
      </c>
      <c r="I242" s="57">
        <v>0</v>
      </c>
    </row>
    <row r="243" spans="2:9" x14ac:dyDescent="0.2">
      <c r="B243" t="s">
        <v>1774</v>
      </c>
      <c r="D243" t="s">
        <v>1858</v>
      </c>
      <c r="E243" s="102">
        <f>VLOOKUP(VLOOKUP(B243,MonsterWaveCallRuleCfg!$L$306:$Q$385,5,FALSE),线下模式!$A$3:$X$22,3+VLOOKUP(B243,MonsterWaveCallRuleCfg!$L$306:$Q$385,6,FALSE)*5,FALSE)</f>
        <v>3335</v>
      </c>
      <c r="F243" s="57">
        <v>1</v>
      </c>
      <c r="G243" s="57">
        <v>0</v>
      </c>
      <c r="H243" s="57">
        <v>0</v>
      </c>
      <c r="I243" s="57">
        <v>0</v>
      </c>
    </row>
    <row r="244" spans="2:9" x14ac:dyDescent="0.2">
      <c r="B244" t="s">
        <v>1775</v>
      </c>
      <c r="D244" t="s">
        <v>1859</v>
      </c>
      <c r="E244" s="102">
        <f>VLOOKUP(VLOOKUP(B244,MonsterWaveCallRuleCfg!$L$306:$Q$385,5,FALSE),线下模式!$A$3:$X$22,3+VLOOKUP(B244,MonsterWaveCallRuleCfg!$L$306:$Q$385,6,FALSE)*5,FALSE)</f>
        <v>1668</v>
      </c>
      <c r="F244" s="57">
        <v>1</v>
      </c>
      <c r="G244" s="57">
        <v>0</v>
      </c>
      <c r="H244" s="57">
        <v>0</v>
      </c>
      <c r="I244" s="57">
        <v>0</v>
      </c>
    </row>
    <row r="245" spans="2:9" x14ac:dyDescent="0.2">
      <c r="B245" t="s">
        <v>1776</v>
      </c>
      <c r="D245" t="s">
        <v>1860</v>
      </c>
      <c r="E245" s="102">
        <f>VLOOKUP(VLOOKUP(B245,MonsterWaveCallRuleCfg!$L$306:$Q$385,5,FALSE),线下模式!$A$3:$X$22,3+VLOOKUP(B245,MonsterWaveCallRuleCfg!$L$306:$Q$385,6,FALSE)*5,FALSE)</f>
        <v>6923</v>
      </c>
      <c r="F245" s="57">
        <v>1</v>
      </c>
      <c r="G245" s="57">
        <v>0</v>
      </c>
      <c r="H245" s="57">
        <v>0</v>
      </c>
      <c r="I245" s="57">
        <v>0</v>
      </c>
    </row>
    <row r="246" spans="2:9" x14ac:dyDescent="0.2">
      <c r="B246" t="s">
        <v>1777</v>
      </c>
      <c r="D246" t="s">
        <v>1861</v>
      </c>
      <c r="E246" s="102">
        <f>VLOOKUP(VLOOKUP(B246,MonsterWaveCallRuleCfg!$L$306:$Q$385,5,FALSE),线下模式!$A$3:$X$22,3+VLOOKUP(B246,MonsterWaveCallRuleCfg!$L$306:$Q$385,6,FALSE)*5,FALSE)</f>
        <v>10385</v>
      </c>
      <c r="F246" s="57">
        <v>1</v>
      </c>
      <c r="G246" s="57">
        <v>0</v>
      </c>
      <c r="H246" s="57">
        <v>0</v>
      </c>
      <c r="I246" s="57">
        <v>0</v>
      </c>
    </row>
    <row r="247" spans="2:9" x14ac:dyDescent="0.2">
      <c r="B247" t="s">
        <v>1778</v>
      </c>
      <c r="D247" t="s">
        <v>1862</v>
      </c>
      <c r="E247" s="102">
        <f>VLOOKUP(VLOOKUP(B247,MonsterWaveCallRuleCfg!$L$306:$Q$385,5,FALSE),线下模式!$A$3:$X$22,3+VLOOKUP(B247,MonsterWaveCallRuleCfg!$L$306:$Q$385,6,FALSE)*5,FALSE)</f>
        <v>2455</v>
      </c>
      <c r="F247" s="57">
        <v>1</v>
      </c>
      <c r="G247" s="57">
        <v>0</v>
      </c>
      <c r="H247" s="57">
        <v>0</v>
      </c>
      <c r="I247" s="57">
        <v>0</v>
      </c>
    </row>
    <row r="248" spans="2:9" x14ac:dyDescent="0.2">
      <c r="B248" t="s">
        <v>1779</v>
      </c>
      <c r="D248" t="s">
        <v>1863</v>
      </c>
      <c r="E248" s="102">
        <f>VLOOKUP(VLOOKUP(B248,MonsterWaveCallRuleCfg!$L$306:$Q$385,5,FALSE),线下模式!$A$3:$X$22,3+VLOOKUP(B248,MonsterWaveCallRuleCfg!$L$306:$Q$385,6,FALSE)*5,FALSE)</f>
        <v>3682</v>
      </c>
      <c r="F248" s="57">
        <v>1</v>
      </c>
      <c r="G248" s="57">
        <v>0</v>
      </c>
      <c r="H248" s="57">
        <v>0</v>
      </c>
      <c r="I248" s="57">
        <v>0</v>
      </c>
    </row>
    <row r="249" spans="2:9" x14ac:dyDescent="0.2">
      <c r="B249" t="s">
        <v>1780</v>
      </c>
      <c r="D249" t="s">
        <v>1864</v>
      </c>
      <c r="E249" s="102">
        <f>VLOOKUP(VLOOKUP(B249,MonsterWaveCallRuleCfg!$L$306:$Q$385,5,FALSE),线下模式!$A$3:$X$22,3+VLOOKUP(B249,MonsterWaveCallRuleCfg!$L$306:$Q$385,6,FALSE)*5,FALSE)</f>
        <v>39257</v>
      </c>
      <c r="F249" s="57">
        <v>1</v>
      </c>
      <c r="G249" s="57">
        <v>0</v>
      </c>
      <c r="H249" s="57">
        <v>0</v>
      </c>
      <c r="I249" s="57">
        <v>0</v>
      </c>
    </row>
    <row r="250" spans="2:9" x14ac:dyDescent="0.2">
      <c r="B250" t="s">
        <v>1781</v>
      </c>
      <c r="D250" t="s">
        <v>1865</v>
      </c>
      <c r="E250" s="102">
        <f>VLOOKUP(VLOOKUP(B250,MonsterWaveCallRuleCfg!$L$306:$Q$385,5,FALSE),线下模式!$A$3:$X$22,3+VLOOKUP(B250,MonsterWaveCallRuleCfg!$L$306:$Q$385,6,FALSE)*5,FALSE)</f>
        <v>261711</v>
      </c>
      <c r="F250" s="57">
        <v>10</v>
      </c>
      <c r="G250" s="57">
        <v>0</v>
      </c>
      <c r="H250" s="57">
        <v>0</v>
      </c>
      <c r="I250" s="57">
        <v>0</v>
      </c>
    </row>
    <row r="251" spans="2:9" x14ac:dyDescent="0.2">
      <c r="B251" t="s">
        <v>1782</v>
      </c>
      <c r="D251" t="s">
        <v>1866</v>
      </c>
      <c r="E251" s="102">
        <f>VLOOKUP(VLOOKUP(B251,MonsterWaveCallRuleCfg!$L$306:$Q$385,5,FALSE),线下模式!$A$3:$X$22,3+VLOOKUP(B251,MonsterWaveCallRuleCfg!$L$306:$Q$385,6,FALSE)*5,FALSE)</f>
        <v>47250</v>
      </c>
      <c r="F251" s="57">
        <v>1</v>
      </c>
      <c r="G251" s="57">
        <v>0</v>
      </c>
      <c r="H251" s="57">
        <v>0</v>
      </c>
      <c r="I251" s="57">
        <v>0</v>
      </c>
    </row>
    <row r="252" spans="2:9" x14ac:dyDescent="0.2">
      <c r="B252" t="s">
        <v>1783</v>
      </c>
      <c r="D252" t="s">
        <v>1867</v>
      </c>
      <c r="E252" s="102">
        <f>VLOOKUP(VLOOKUP(B252,MonsterWaveCallRuleCfg!$L$306:$Q$385,5,FALSE),线下模式!$A$3:$X$22,3+VLOOKUP(B252,MonsterWaveCallRuleCfg!$L$306:$Q$385,6,FALSE)*5,FALSE)</f>
        <v>31500</v>
      </c>
      <c r="F252" s="57">
        <v>1</v>
      </c>
      <c r="G252" s="57">
        <v>0</v>
      </c>
      <c r="H252" s="57">
        <v>0</v>
      </c>
      <c r="I252" s="57">
        <v>0</v>
      </c>
    </row>
    <row r="253" spans="2:9" x14ac:dyDescent="0.2">
      <c r="B253" t="s">
        <v>1784</v>
      </c>
      <c r="D253" t="s">
        <v>1868</v>
      </c>
      <c r="E253" s="102">
        <f>VLOOKUP(VLOOKUP(B253,MonsterWaveCallRuleCfg!$L$306:$Q$385,5,FALSE),线下模式!$A$3:$X$22,3+VLOOKUP(B253,MonsterWaveCallRuleCfg!$L$306:$Q$385,6,FALSE)*5,FALSE)</f>
        <v>46286</v>
      </c>
      <c r="F253" s="57">
        <v>1</v>
      </c>
      <c r="G253" s="57">
        <v>0</v>
      </c>
      <c r="H253" s="57">
        <v>0</v>
      </c>
      <c r="I253" s="57">
        <v>0</v>
      </c>
    </row>
    <row r="254" spans="2:9" x14ac:dyDescent="0.2">
      <c r="B254" t="s">
        <v>1785</v>
      </c>
      <c r="D254" t="s">
        <v>1869</v>
      </c>
      <c r="E254" s="102">
        <f>VLOOKUP(VLOOKUP(B254,MonsterWaveCallRuleCfg!$L$306:$Q$385,5,FALSE),线下模式!$A$3:$X$22,3+VLOOKUP(B254,MonsterWaveCallRuleCfg!$L$306:$Q$385,6,FALSE)*5,FALSE)</f>
        <v>17000</v>
      </c>
      <c r="F254" s="57">
        <v>1</v>
      </c>
      <c r="G254" s="57">
        <v>0</v>
      </c>
      <c r="H254" s="57">
        <v>0</v>
      </c>
      <c r="I254" s="57">
        <v>0</v>
      </c>
    </row>
    <row r="255" spans="2:9" x14ac:dyDescent="0.2">
      <c r="B255" t="s">
        <v>1786</v>
      </c>
      <c r="D255" t="s">
        <v>1870</v>
      </c>
      <c r="E255" s="102">
        <f>VLOOKUP(VLOOKUP(B255,MonsterWaveCallRuleCfg!$L$306:$Q$385,5,FALSE),线下模式!$A$3:$X$22,3+VLOOKUP(B255,MonsterWaveCallRuleCfg!$L$306:$Q$385,6,FALSE)*5,FALSE)</f>
        <v>34000</v>
      </c>
      <c r="F255" s="57">
        <v>1</v>
      </c>
      <c r="G255" s="57">
        <v>0</v>
      </c>
      <c r="H255" s="57">
        <v>0</v>
      </c>
      <c r="I255" s="57">
        <v>0</v>
      </c>
    </row>
    <row r="256" spans="2:9" x14ac:dyDescent="0.2">
      <c r="B256" t="s">
        <v>1787</v>
      </c>
      <c r="D256" t="s">
        <v>1871</v>
      </c>
      <c r="E256" s="102">
        <f>VLOOKUP(VLOOKUP(B256,MonsterWaveCallRuleCfg!$L$306:$Q$385,5,FALSE),线下模式!$A$3:$X$22,3+VLOOKUP(B256,MonsterWaveCallRuleCfg!$L$306:$Q$385,6,FALSE)*5,FALSE)</f>
        <v>11278</v>
      </c>
      <c r="F256" s="57">
        <v>1</v>
      </c>
      <c r="G256" s="57">
        <v>0</v>
      </c>
      <c r="H256" s="57">
        <v>0</v>
      </c>
      <c r="I256" s="57">
        <v>0</v>
      </c>
    </row>
    <row r="257" spans="2:9" x14ac:dyDescent="0.2">
      <c r="B257" t="s">
        <v>1788</v>
      </c>
      <c r="D257" t="s">
        <v>1872</v>
      </c>
      <c r="E257" s="102">
        <f>VLOOKUP(VLOOKUP(B257,MonsterWaveCallRuleCfg!$L$306:$Q$385,5,FALSE),线下模式!$A$3:$X$22,3+VLOOKUP(B257,MonsterWaveCallRuleCfg!$L$306:$Q$385,6,FALSE)*5,FALSE)</f>
        <v>67671</v>
      </c>
      <c r="F257" s="57">
        <v>1</v>
      </c>
      <c r="G257" s="57">
        <v>0</v>
      </c>
      <c r="H257" s="57">
        <v>0</v>
      </c>
      <c r="I257" s="57">
        <v>0</v>
      </c>
    </row>
    <row r="258" spans="2:9" x14ac:dyDescent="0.2">
      <c r="B258" t="s">
        <v>1789</v>
      </c>
      <c r="D258" t="s">
        <v>1873</v>
      </c>
      <c r="E258" s="102">
        <f>VLOOKUP(VLOOKUP(B258,MonsterWaveCallRuleCfg!$L$306:$Q$385,5,FALSE),线下模式!$A$3:$X$22,3+VLOOKUP(B258,MonsterWaveCallRuleCfg!$L$306:$Q$385,6,FALSE)*5,FALSE)</f>
        <v>8882</v>
      </c>
      <c r="F258" s="57">
        <v>1</v>
      </c>
      <c r="G258" s="57">
        <v>0</v>
      </c>
      <c r="H258" s="57">
        <v>0</v>
      </c>
      <c r="I258" s="57">
        <v>0</v>
      </c>
    </row>
    <row r="259" spans="2:9" x14ac:dyDescent="0.2">
      <c r="B259" t="s">
        <v>1790</v>
      </c>
      <c r="D259" t="s">
        <v>1874</v>
      </c>
      <c r="E259" s="102">
        <f>VLOOKUP(VLOOKUP(B259,MonsterWaveCallRuleCfg!$L$306:$Q$385,5,FALSE),线下模式!$A$3:$X$22,3+VLOOKUP(B259,MonsterWaveCallRuleCfg!$L$306:$Q$385,6,FALSE)*5,FALSE)</f>
        <v>13322</v>
      </c>
      <c r="F259" s="57">
        <v>1</v>
      </c>
      <c r="G259" s="57">
        <v>0</v>
      </c>
      <c r="H259" s="57">
        <v>0</v>
      </c>
      <c r="I259" s="57">
        <v>0</v>
      </c>
    </row>
    <row r="260" spans="2:9" x14ac:dyDescent="0.2">
      <c r="B260" t="s">
        <v>1791</v>
      </c>
      <c r="D260" t="s">
        <v>1875</v>
      </c>
      <c r="E260" s="102">
        <f>VLOOKUP(VLOOKUP(B260,MonsterWaveCallRuleCfg!$L$306:$Q$385,5,FALSE),线下模式!$A$3:$X$22,3+VLOOKUP(B260,MonsterWaveCallRuleCfg!$L$306:$Q$385,6,FALSE)*5,FALSE)</f>
        <v>177632</v>
      </c>
      <c r="F260" s="57">
        <v>10</v>
      </c>
      <c r="G260" s="57">
        <v>0</v>
      </c>
      <c r="H260" s="57">
        <v>0</v>
      </c>
      <c r="I260" s="57">
        <v>0</v>
      </c>
    </row>
    <row r="261" spans="2:9" x14ac:dyDescent="0.2">
      <c r="B261" t="s">
        <v>1792</v>
      </c>
      <c r="D261" t="s">
        <v>1876</v>
      </c>
      <c r="E261" s="102">
        <f>VLOOKUP(VLOOKUP(B261,MonsterWaveCallRuleCfg!$L$306:$Q$385,5,FALSE),线下模式!$A$3:$X$22,3+VLOOKUP(B261,MonsterWaveCallRuleCfg!$L$306:$Q$385,6,FALSE)*5,FALSE)</f>
        <v>23143</v>
      </c>
      <c r="F261" s="57">
        <v>1</v>
      </c>
      <c r="G261" s="57">
        <v>0</v>
      </c>
      <c r="H261" s="57">
        <v>0</v>
      </c>
      <c r="I261" s="57">
        <v>0</v>
      </c>
    </row>
    <row r="262" spans="2:9" x14ac:dyDescent="0.2">
      <c r="B262" t="s">
        <v>1793</v>
      </c>
      <c r="D262" t="s">
        <v>1877</v>
      </c>
      <c r="E262" s="102">
        <f>VLOOKUP(VLOOKUP(B262,MonsterWaveCallRuleCfg!$L$306:$Q$385,5,FALSE),线下模式!$A$3:$X$22,3+VLOOKUP(B262,MonsterWaveCallRuleCfg!$L$306:$Q$385,6,FALSE)*5,FALSE)</f>
        <v>46286</v>
      </c>
      <c r="F262" s="57">
        <v>1</v>
      </c>
      <c r="G262" s="57">
        <v>0</v>
      </c>
      <c r="H262" s="57">
        <v>0</v>
      </c>
      <c r="I262" s="57">
        <v>0</v>
      </c>
    </row>
    <row r="263" spans="2:9" x14ac:dyDescent="0.2">
      <c r="B263" t="s">
        <v>1794</v>
      </c>
      <c r="D263" t="s">
        <v>1878</v>
      </c>
      <c r="E263" s="102">
        <f>VLOOKUP(VLOOKUP(B263,MonsterWaveCallRuleCfg!$L$306:$Q$385,5,FALSE),线下模式!$A$3:$X$22,3+VLOOKUP(B263,MonsterWaveCallRuleCfg!$L$306:$Q$385,6,FALSE)*5,FALSE)</f>
        <v>40174</v>
      </c>
      <c r="F263" s="57">
        <v>1</v>
      </c>
      <c r="G263" s="57">
        <v>0</v>
      </c>
      <c r="H263" s="57">
        <v>0</v>
      </c>
      <c r="I263" s="57">
        <v>0</v>
      </c>
    </row>
    <row r="264" spans="2:9" x14ac:dyDescent="0.2">
      <c r="B264" t="s">
        <v>1795</v>
      </c>
      <c r="D264" t="s">
        <v>1879</v>
      </c>
      <c r="E264" s="102">
        <f>VLOOKUP(VLOOKUP(B264,MonsterWaveCallRuleCfg!$L$306:$Q$385,5,FALSE),线下模式!$A$3:$X$22,3+VLOOKUP(B264,MonsterWaveCallRuleCfg!$L$306:$Q$385,6,FALSE)*5,FALSE)</f>
        <v>20087</v>
      </c>
      <c r="F264" s="57">
        <v>1</v>
      </c>
      <c r="G264" s="57">
        <v>0</v>
      </c>
      <c r="H264" s="57">
        <v>0</v>
      </c>
      <c r="I264" s="57">
        <v>0</v>
      </c>
    </row>
    <row r="265" spans="2:9" x14ac:dyDescent="0.2">
      <c r="B265" t="s">
        <v>1796</v>
      </c>
      <c r="D265" t="s">
        <v>1880</v>
      </c>
      <c r="E265" s="102">
        <f>VLOOKUP(VLOOKUP(B265,MonsterWaveCallRuleCfg!$L$306:$Q$385,5,FALSE),线下模式!$A$3:$X$22,3+VLOOKUP(B265,MonsterWaveCallRuleCfg!$L$306:$Q$385,6,FALSE)*5,FALSE)</f>
        <v>30316</v>
      </c>
      <c r="F265" s="57">
        <v>1</v>
      </c>
      <c r="G265" s="57">
        <v>0</v>
      </c>
      <c r="H265" s="57">
        <v>0</v>
      </c>
      <c r="I265" s="57">
        <v>0</v>
      </c>
    </row>
    <row r="266" spans="2:9" x14ac:dyDescent="0.2">
      <c r="B266" t="s">
        <v>1797</v>
      </c>
      <c r="D266" t="s">
        <v>1881</v>
      </c>
      <c r="E266" s="102">
        <f>VLOOKUP(VLOOKUP(B266,MonsterWaveCallRuleCfg!$L$306:$Q$385,5,FALSE),线下模式!$A$3:$X$22,3+VLOOKUP(B266,MonsterWaveCallRuleCfg!$L$306:$Q$385,6,FALSE)*5,FALSE)</f>
        <v>15158</v>
      </c>
      <c r="F266" s="57">
        <v>1</v>
      </c>
      <c r="G266" s="57">
        <v>0</v>
      </c>
      <c r="H266" s="57">
        <v>0</v>
      </c>
      <c r="I266" s="57">
        <v>0</v>
      </c>
    </row>
    <row r="267" spans="2:9" x14ac:dyDescent="0.2">
      <c r="B267" t="s">
        <v>1798</v>
      </c>
      <c r="D267" t="s">
        <v>1882</v>
      </c>
      <c r="E267" s="102">
        <f>VLOOKUP(VLOOKUP(B267,MonsterWaveCallRuleCfg!$L$306:$Q$385,5,FALSE),线下模式!$A$3:$X$22,3+VLOOKUP(B267,MonsterWaveCallRuleCfg!$L$306:$Q$385,6,FALSE)*5,FALSE)</f>
        <v>45474</v>
      </c>
      <c r="F267" s="57">
        <v>1</v>
      </c>
      <c r="G267" s="57">
        <v>0</v>
      </c>
      <c r="H267" s="57">
        <v>0</v>
      </c>
      <c r="I267" s="57">
        <v>0</v>
      </c>
    </row>
    <row r="268" spans="2:9" x14ac:dyDescent="0.2">
      <c r="B268" t="s">
        <v>1799</v>
      </c>
      <c r="D268" t="s">
        <v>1883</v>
      </c>
      <c r="E268" s="102">
        <f>VLOOKUP(VLOOKUP(B268,MonsterWaveCallRuleCfg!$L$306:$Q$385,5,FALSE),线下模式!$A$3:$X$22,3+VLOOKUP(B268,MonsterWaveCallRuleCfg!$L$306:$Q$385,6,FALSE)*5,FALSE)</f>
        <v>25472</v>
      </c>
      <c r="F268" s="57">
        <v>1</v>
      </c>
      <c r="G268" s="57">
        <v>0</v>
      </c>
      <c r="H268" s="57">
        <v>0</v>
      </c>
      <c r="I268" s="57">
        <v>0</v>
      </c>
    </row>
    <row r="269" spans="2:9" x14ac:dyDescent="0.2">
      <c r="B269" t="s">
        <v>1800</v>
      </c>
      <c r="D269" t="s">
        <v>1884</v>
      </c>
      <c r="E269" s="102">
        <f>VLOOKUP(VLOOKUP(B269,MonsterWaveCallRuleCfg!$L$306:$Q$385,5,FALSE),线下模式!$A$3:$X$22,3+VLOOKUP(B269,MonsterWaveCallRuleCfg!$L$306:$Q$385,6,FALSE)*5,FALSE)</f>
        <v>12736</v>
      </c>
      <c r="F269" s="57">
        <v>1</v>
      </c>
      <c r="G269" s="57">
        <v>0</v>
      </c>
      <c r="H269" s="57">
        <v>0</v>
      </c>
      <c r="I269" s="57">
        <v>0</v>
      </c>
    </row>
    <row r="270" spans="2:9" x14ac:dyDescent="0.2">
      <c r="B270" t="s">
        <v>1801</v>
      </c>
      <c r="D270" t="s">
        <v>1885</v>
      </c>
      <c r="E270" s="102">
        <f>VLOOKUP(VLOOKUP(B270,MonsterWaveCallRuleCfg!$L$306:$Q$385,5,FALSE),线下模式!$A$3:$X$22,3+VLOOKUP(B270,MonsterWaveCallRuleCfg!$L$306:$Q$385,6,FALSE)*5,FALSE)</f>
        <v>38208</v>
      </c>
      <c r="F270" s="57">
        <v>1</v>
      </c>
      <c r="G270" s="57">
        <v>0</v>
      </c>
      <c r="H270" s="57">
        <v>0</v>
      </c>
      <c r="I270" s="57">
        <v>0</v>
      </c>
    </row>
    <row r="271" spans="2:9" x14ac:dyDescent="0.2">
      <c r="B271" t="s">
        <v>1802</v>
      </c>
      <c r="D271" t="s">
        <v>1886</v>
      </c>
      <c r="E271" s="102">
        <f>VLOOKUP(VLOOKUP(B271,MonsterWaveCallRuleCfg!$L$306:$Q$385,5,FALSE),线下模式!$A$3:$X$22,3+VLOOKUP(B271,MonsterWaveCallRuleCfg!$L$306:$Q$385,6,FALSE)*5,FALSE)</f>
        <v>12071</v>
      </c>
      <c r="F271" s="57">
        <v>1</v>
      </c>
      <c r="G271" s="57">
        <v>0</v>
      </c>
      <c r="H271" s="57">
        <v>0</v>
      </c>
      <c r="I271" s="57">
        <v>0</v>
      </c>
    </row>
    <row r="272" spans="2:9" x14ac:dyDescent="0.2">
      <c r="B272" t="s">
        <v>1803</v>
      </c>
      <c r="D272" t="s">
        <v>1887</v>
      </c>
      <c r="E272" s="102">
        <f>VLOOKUP(VLOOKUP(B272,MonsterWaveCallRuleCfg!$L$306:$Q$385,5,FALSE),线下模式!$A$3:$X$22,3+VLOOKUP(B272,MonsterWaveCallRuleCfg!$L$306:$Q$385,6,FALSE)*5,FALSE)</f>
        <v>241429</v>
      </c>
      <c r="F272" s="57">
        <v>10</v>
      </c>
      <c r="G272" s="57">
        <v>0</v>
      </c>
      <c r="H272" s="57">
        <v>0</v>
      </c>
      <c r="I272" s="57">
        <v>0</v>
      </c>
    </row>
    <row r="273" spans="2:28" x14ac:dyDescent="0.2">
      <c r="B273" t="s">
        <v>1804</v>
      </c>
      <c r="D273" t="s">
        <v>1888</v>
      </c>
      <c r="E273" s="102">
        <f>VLOOKUP(VLOOKUP(B273,MonsterWaveCallRuleCfg!$L$306:$Q$385,5,FALSE),线下模式!$A$3:$X$22,3+VLOOKUP(B273,MonsterWaveCallRuleCfg!$L$306:$Q$385,6,FALSE)*5,FALSE)</f>
        <v>36214</v>
      </c>
      <c r="F273" s="57">
        <v>1</v>
      </c>
      <c r="G273" s="57">
        <v>0</v>
      </c>
      <c r="H273" s="57">
        <v>0</v>
      </c>
      <c r="I273" s="57">
        <v>0</v>
      </c>
    </row>
    <row r="275" spans="2:28" x14ac:dyDescent="0.2">
      <c r="B275" s="57" t="s">
        <v>2295</v>
      </c>
      <c r="C275" s="57">
        <v>1</v>
      </c>
      <c r="D275" s="57" t="s">
        <v>2879</v>
      </c>
      <c r="E275" s="102">
        <f>VLOOKUP(Z275&amp;"_"&amp;AA275,活动关卡!$A$4:$Z$27,5+5*AB275,FALSE)</f>
        <v>53</v>
      </c>
      <c r="F275" s="57">
        <v>1</v>
      </c>
      <c r="G275" s="57">
        <v>0</v>
      </c>
      <c r="H275" s="57">
        <v>0</v>
      </c>
      <c r="I275" s="57">
        <v>0</v>
      </c>
      <c r="Z275" s="110" t="str">
        <f>LEFT(RIGHT(D275,5),1)</f>
        <v>1</v>
      </c>
      <c r="AA275" s="110" t="str">
        <f>LEFT(RIGHT(D275,3),1)</f>
        <v>1</v>
      </c>
      <c r="AB275" s="110" t="str">
        <f>RIGHT(D275,1)</f>
        <v>1</v>
      </c>
    </row>
    <row r="276" spans="2:28" x14ac:dyDescent="0.2">
      <c r="B276" s="57" t="s">
        <v>2296</v>
      </c>
      <c r="C276" s="57">
        <v>1</v>
      </c>
      <c r="D276" s="57" t="s">
        <v>2880</v>
      </c>
      <c r="E276" s="102">
        <f>VLOOKUP(Z276&amp;"_"&amp;AA276,活动关卡!$A$4:$Z$27,5+5*AB276,FALSE)</f>
        <v>212</v>
      </c>
      <c r="F276" s="57">
        <v>1</v>
      </c>
      <c r="G276" s="57">
        <v>0</v>
      </c>
      <c r="H276" s="57">
        <v>0</v>
      </c>
      <c r="I276" s="57">
        <v>0</v>
      </c>
      <c r="Z276" s="110" t="str">
        <f t="shared" ref="Z276:Z298" si="6">LEFT(RIGHT(D276,5),1)</f>
        <v>1</v>
      </c>
      <c r="AA276" s="110" t="str">
        <f t="shared" ref="AA276:AA298" si="7">LEFT(RIGHT(D276,3),1)</f>
        <v>1</v>
      </c>
      <c r="AB276" s="110" t="str">
        <f t="shared" ref="AB276:AB298" si="8">RIGHT(D276,1)</f>
        <v>2</v>
      </c>
    </row>
    <row r="277" spans="2:28" x14ac:dyDescent="0.2">
      <c r="B277" s="57" t="s">
        <v>2297</v>
      </c>
      <c r="C277" s="57">
        <v>1</v>
      </c>
      <c r="D277" s="57" t="s">
        <v>2881</v>
      </c>
      <c r="E277" s="102">
        <f>VLOOKUP(Z277&amp;"_"&amp;AA277,活动关卡!$A$4:$Z$27,5+5*AB277,FALSE)</f>
        <v>105</v>
      </c>
      <c r="F277" s="57">
        <v>1</v>
      </c>
      <c r="G277" s="57">
        <v>0</v>
      </c>
      <c r="H277" s="57">
        <v>0</v>
      </c>
      <c r="I277" s="57">
        <v>0</v>
      </c>
      <c r="Z277" s="110" t="str">
        <f t="shared" si="6"/>
        <v>1</v>
      </c>
      <c r="AA277" s="110" t="str">
        <f t="shared" si="7"/>
        <v>2</v>
      </c>
      <c r="AB277" s="110" t="str">
        <f t="shared" si="8"/>
        <v>1</v>
      </c>
    </row>
    <row r="278" spans="2:28" x14ac:dyDescent="0.2">
      <c r="B278" s="57" t="s">
        <v>2298</v>
      </c>
      <c r="C278" s="57">
        <v>1</v>
      </c>
      <c r="D278" s="57" t="s">
        <v>2882</v>
      </c>
      <c r="E278" s="102">
        <f>VLOOKUP(Z278&amp;"_"&amp;AA278,活动关卡!$A$4:$Z$27,5+5*AB278,FALSE)</f>
        <v>421</v>
      </c>
      <c r="F278" s="57">
        <v>1</v>
      </c>
      <c r="G278" s="57">
        <v>0</v>
      </c>
      <c r="H278" s="57">
        <v>0</v>
      </c>
      <c r="I278" s="57">
        <v>0</v>
      </c>
      <c r="Z278" s="110" t="str">
        <f t="shared" si="6"/>
        <v>1</v>
      </c>
      <c r="AA278" s="110" t="str">
        <f t="shared" si="7"/>
        <v>2</v>
      </c>
      <c r="AB278" s="110" t="str">
        <f t="shared" si="8"/>
        <v>2</v>
      </c>
    </row>
    <row r="279" spans="2:28" x14ac:dyDescent="0.2">
      <c r="B279" s="57" t="s">
        <v>2299</v>
      </c>
      <c r="C279" s="57">
        <v>1</v>
      </c>
      <c r="D279" s="57" t="s">
        <v>2883</v>
      </c>
      <c r="E279" s="102">
        <f>VLOOKUP(Z279&amp;"_"&amp;AA279,活动关卡!$A$4:$Z$27,5+5*AB279,FALSE)</f>
        <v>120</v>
      </c>
      <c r="F279" s="57">
        <v>1</v>
      </c>
      <c r="G279" s="57">
        <v>0</v>
      </c>
      <c r="H279" s="57">
        <v>0</v>
      </c>
      <c r="I279" s="57">
        <v>0</v>
      </c>
      <c r="Z279" s="110" t="str">
        <f t="shared" si="6"/>
        <v>1</v>
      </c>
      <c r="AA279" s="110" t="str">
        <f t="shared" si="7"/>
        <v>3</v>
      </c>
      <c r="AB279" s="110" t="str">
        <f t="shared" si="8"/>
        <v>1</v>
      </c>
    </row>
    <row r="280" spans="2:28" x14ac:dyDescent="0.2">
      <c r="B280" s="57" t="s">
        <v>2300</v>
      </c>
      <c r="C280" s="57">
        <v>1</v>
      </c>
      <c r="D280" s="57" t="s">
        <v>2884</v>
      </c>
      <c r="E280" s="102">
        <f>VLOOKUP(Z280&amp;"_"&amp;AA280,活动关卡!$A$4:$Z$27,5+5*AB280,FALSE)</f>
        <v>480</v>
      </c>
      <c r="F280" s="57">
        <v>1</v>
      </c>
      <c r="G280" s="57">
        <v>0</v>
      </c>
      <c r="H280" s="57">
        <v>0</v>
      </c>
      <c r="I280" s="57">
        <v>0</v>
      </c>
      <c r="Z280" s="110" t="str">
        <f t="shared" si="6"/>
        <v>1</v>
      </c>
      <c r="AA280" s="110" t="str">
        <f t="shared" si="7"/>
        <v>3</v>
      </c>
      <c r="AB280" s="110" t="str">
        <f t="shared" si="8"/>
        <v>2</v>
      </c>
    </row>
    <row r="281" spans="2:28" x14ac:dyDescent="0.2">
      <c r="B281" s="57" t="s">
        <v>2301</v>
      </c>
      <c r="C281" s="57">
        <v>1</v>
      </c>
      <c r="D281" s="57" t="s">
        <v>2885</v>
      </c>
      <c r="E281" s="102">
        <f>VLOOKUP(Z281&amp;"_"&amp;AA281,活动关卡!$A$4:$Z$27,5+5*AB281,FALSE)</f>
        <v>480</v>
      </c>
      <c r="F281" s="57">
        <v>1</v>
      </c>
      <c r="G281" s="57">
        <v>0</v>
      </c>
      <c r="H281" s="57">
        <v>0</v>
      </c>
      <c r="I281" s="57">
        <v>0</v>
      </c>
      <c r="Z281" s="110" t="str">
        <f t="shared" si="6"/>
        <v>1</v>
      </c>
      <c r="AA281" s="110" t="str">
        <f t="shared" si="7"/>
        <v>3</v>
      </c>
      <c r="AB281" s="110" t="str">
        <f t="shared" si="8"/>
        <v>3</v>
      </c>
    </row>
    <row r="282" spans="2:28" x14ac:dyDescent="0.2">
      <c r="B282" s="57" t="s">
        <v>2302</v>
      </c>
      <c r="C282" s="57">
        <v>1</v>
      </c>
      <c r="D282" s="57" t="s">
        <v>2886</v>
      </c>
      <c r="E282" s="102">
        <f>VLOOKUP(Z282&amp;"_"&amp;AA282,活动关卡!$A$4:$Z$27,5+5*AB282,FALSE)</f>
        <v>60</v>
      </c>
      <c r="F282" s="57">
        <v>1</v>
      </c>
      <c r="G282" s="57">
        <v>0</v>
      </c>
      <c r="H282" s="57">
        <v>0</v>
      </c>
      <c r="I282" s="57">
        <v>0</v>
      </c>
      <c r="Z282" s="110" t="str">
        <f t="shared" si="6"/>
        <v>2</v>
      </c>
      <c r="AA282" s="110" t="str">
        <f t="shared" si="7"/>
        <v>1</v>
      </c>
      <c r="AB282" s="110" t="str">
        <f t="shared" si="8"/>
        <v>1</v>
      </c>
    </row>
    <row r="283" spans="2:28" x14ac:dyDescent="0.2">
      <c r="B283" s="57" t="s">
        <v>2303</v>
      </c>
      <c r="C283" s="57">
        <v>1</v>
      </c>
      <c r="D283" s="57" t="s">
        <v>2887</v>
      </c>
      <c r="E283" s="102">
        <f>VLOOKUP(Z283&amp;"_"&amp;AA283,活动关卡!$A$4:$Z$27,5+5*AB283,FALSE)</f>
        <v>120</v>
      </c>
      <c r="F283" s="57">
        <v>1</v>
      </c>
      <c r="G283" s="57">
        <v>0</v>
      </c>
      <c r="H283" s="57">
        <v>0</v>
      </c>
      <c r="I283" s="57">
        <v>0</v>
      </c>
      <c r="Z283" s="110" t="str">
        <f t="shared" si="6"/>
        <v>2</v>
      </c>
      <c r="AA283" s="110" t="str">
        <f t="shared" si="7"/>
        <v>1</v>
      </c>
      <c r="AB283" s="110" t="str">
        <f t="shared" si="8"/>
        <v>2</v>
      </c>
    </row>
    <row r="284" spans="2:28" x14ac:dyDescent="0.2">
      <c r="B284" s="57" t="s">
        <v>2304</v>
      </c>
      <c r="C284" s="57">
        <v>1</v>
      </c>
      <c r="D284" s="57" t="s">
        <v>2888</v>
      </c>
      <c r="E284" s="102">
        <f>VLOOKUP(Z284&amp;"_"&amp;AA284,活动关卡!$A$4:$Z$27,5+5*AB284,FALSE)</f>
        <v>216</v>
      </c>
      <c r="F284" s="57">
        <v>1</v>
      </c>
      <c r="G284" s="57">
        <v>0</v>
      </c>
      <c r="H284" s="57">
        <v>0</v>
      </c>
      <c r="I284" s="57">
        <v>0</v>
      </c>
      <c r="Z284" s="110" t="str">
        <f t="shared" si="6"/>
        <v>2</v>
      </c>
      <c r="AA284" s="110" t="str">
        <f t="shared" si="7"/>
        <v>2</v>
      </c>
      <c r="AB284" s="110" t="str">
        <f t="shared" si="8"/>
        <v>1</v>
      </c>
    </row>
    <row r="285" spans="2:28" x14ac:dyDescent="0.2">
      <c r="B285" s="57" t="s">
        <v>2305</v>
      </c>
      <c r="C285" s="57">
        <v>1</v>
      </c>
      <c r="D285" s="57" t="s">
        <v>2889</v>
      </c>
      <c r="E285" s="102">
        <f>VLOOKUP(Z285&amp;"_"&amp;AA285,活动关卡!$A$4:$Z$27,5+5*AB285,FALSE)</f>
        <v>432</v>
      </c>
      <c r="F285" s="57">
        <v>1</v>
      </c>
      <c r="G285" s="57">
        <v>0</v>
      </c>
      <c r="H285" s="57">
        <v>0</v>
      </c>
      <c r="I285" s="57">
        <v>0</v>
      </c>
      <c r="Z285" s="110" t="str">
        <f t="shared" si="6"/>
        <v>2</v>
      </c>
      <c r="AA285" s="110" t="str">
        <f t="shared" si="7"/>
        <v>2</v>
      </c>
      <c r="AB285" s="110" t="str">
        <f t="shared" si="8"/>
        <v>2</v>
      </c>
    </row>
    <row r="286" spans="2:28" x14ac:dyDescent="0.2">
      <c r="B286" s="57" t="s">
        <v>2306</v>
      </c>
      <c r="C286" s="57">
        <v>1</v>
      </c>
      <c r="D286" s="57" t="s">
        <v>2890</v>
      </c>
      <c r="E286" s="102">
        <f>VLOOKUP(Z286&amp;"_"&amp;AA286,活动关卡!$A$4:$Z$27,5+5*AB286,FALSE)</f>
        <v>432</v>
      </c>
      <c r="F286" s="57">
        <v>1</v>
      </c>
      <c r="G286" s="57">
        <v>0</v>
      </c>
      <c r="H286" s="57">
        <v>0</v>
      </c>
      <c r="I286" s="57">
        <v>0</v>
      </c>
      <c r="Z286" s="110" t="str">
        <f t="shared" si="6"/>
        <v>2</v>
      </c>
      <c r="AA286" s="110" t="str">
        <f t="shared" si="7"/>
        <v>2</v>
      </c>
      <c r="AB286" s="110" t="str">
        <f t="shared" si="8"/>
        <v>3</v>
      </c>
    </row>
    <row r="287" spans="2:28" x14ac:dyDescent="0.2">
      <c r="B287" s="57" t="s">
        <v>2307</v>
      </c>
      <c r="D287" s="57" t="s">
        <v>2891</v>
      </c>
      <c r="E287" s="102">
        <f>VLOOKUP(Z287&amp;"_"&amp;AA287,活动关卡!$A$4:$Z$27,5+5*AB287,FALSE)</f>
        <v>247</v>
      </c>
      <c r="F287" s="57">
        <v>1</v>
      </c>
      <c r="G287" s="57">
        <v>0</v>
      </c>
      <c r="H287" s="57">
        <v>0</v>
      </c>
      <c r="I287" s="57">
        <v>0</v>
      </c>
      <c r="Z287" s="110" t="str">
        <f t="shared" si="6"/>
        <v>2</v>
      </c>
      <c r="AA287" s="110" t="str">
        <f t="shared" si="7"/>
        <v>3</v>
      </c>
      <c r="AB287" s="110" t="str">
        <f t="shared" si="8"/>
        <v>1</v>
      </c>
    </row>
    <row r="288" spans="2:28" x14ac:dyDescent="0.2">
      <c r="B288" s="57" t="s">
        <v>2308</v>
      </c>
      <c r="D288" s="57" t="s">
        <v>2892</v>
      </c>
      <c r="E288" s="102">
        <f>VLOOKUP(Z288&amp;"_"&amp;AA288,活动关卡!$A$4:$Z$27,5+5*AB288,FALSE)</f>
        <v>123</v>
      </c>
      <c r="F288" s="57">
        <v>1</v>
      </c>
      <c r="G288" s="57">
        <v>0</v>
      </c>
      <c r="H288" s="57">
        <v>0</v>
      </c>
      <c r="I288" s="57">
        <v>0</v>
      </c>
      <c r="Z288" s="110" t="str">
        <f t="shared" si="6"/>
        <v>2</v>
      </c>
      <c r="AA288" s="110" t="str">
        <f t="shared" si="7"/>
        <v>3</v>
      </c>
      <c r="AB288" s="110" t="str">
        <f t="shared" si="8"/>
        <v>2</v>
      </c>
    </row>
    <row r="289" spans="2:28" x14ac:dyDescent="0.2">
      <c r="B289" s="57" t="s">
        <v>2309</v>
      </c>
      <c r="D289" s="57" t="s">
        <v>2893</v>
      </c>
      <c r="E289" s="102">
        <f>VLOOKUP(Z289&amp;"_"&amp;AA289,活动关卡!$A$4:$Z$27,5+5*AB289,FALSE)</f>
        <v>494</v>
      </c>
      <c r="F289" s="57">
        <v>1</v>
      </c>
      <c r="G289" s="57">
        <v>0</v>
      </c>
      <c r="H289" s="57">
        <v>0</v>
      </c>
      <c r="I289" s="57">
        <v>0</v>
      </c>
      <c r="Z289" s="110" t="str">
        <f t="shared" si="6"/>
        <v>2</v>
      </c>
      <c r="AA289" s="110" t="str">
        <f t="shared" si="7"/>
        <v>3</v>
      </c>
      <c r="AB289" s="110" t="str">
        <f t="shared" si="8"/>
        <v>3</v>
      </c>
    </row>
    <row r="290" spans="2:28" x14ac:dyDescent="0.2">
      <c r="B290" s="57" t="s">
        <v>2310</v>
      </c>
      <c r="D290" s="57" t="s">
        <v>2894</v>
      </c>
      <c r="E290" s="102">
        <f>VLOOKUP(Z290&amp;"_"&amp;AA290,活动关卡!$A$4:$Z$27,5+5*AB290,FALSE)</f>
        <v>155</v>
      </c>
      <c r="F290" s="57">
        <v>1</v>
      </c>
      <c r="G290" s="57">
        <v>0</v>
      </c>
      <c r="H290" s="57">
        <v>0</v>
      </c>
      <c r="I290" s="57">
        <v>0</v>
      </c>
      <c r="Z290" s="110" t="str">
        <f t="shared" si="6"/>
        <v>2</v>
      </c>
      <c r="AA290" s="110" t="str">
        <f t="shared" si="7"/>
        <v>4</v>
      </c>
      <c r="AB290" s="110" t="str">
        <f t="shared" si="8"/>
        <v>1</v>
      </c>
    </row>
    <row r="291" spans="2:28" x14ac:dyDescent="0.2">
      <c r="B291" s="57" t="s">
        <v>2311</v>
      </c>
      <c r="D291" s="57" t="s">
        <v>2895</v>
      </c>
      <c r="E291" s="102">
        <f>VLOOKUP(Z291&amp;"_"&amp;AA291,活动关卡!$A$4:$Z$27,5+5*AB291,FALSE)</f>
        <v>77</v>
      </c>
      <c r="F291" s="57">
        <v>1</v>
      </c>
      <c r="G291" s="57">
        <v>0</v>
      </c>
      <c r="H291" s="57">
        <v>0</v>
      </c>
      <c r="I291" s="57">
        <v>0</v>
      </c>
      <c r="Z291" s="110" t="str">
        <f t="shared" si="6"/>
        <v>2</v>
      </c>
      <c r="AA291" s="110" t="str">
        <f t="shared" si="7"/>
        <v>4</v>
      </c>
      <c r="AB291" s="110" t="str">
        <f t="shared" si="8"/>
        <v>2</v>
      </c>
    </row>
    <row r="292" spans="2:28" x14ac:dyDescent="0.2">
      <c r="B292" s="57" t="s">
        <v>2312</v>
      </c>
      <c r="D292" s="57" t="s">
        <v>2896</v>
      </c>
      <c r="E292" s="102">
        <f>VLOOKUP(Z292&amp;"_"&amp;AA292,活动关卡!$A$4:$Z$27,5+5*AB292,FALSE)</f>
        <v>310</v>
      </c>
      <c r="F292" s="57">
        <v>1</v>
      </c>
      <c r="G292" s="57">
        <v>0</v>
      </c>
      <c r="H292" s="57">
        <v>0</v>
      </c>
      <c r="I292" s="57">
        <v>0</v>
      </c>
      <c r="Z292" s="110" t="str">
        <f t="shared" si="6"/>
        <v>2</v>
      </c>
      <c r="AA292" s="110" t="str">
        <f t="shared" si="7"/>
        <v>4</v>
      </c>
      <c r="AB292" s="110" t="str">
        <f t="shared" si="8"/>
        <v>3</v>
      </c>
    </row>
    <row r="293" spans="2:28" x14ac:dyDescent="0.2">
      <c r="B293" s="57" t="s">
        <v>2313</v>
      </c>
      <c r="D293" s="57" t="s">
        <v>2897</v>
      </c>
      <c r="E293" s="102">
        <f>VLOOKUP(Z293&amp;"_"&amp;AA293,活动关卡!$A$4:$Z$27,5+5*AB293,FALSE)</f>
        <v>310</v>
      </c>
      <c r="F293" s="57">
        <v>1</v>
      </c>
      <c r="G293" s="57">
        <v>0</v>
      </c>
      <c r="H293" s="57">
        <v>0</v>
      </c>
      <c r="I293" s="57">
        <v>0</v>
      </c>
      <c r="Z293" s="110" t="str">
        <f t="shared" si="6"/>
        <v>2</v>
      </c>
      <c r="AA293" s="110" t="str">
        <f t="shared" si="7"/>
        <v>4</v>
      </c>
      <c r="AB293" s="110" t="str">
        <f t="shared" si="8"/>
        <v>4</v>
      </c>
    </row>
    <row r="294" spans="2:28" x14ac:dyDescent="0.2">
      <c r="B294" s="57" t="s">
        <v>2314</v>
      </c>
      <c r="D294" s="57" t="s">
        <v>2898</v>
      </c>
      <c r="E294" s="102">
        <f>VLOOKUP(Z294&amp;"_"&amp;AA294,活动关卡!$A$4:$Z$27,5+5*AB294,FALSE)</f>
        <v>222</v>
      </c>
      <c r="F294" s="57">
        <v>1</v>
      </c>
      <c r="G294" s="57">
        <v>0</v>
      </c>
      <c r="H294" s="57">
        <v>0</v>
      </c>
      <c r="I294" s="57">
        <v>0</v>
      </c>
      <c r="Z294" s="110" t="str">
        <f t="shared" si="6"/>
        <v>2</v>
      </c>
      <c r="AA294" s="110" t="str">
        <f t="shared" si="7"/>
        <v>5</v>
      </c>
      <c r="AB294" s="110" t="str">
        <f t="shared" si="8"/>
        <v>1</v>
      </c>
    </row>
    <row r="295" spans="2:28" x14ac:dyDescent="0.2">
      <c r="B295" s="57" t="s">
        <v>2315</v>
      </c>
      <c r="D295" s="57" t="s">
        <v>2899</v>
      </c>
      <c r="E295" s="102">
        <f>VLOOKUP(Z295&amp;"_"&amp;AA295,活动关卡!$A$4:$Z$27,5+5*AB295,FALSE)</f>
        <v>111</v>
      </c>
      <c r="F295" s="57">
        <v>1</v>
      </c>
      <c r="G295" s="57">
        <v>0</v>
      </c>
      <c r="H295" s="57">
        <v>0</v>
      </c>
      <c r="I295" s="57">
        <v>0</v>
      </c>
      <c r="Z295" s="110" t="str">
        <f t="shared" si="6"/>
        <v>2</v>
      </c>
      <c r="AA295" s="110" t="str">
        <f t="shared" si="7"/>
        <v>5</v>
      </c>
      <c r="AB295" s="110" t="str">
        <f t="shared" si="8"/>
        <v>2</v>
      </c>
    </row>
    <row r="296" spans="2:28" x14ac:dyDescent="0.2">
      <c r="B296" s="57" t="s">
        <v>2316</v>
      </c>
      <c r="D296" s="57" t="s">
        <v>2900</v>
      </c>
      <c r="E296" s="102">
        <f>VLOOKUP(Z296&amp;"_"&amp;AA296,活动关卡!$A$4:$Z$27,5+5*AB296,FALSE)</f>
        <v>444</v>
      </c>
      <c r="F296" s="57">
        <v>1</v>
      </c>
      <c r="G296" s="57">
        <v>0</v>
      </c>
      <c r="H296" s="57">
        <v>0</v>
      </c>
      <c r="I296" s="57">
        <v>0</v>
      </c>
      <c r="Z296" s="110" t="str">
        <f t="shared" si="6"/>
        <v>2</v>
      </c>
      <c r="AA296" s="110" t="str">
        <f t="shared" si="7"/>
        <v>5</v>
      </c>
      <c r="AB296" s="110" t="str">
        <f t="shared" si="8"/>
        <v>3</v>
      </c>
    </row>
    <row r="297" spans="2:28" x14ac:dyDescent="0.2">
      <c r="B297" s="57" t="s">
        <v>2317</v>
      </c>
      <c r="D297" s="57" t="s">
        <v>2901</v>
      </c>
      <c r="E297" s="102">
        <f>VLOOKUP(Z297&amp;"_"&amp;AA297,活动关卡!$A$4:$Z$27,5+5*AB297,FALSE)</f>
        <v>444</v>
      </c>
      <c r="F297" s="57">
        <v>1</v>
      </c>
      <c r="G297" s="57">
        <v>0</v>
      </c>
      <c r="H297" s="57">
        <v>0</v>
      </c>
      <c r="I297" s="57">
        <v>0</v>
      </c>
      <c r="Z297" s="110" t="str">
        <f t="shared" si="6"/>
        <v>2</v>
      </c>
      <c r="AA297" s="110" t="str">
        <f t="shared" si="7"/>
        <v>5</v>
      </c>
      <c r="AB297" s="110" t="str">
        <f t="shared" si="8"/>
        <v>4</v>
      </c>
    </row>
    <row r="298" spans="2:28" x14ac:dyDescent="0.2">
      <c r="B298" s="57" t="s">
        <v>2318</v>
      </c>
      <c r="D298" s="57" t="s">
        <v>2902</v>
      </c>
      <c r="E298" s="102">
        <f>VLOOKUP(Z298&amp;"_"&amp;AA298,活动关卡!$A$4:$Z$27,5+5*AB298,FALSE)</f>
        <v>94</v>
      </c>
      <c r="F298" s="57">
        <v>1</v>
      </c>
      <c r="G298" s="57">
        <v>0</v>
      </c>
      <c r="H298" s="57">
        <v>0</v>
      </c>
      <c r="I298" s="57">
        <v>0</v>
      </c>
      <c r="Z298" s="110" t="str">
        <f t="shared" si="6"/>
        <v>3</v>
      </c>
      <c r="AA298" s="110" t="str">
        <f t="shared" si="7"/>
        <v>1</v>
      </c>
      <c r="AB298" s="110" t="str">
        <f t="shared" si="8"/>
        <v>1</v>
      </c>
    </row>
    <row r="299" spans="2:28" x14ac:dyDescent="0.2">
      <c r="B299" s="57" t="s">
        <v>2319</v>
      </c>
      <c r="D299" s="57" t="s">
        <v>2903</v>
      </c>
      <c r="E299" s="102">
        <f>VLOOKUP(Z299&amp;"_"&amp;AA299,活动关卡!$A$4:$Z$27,5+5*AB299,FALSE)</f>
        <v>125</v>
      </c>
      <c r="F299" s="57">
        <v>1</v>
      </c>
      <c r="G299" s="57">
        <v>0</v>
      </c>
      <c r="H299" s="57">
        <v>0</v>
      </c>
      <c r="I299" s="57">
        <v>0</v>
      </c>
      <c r="Z299" s="110" t="str">
        <f t="shared" ref="Z299:Z362" si="9">LEFT(RIGHT(D299,5),1)</f>
        <v>3</v>
      </c>
      <c r="AA299" s="110" t="str">
        <f t="shared" ref="AA299:AA362" si="10">LEFT(RIGHT(D299,3),1)</f>
        <v>1</v>
      </c>
      <c r="AB299" s="110" t="str">
        <f t="shared" ref="AB299:AB362" si="11">RIGHT(D299,1)</f>
        <v>2</v>
      </c>
    </row>
    <row r="300" spans="2:28" x14ac:dyDescent="0.2">
      <c r="B300" s="57" t="s">
        <v>2320</v>
      </c>
      <c r="D300" s="57" t="s">
        <v>2904</v>
      </c>
      <c r="E300" s="102">
        <f>VLOOKUP(Z300&amp;"_"&amp;AA300,活动关卡!$A$4:$Z$27,5+5*AB300,FALSE)</f>
        <v>240</v>
      </c>
      <c r="F300" s="57">
        <v>1</v>
      </c>
      <c r="G300" s="57">
        <v>0</v>
      </c>
      <c r="H300" s="57">
        <v>0</v>
      </c>
      <c r="I300" s="57">
        <v>0</v>
      </c>
      <c r="Z300" s="110" t="str">
        <f t="shared" si="9"/>
        <v>3</v>
      </c>
      <c r="AA300" s="110" t="str">
        <f t="shared" si="10"/>
        <v>2</v>
      </c>
      <c r="AB300" s="110" t="str">
        <f t="shared" si="11"/>
        <v>1</v>
      </c>
    </row>
    <row r="301" spans="2:28" x14ac:dyDescent="0.2">
      <c r="B301" s="57" t="s">
        <v>2321</v>
      </c>
      <c r="D301" s="57" t="s">
        <v>2905</v>
      </c>
      <c r="E301" s="102">
        <f>VLOOKUP(Z301&amp;"_"&amp;AA301,活动关卡!$A$4:$Z$27,5+5*AB301,FALSE)</f>
        <v>160</v>
      </c>
      <c r="F301" s="57">
        <v>1</v>
      </c>
      <c r="G301" s="57">
        <v>0</v>
      </c>
      <c r="H301" s="57">
        <v>0</v>
      </c>
      <c r="I301" s="57">
        <v>0</v>
      </c>
      <c r="Z301" s="110" t="str">
        <f t="shared" si="9"/>
        <v>3</v>
      </c>
      <c r="AA301" s="110" t="str">
        <f t="shared" si="10"/>
        <v>2</v>
      </c>
      <c r="AB301" s="110" t="str">
        <f t="shared" si="11"/>
        <v>2</v>
      </c>
    </row>
    <row r="302" spans="2:28" x14ac:dyDescent="0.2">
      <c r="B302" s="57" t="s">
        <v>2322</v>
      </c>
      <c r="D302" s="57" t="s">
        <v>2906</v>
      </c>
      <c r="E302" s="102">
        <f>VLOOKUP(Z302&amp;"_"&amp;AA302,活动关卡!$A$4:$Z$27,5+5*AB302,FALSE)</f>
        <v>320</v>
      </c>
      <c r="F302" s="57">
        <v>1</v>
      </c>
      <c r="G302" s="57">
        <v>0</v>
      </c>
      <c r="H302" s="57">
        <v>0</v>
      </c>
      <c r="I302" s="57">
        <v>0</v>
      </c>
      <c r="Z302" s="110" t="str">
        <f t="shared" si="9"/>
        <v>3</v>
      </c>
      <c r="AA302" s="110" t="str">
        <f t="shared" si="10"/>
        <v>2</v>
      </c>
      <c r="AB302" s="110" t="str">
        <f t="shared" si="11"/>
        <v>3</v>
      </c>
    </row>
    <row r="303" spans="2:28" x14ac:dyDescent="0.2">
      <c r="B303" s="57" t="s">
        <v>2323</v>
      </c>
      <c r="D303" s="57" t="s">
        <v>2907</v>
      </c>
      <c r="E303" s="102">
        <f>VLOOKUP(Z303&amp;"_"&amp;AA303,活动关卡!$A$4:$Z$27,5+5*AB303,FALSE)</f>
        <v>1020</v>
      </c>
      <c r="F303" s="57">
        <v>1</v>
      </c>
      <c r="G303" s="57">
        <v>0</v>
      </c>
      <c r="H303" s="57">
        <v>0</v>
      </c>
      <c r="I303" s="57">
        <v>0</v>
      </c>
      <c r="Z303" s="110" t="str">
        <f t="shared" si="9"/>
        <v>3</v>
      </c>
      <c r="AA303" s="110" t="str">
        <f t="shared" si="10"/>
        <v>3</v>
      </c>
      <c r="AB303" s="110" t="str">
        <f t="shared" si="11"/>
        <v>1</v>
      </c>
    </row>
    <row r="304" spans="2:28" x14ac:dyDescent="0.2">
      <c r="B304" s="57" t="s">
        <v>2324</v>
      </c>
      <c r="D304" s="57" t="s">
        <v>2908</v>
      </c>
      <c r="E304" s="102">
        <f>VLOOKUP(Z304&amp;"_"&amp;AA304,活动关卡!$A$4:$Z$27,5+5*AB304,FALSE)</f>
        <v>170</v>
      </c>
      <c r="F304" s="57">
        <v>1</v>
      </c>
      <c r="G304" s="57">
        <v>0</v>
      </c>
      <c r="H304" s="57">
        <v>0</v>
      </c>
      <c r="I304" s="57">
        <v>0</v>
      </c>
      <c r="Z304" s="110" t="str">
        <f t="shared" si="9"/>
        <v>3</v>
      </c>
      <c r="AA304" s="110" t="str">
        <f t="shared" si="10"/>
        <v>3</v>
      </c>
      <c r="AB304" s="110" t="str">
        <f t="shared" si="11"/>
        <v>2</v>
      </c>
    </row>
    <row r="305" spans="2:28" x14ac:dyDescent="0.2">
      <c r="B305" s="57" t="s">
        <v>2325</v>
      </c>
      <c r="D305" s="57" t="s">
        <v>2909</v>
      </c>
      <c r="E305" s="102">
        <f>VLOOKUP(Z305&amp;"_"&amp;AA305,活动关卡!$A$4:$Z$27,5+5*AB305,FALSE)</f>
        <v>1361</v>
      </c>
      <c r="F305" s="57">
        <v>1</v>
      </c>
      <c r="G305" s="57">
        <v>0</v>
      </c>
      <c r="H305" s="57">
        <v>0</v>
      </c>
      <c r="I305" s="57">
        <v>0</v>
      </c>
      <c r="Z305" s="110" t="str">
        <f t="shared" si="9"/>
        <v>3</v>
      </c>
      <c r="AA305" s="110" t="str">
        <f t="shared" si="10"/>
        <v>3</v>
      </c>
      <c r="AB305" s="110" t="str">
        <f t="shared" si="11"/>
        <v>3</v>
      </c>
    </row>
    <row r="306" spans="2:28" x14ac:dyDescent="0.2">
      <c r="B306" s="57" t="s">
        <v>2326</v>
      </c>
      <c r="D306" s="57" t="s">
        <v>2910</v>
      </c>
      <c r="E306" s="102">
        <f>VLOOKUP(Z306&amp;"_"&amp;AA306,活动关卡!$A$4:$Z$27,5+5*AB306,FALSE)</f>
        <v>83</v>
      </c>
      <c r="F306" s="57">
        <v>1</v>
      </c>
      <c r="G306" s="57">
        <v>0</v>
      </c>
      <c r="H306" s="57">
        <v>0</v>
      </c>
      <c r="I306" s="57">
        <v>0</v>
      </c>
      <c r="Z306" s="110" t="str">
        <f t="shared" si="9"/>
        <v>4</v>
      </c>
      <c r="AA306" s="110" t="str">
        <f t="shared" si="10"/>
        <v>1</v>
      </c>
      <c r="AB306" s="110" t="str">
        <f t="shared" si="11"/>
        <v>1</v>
      </c>
    </row>
    <row r="307" spans="2:28" x14ac:dyDescent="0.2">
      <c r="B307" s="57" t="s">
        <v>2327</v>
      </c>
      <c r="D307" s="57" t="s">
        <v>2911</v>
      </c>
      <c r="E307" s="102">
        <f>VLOOKUP(Z307&amp;"_"&amp;AA307,活动关卡!$A$4:$Z$27,5+5*AB307,FALSE)</f>
        <v>333</v>
      </c>
      <c r="F307" s="57">
        <v>1</v>
      </c>
      <c r="G307" s="57">
        <v>0</v>
      </c>
      <c r="H307" s="57">
        <v>0</v>
      </c>
      <c r="I307" s="57">
        <v>0</v>
      </c>
      <c r="Z307" s="110" t="str">
        <f t="shared" si="9"/>
        <v>4</v>
      </c>
      <c r="AA307" s="110" t="str">
        <f t="shared" si="10"/>
        <v>1</v>
      </c>
      <c r="AB307" s="110" t="str">
        <f t="shared" si="11"/>
        <v>2</v>
      </c>
    </row>
    <row r="308" spans="2:28" x14ac:dyDescent="0.2">
      <c r="B308" s="57" t="s">
        <v>2328</v>
      </c>
      <c r="D308" s="57" t="s">
        <v>2912</v>
      </c>
      <c r="E308" s="102">
        <f>VLOOKUP(Z308&amp;"_"&amp;AA308,活动关卡!$A$4:$Z$27,5+5*AB308,FALSE)</f>
        <v>220</v>
      </c>
      <c r="F308" s="57">
        <v>1</v>
      </c>
      <c r="G308" s="57">
        <v>0</v>
      </c>
      <c r="H308" s="57">
        <v>0</v>
      </c>
      <c r="I308" s="57">
        <v>0</v>
      </c>
      <c r="Z308" s="110" t="str">
        <f t="shared" si="9"/>
        <v>4</v>
      </c>
      <c r="AA308" s="110" t="str">
        <f t="shared" si="10"/>
        <v>2</v>
      </c>
      <c r="AB308" s="110" t="str">
        <f t="shared" si="11"/>
        <v>1</v>
      </c>
    </row>
    <row r="309" spans="2:28" x14ac:dyDescent="0.2">
      <c r="B309" s="57" t="s">
        <v>2329</v>
      </c>
      <c r="D309" s="57" t="s">
        <v>2913</v>
      </c>
      <c r="E309" s="102">
        <f>VLOOKUP(Z309&amp;"_"&amp;AA309,活动关卡!$A$4:$Z$27,5+5*AB309,FALSE)</f>
        <v>439</v>
      </c>
      <c r="F309" s="57">
        <v>1</v>
      </c>
      <c r="G309" s="57">
        <v>0</v>
      </c>
      <c r="H309" s="57">
        <v>0</v>
      </c>
      <c r="I309" s="57">
        <v>0</v>
      </c>
      <c r="Z309" s="110" t="str">
        <f t="shared" si="9"/>
        <v>4</v>
      </c>
      <c r="AA309" s="110" t="str">
        <f t="shared" si="10"/>
        <v>2</v>
      </c>
      <c r="AB309" s="110" t="str">
        <f t="shared" si="11"/>
        <v>2</v>
      </c>
    </row>
    <row r="310" spans="2:28" x14ac:dyDescent="0.2">
      <c r="B310" s="57" t="s">
        <v>2330</v>
      </c>
      <c r="D310" s="57" t="s">
        <v>2914</v>
      </c>
      <c r="E310" s="102">
        <f>VLOOKUP(Z310&amp;"_"&amp;AA310,活动关卡!$A$4:$Z$27,5+5*AB310,FALSE)</f>
        <v>878</v>
      </c>
      <c r="F310" s="57">
        <v>1</v>
      </c>
      <c r="G310" s="57">
        <v>0</v>
      </c>
      <c r="H310" s="57">
        <v>0</v>
      </c>
      <c r="I310" s="57">
        <v>0</v>
      </c>
      <c r="Z310" s="110" t="str">
        <f t="shared" si="9"/>
        <v>4</v>
      </c>
      <c r="AA310" s="110" t="str">
        <f t="shared" si="10"/>
        <v>2</v>
      </c>
      <c r="AB310" s="110" t="str">
        <f t="shared" si="11"/>
        <v>3</v>
      </c>
    </row>
    <row r="311" spans="2:28" x14ac:dyDescent="0.2">
      <c r="B311" s="57" t="s">
        <v>2331</v>
      </c>
      <c r="D311" s="57" t="s">
        <v>2915</v>
      </c>
      <c r="E311" s="102">
        <f>VLOOKUP(Z311&amp;"_"&amp;AA311,活动关卡!$A$4:$Z$27,5+5*AB311,FALSE)</f>
        <v>815</v>
      </c>
      <c r="F311" s="57">
        <v>1</v>
      </c>
      <c r="G311" s="57">
        <v>0</v>
      </c>
      <c r="H311" s="57">
        <v>0</v>
      </c>
      <c r="I311" s="57">
        <v>0</v>
      </c>
      <c r="Z311" s="110" t="str">
        <f t="shared" si="9"/>
        <v>4</v>
      </c>
      <c r="AA311" s="110" t="str">
        <f t="shared" si="10"/>
        <v>3</v>
      </c>
      <c r="AB311" s="110" t="str">
        <f t="shared" si="11"/>
        <v>1</v>
      </c>
    </row>
    <row r="312" spans="2:28" x14ac:dyDescent="0.2">
      <c r="B312" s="57" t="s">
        <v>2332</v>
      </c>
      <c r="D312" s="57" t="s">
        <v>2916</v>
      </c>
      <c r="E312" s="102">
        <f>VLOOKUP(Z312&amp;"_"&amp;AA312,活动关卡!$A$4:$Z$27,5+5*AB312,FALSE)</f>
        <v>408</v>
      </c>
      <c r="F312" s="57">
        <v>1</v>
      </c>
      <c r="G312" s="57">
        <v>0</v>
      </c>
      <c r="H312" s="57">
        <v>0</v>
      </c>
      <c r="I312" s="57">
        <v>0</v>
      </c>
      <c r="Z312" s="110" t="str">
        <f t="shared" si="9"/>
        <v>4</v>
      </c>
      <c r="AA312" s="110" t="str">
        <f t="shared" si="10"/>
        <v>3</v>
      </c>
      <c r="AB312" s="110" t="str">
        <f t="shared" si="11"/>
        <v>2</v>
      </c>
    </row>
    <row r="313" spans="2:28" x14ac:dyDescent="0.2">
      <c r="B313" s="57" t="s">
        <v>2333</v>
      </c>
      <c r="D313" s="57" t="s">
        <v>2917</v>
      </c>
      <c r="E313" s="102">
        <f>VLOOKUP(Z313&amp;"_"&amp;AA313,活动关卡!$A$4:$Z$27,5+5*AB313,FALSE)</f>
        <v>3260</v>
      </c>
      <c r="F313" s="57">
        <v>1</v>
      </c>
      <c r="G313" s="57">
        <v>0</v>
      </c>
      <c r="H313" s="57">
        <v>0</v>
      </c>
      <c r="I313" s="57">
        <v>0</v>
      </c>
      <c r="Z313" s="110" t="str">
        <f t="shared" si="9"/>
        <v>4</v>
      </c>
      <c r="AA313" s="110" t="str">
        <f t="shared" si="10"/>
        <v>3</v>
      </c>
      <c r="AB313" s="110" t="str">
        <f t="shared" si="11"/>
        <v>3</v>
      </c>
    </row>
    <row r="314" spans="2:28" x14ac:dyDescent="0.2">
      <c r="B314" s="57" t="s">
        <v>2334</v>
      </c>
      <c r="D314" s="57" t="s">
        <v>2918</v>
      </c>
      <c r="E314" s="102">
        <f>VLOOKUP(Z314&amp;"_"&amp;AA314,活动关卡!$A$4:$Z$27,5+5*AB314,FALSE)</f>
        <v>105</v>
      </c>
      <c r="F314" s="57">
        <v>1</v>
      </c>
      <c r="G314" s="57">
        <v>0</v>
      </c>
      <c r="H314" s="57">
        <v>0</v>
      </c>
      <c r="I314" s="57">
        <v>0</v>
      </c>
      <c r="Z314" s="110" t="str">
        <f t="shared" si="9"/>
        <v>4</v>
      </c>
      <c r="AA314" s="110" t="str">
        <f t="shared" si="10"/>
        <v>4</v>
      </c>
      <c r="AB314" s="110" t="str">
        <f t="shared" si="11"/>
        <v>1</v>
      </c>
    </row>
    <row r="315" spans="2:28" x14ac:dyDescent="0.2">
      <c r="B315" s="57" t="s">
        <v>2335</v>
      </c>
      <c r="D315" s="57" t="s">
        <v>2919</v>
      </c>
      <c r="E315" s="102">
        <f>VLOOKUP(Z315&amp;"_"&amp;AA315,活动关卡!$A$4:$Z$27,5+5*AB315,FALSE)</f>
        <v>105</v>
      </c>
      <c r="F315" s="57">
        <v>1</v>
      </c>
      <c r="G315" s="57">
        <v>0</v>
      </c>
      <c r="H315" s="57">
        <v>0</v>
      </c>
      <c r="I315" s="57">
        <v>0</v>
      </c>
      <c r="Z315" s="110" t="str">
        <f t="shared" si="9"/>
        <v>4</v>
      </c>
      <c r="AA315" s="110" t="str">
        <f t="shared" si="10"/>
        <v>4</v>
      </c>
      <c r="AB315" s="110" t="str">
        <f t="shared" si="11"/>
        <v>2</v>
      </c>
    </row>
    <row r="316" spans="2:28" x14ac:dyDescent="0.2">
      <c r="B316" s="57" t="s">
        <v>2336</v>
      </c>
      <c r="D316" s="57" t="s">
        <v>2920</v>
      </c>
      <c r="E316" s="102">
        <f>VLOOKUP(Z316&amp;"_"&amp;AA316,活动关卡!$A$4:$Z$27,5+5*AB316,FALSE)</f>
        <v>422</v>
      </c>
      <c r="F316" s="57">
        <v>1</v>
      </c>
      <c r="G316" s="57">
        <v>0</v>
      </c>
      <c r="H316" s="57">
        <v>0</v>
      </c>
      <c r="I316" s="57">
        <v>0</v>
      </c>
      <c r="Z316" s="110" t="str">
        <f t="shared" si="9"/>
        <v>4</v>
      </c>
      <c r="AA316" s="110" t="str">
        <f t="shared" si="10"/>
        <v>4</v>
      </c>
      <c r="AB316" s="110" t="str">
        <f t="shared" si="11"/>
        <v>3</v>
      </c>
    </row>
    <row r="317" spans="2:28" x14ac:dyDescent="0.2">
      <c r="B317" s="57" t="s">
        <v>2337</v>
      </c>
      <c r="D317" s="57" t="s">
        <v>2921</v>
      </c>
      <c r="E317" s="102">
        <f>VLOOKUP(Z317&amp;"_"&amp;AA317,活动关卡!$A$4:$Z$27,5+5*AB317,FALSE)</f>
        <v>108</v>
      </c>
      <c r="F317" s="57">
        <v>1</v>
      </c>
      <c r="G317" s="57">
        <v>0</v>
      </c>
      <c r="H317" s="57">
        <v>0</v>
      </c>
      <c r="I317" s="57">
        <v>0</v>
      </c>
      <c r="Z317" s="110" t="str">
        <f t="shared" si="9"/>
        <v>4</v>
      </c>
      <c r="AA317" s="110" t="str">
        <f t="shared" si="10"/>
        <v>5</v>
      </c>
      <c r="AB317" s="110" t="str">
        <f t="shared" si="11"/>
        <v>1</v>
      </c>
    </row>
    <row r="318" spans="2:28" x14ac:dyDescent="0.2">
      <c r="B318" s="57" t="s">
        <v>2338</v>
      </c>
      <c r="D318" s="57" t="s">
        <v>2922</v>
      </c>
      <c r="E318" s="102">
        <f>VLOOKUP(Z318&amp;"_"&amp;AA318,活动关卡!$A$4:$Z$27,5+5*AB318,FALSE)</f>
        <v>324</v>
      </c>
      <c r="F318" s="57">
        <v>1</v>
      </c>
      <c r="G318" s="57">
        <v>0</v>
      </c>
      <c r="H318" s="57">
        <v>0</v>
      </c>
      <c r="I318" s="57">
        <v>0</v>
      </c>
      <c r="Z318" s="110" t="str">
        <f t="shared" si="9"/>
        <v>4</v>
      </c>
      <c r="AA318" s="110" t="str">
        <f t="shared" si="10"/>
        <v>5</v>
      </c>
      <c r="AB318" s="110" t="str">
        <f t="shared" si="11"/>
        <v>2</v>
      </c>
    </row>
    <row r="319" spans="2:28" x14ac:dyDescent="0.2">
      <c r="B319" s="57" t="s">
        <v>2339</v>
      </c>
      <c r="D319" s="57" t="s">
        <v>2923</v>
      </c>
      <c r="E319" s="102">
        <f>VLOOKUP(Z319&amp;"_"&amp;AA319,活动关卡!$A$4:$Z$27,5+5*AB319,FALSE)</f>
        <v>432</v>
      </c>
      <c r="F319" s="57">
        <v>1</v>
      </c>
      <c r="G319" s="57">
        <v>0</v>
      </c>
      <c r="H319" s="57">
        <v>0</v>
      </c>
      <c r="I319" s="57">
        <v>0</v>
      </c>
      <c r="Z319" s="110" t="str">
        <f t="shared" si="9"/>
        <v>4</v>
      </c>
      <c r="AA319" s="110" t="str">
        <f t="shared" si="10"/>
        <v>5</v>
      </c>
      <c r="AB319" s="110" t="str">
        <f t="shared" si="11"/>
        <v>3</v>
      </c>
    </row>
    <row r="320" spans="2:28" x14ac:dyDescent="0.2">
      <c r="B320" s="57" t="s">
        <v>2340</v>
      </c>
      <c r="D320" s="57" t="s">
        <v>2924</v>
      </c>
      <c r="E320" s="102">
        <f>VLOOKUP(Z320&amp;"_"&amp;AA320,活动关卡!$A$4:$Z$27,5+5*AB320,FALSE)</f>
        <v>360</v>
      </c>
      <c r="F320" s="57">
        <v>1</v>
      </c>
      <c r="G320" s="57">
        <v>0</v>
      </c>
      <c r="H320" s="57">
        <v>0</v>
      </c>
      <c r="I320" s="57">
        <v>0</v>
      </c>
      <c r="Z320" s="110" t="str">
        <f t="shared" si="9"/>
        <v>5</v>
      </c>
      <c r="AA320" s="110" t="str">
        <f t="shared" si="10"/>
        <v>1</v>
      </c>
      <c r="AB320" s="110" t="str">
        <f t="shared" si="11"/>
        <v>1</v>
      </c>
    </row>
    <row r="321" spans="2:28" x14ac:dyDescent="0.2">
      <c r="B321" s="57" t="s">
        <v>2341</v>
      </c>
      <c r="D321" s="57" t="s">
        <v>2925</v>
      </c>
      <c r="E321" s="102">
        <f>VLOOKUP(Z321&amp;"_"&amp;AA321,活动关卡!$A$4:$Z$27,5+5*AB321,FALSE)</f>
        <v>360</v>
      </c>
      <c r="F321" s="57">
        <v>1</v>
      </c>
      <c r="G321" s="57">
        <v>0</v>
      </c>
      <c r="H321" s="57">
        <v>0</v>
      </c>
      <c r="I321" s="57">
        <v>0</v>
      </c>
      <c r="Z321" s="110" t="str">
        <f t="shared" si="9"/>
        <v>5</v>
      </c>
      <c r="AA321" s="110" t="str">
        <f t="shared" si="10"/>
        <v>1</v>
      </c>
      <c r="AB321" s="110" t="str">
        <f t="shared" si="11"/>
        <v>2</v>
      </c>
    </row>
    <row r="322" spans="2:28" x14ac:dyDescent="0.2">
      <c r="B322" s="57" t="s">
        <v>2342</v>
      </c>
      <c r="D322" s="57" t="s">
        <v>2926</v>
      </c>
      <c r="E322" s="102">
        <f>VLOOKUP(Z322&amp;"_"&amp;AA322,活动关卡!$A$4:$Z$27,5+5*AB322,FALSE)</f>
        <v>823</v>
      </c>
      <c r="F322" s="57">
        <v>1</v>
      </c>
      <c r="G322" s="57">
        <v>0</v>
      </c>
      <c r="H322" s="57">
        <v>0</v>
      </c>
      <c r="I322" s="57">
        <v>0</v>
      </c>
      <c r="Z322" s="110" t="str">
        <f t="shared" si="9"/>
        <v>5</v>
      </c>
      <c r="AA322" s="110" t="str">
        <f t="shared" si="10"/>
        <v>2</v>
      </c>
      <c r="AB322" s="110" t="str">
        <f t="shared" si="11"/>
        <v>1</v>
      </c>
    </row>
    <row r="323" spans="2:28" x14ac:dyDescent="0.2">
      <c r="B323" s="57" t="s">
        <v>2343</v>
      </c>
      <c r="D323" s="57" t="s">
        <v>2927</v>
      </c>
      <c r="E323" s="102">
        <f>VLOOKUP(Z323&amp;"_"&amp;AA323,活动关卡!$A$4:$Z$27,5+5*AB323,FALSE)</f>
        <v>103</v>
      </c>
      <c r="F323" s="57">
        <v>1</v>
      </c>
      <c r="G323" s="57">
        <v>0</v>
      </c>
      <c r="H323" s="57">
        <v>0</v>
      </c>
      <c r="I323" s="57">
        <v>0</v>
      </c>
      <c r="Z323" s="110" t="str">
        <f t="shared" si="9"/>
        <v>5</v>
      </c>
      <c r="AA323" s="110" t="str">
        <f t="shared" si="10"/>
        <v>2</v>
      </c>
      <c r="AB323" s="110" t="str">
        <f t="shared" si="11"/>
        <v>2</v>
      </c>
    </row>
    <row r="324" spans="2:28" x14ac:dyDescent="0.2">
      <c r="B324" s="57" t="s">
        <v>2344</v>
      </c>
      <c r="D324" s="57" t="s">
        <v>2928</v>
      </c>
      <c r="E324" s="102">
        <f>VLOOKUP(Z324&amp;"_"&amp;AA324,活动关卡!$A$4:$Z$27,5+5*AB324,FALSE)</f>
        <v>823</v>
      </c>
      <c r="F324" s="57">
        <v>1</v>
      </c>
      <c r="G324" s="57">
        <v>0</v>
      </c>
      <c r="H324" s="57">
        <v>0</v>
      </c>
      <c r="I324" s="57">
        <v>0</v>
      </c>
      <c r="Z324" s="110" t="str">
        <f t="shared" si="9"/>
        <v>5</v>
      </c>
      <c r="AA324" s="110" t="str">
        <f t="shared" si="10"/>
        <v>2</v>
      </c>
      <c r="AB324" s="110" t="str">
        <f t="shared" si="11"/>
        <v>3</v>
      </c>
    </row>
    <row r="325" spans="2:28" x14ac:dyDescent="0.2">
      <c r="B325" s="57" t="s">
        <v>2345</v>
      </c>
      <c r="D325" s="57" t="s">
        <v>2929</v>
      </c>
      <c r="E325" s="102">
        <f>VLOOKUP(Z325&amp;"_"&amp;AA325,活动关卡!$A$4:$Z$27,5+5*AB325,FALSE)</f>
        <v>2160</v>
      </c>
      <c r="F325" s="57">
        <v>1</v>
      </c>
      <c r="G325" s="57">
        <v>0</v>
      </c>
      <c r="H325" s="57">
        <v>0</v>
      </c>
      <c r="I325" s="57">
        <v>0</v>
      </c>
      <c r="Z325" s="110" t="str">
        <f t="shared" si="9"/>
        <v>5</v>
      </c>
      <c r="AA325" s="110" t="str">
        <f t="shared" si="10"/>
        <v>3</v>
      </c>
      <c r="AB325" s="110" t="str">
        <f t="shared" si="11"/>
        <v>1</v>
      </c>
    </row>
    <row r="326" spans="2:28" x14ac:dyDescent="0.2">
      <c r="B326" s="57" t="s">
        <v>2346</v>
      </c>
      <c r="D326" s="57" t="s">
        <v>2930</v>
      </c>
      <c r="E326" s="102">
        <f>VLOOKUP(Z326&amp;"_"&amp;AA326,活动关卡!$A$4:$Z$27,5+5*AB326,FALSE)</f>
        <v>540</v>
      </c>
      <c r="F326" s="57">
        <v>1</v>
      </c>
      <c r="G326" s="57">
        <v>0</v>
      </c>
      <c r="H326" s="57">
        <v>0</v>
      </c>
      <c r="I326" s="57">
        <v>0</v>
      </c>
      <c r="Z326" s="110" t="str">
        <f t="shared" si="9"/>
        <v>5</v>
      </c>
      <c r="AA326" s="110" t="str">
        <f t="shared" si="10"/>
        <v>3</v>
      </c>
      <c r="AB326" s="110" t="str">
        <f t="shared" si="11"/>
        <v>2</v>
      </c>
    </row>
    <row r="327" spans="2:28" x14ac:dyDescent="0.2">
      <c r="B327" s="57" t="s">
        <v>2347</v>
      </c>
      <c r="D327" s="57" t="s">
        <v>2931</v>
      </c>
      <c r="E327" s="102">
        <f>VLOOKUP(Z327&amp;"_"&amp;AA327,活动关卡!$A$4:$Z$27,5+5*AB327,FALSE)</f>
        <v>540</v>
      </c>
      <c r="F327" s="57">
        <v>1</v>
      </c>
      <c r="G327" s="57">
        <v>0</v>
      </c>
      <c r="H327" s="57">
        <v>0</v>
      </c>
      <c r="I327" s="57">
        <v>0</v>
      </c>
      <c r="Z327" s="110" t="str">
        <f t="shared" si="9"/>
        <v>5</v>
      </c>
      <c r="AA327" s="110" t="str">
        <f t="shared" si="10"/>
        <v>3</v>
      </c>
      <c r="AB327" s="110" t="str">
        <f t="shared" si="11"/>
        <v>3</v>
      </c>
    </row>
    <row r="328" spans="2:28" x14ac:dyDescent="0.2">
      <c r="B328" s="57" t="s">
        <v>2348</v>
      </c>
      <c r="D328" s="57" t="s">
        <v>2932</v>
      </c>
      <c r="E328" s="102">
        <f>VLOOKUP(Z328&amp;"_"&amp;AA328,活动关卡!$A$4:$Z$27,5+5*AB328,FALSE)</f>
        <v>2160</v>
      </c>
      <c r="F328" s="57">
        <v>1</v>
      </c>
      <c r="G328" s="57">
        <v>0</v>
      </c>
      <c r="H328" s="57">
        <v>0</v>
      </c>
      <c r="I328" s="57">
        <v>0</v>
      </c>
      <c r="Z328" s="110" t="str">
        <f t="shared" si="9"/>
        <v>5</v>
      </c>
      <c r="AA328" s="110" t="str">
        <f t="shared" si="10"/>
        <v>3</v>
      </c>
      <c r="AB328" s="110" t="str">
        <f t="shared" si="11"/>
        <v>4</v>
      </c>
    </row>
    <row r="329" spans="2:28" x14ac:dyDescent="0.2">
      <c r="B329" s="57" t="s">
        <v>2349</v>
      </c>
      <c r="D329" s="57" t="s">
        <v>2933</v>
      </c>
      <c r="E329" s="102">
        <f>VLOOKUP(Z329&amp;"_"&amp;AA329,活动关卡!$A$4:$Z$27,5+5*AB329,FALSE)</f>
        <v>908</v>
      </c>
      <c r="F329" s="57">
        <v>1</v>
      </c>
      <c r="G329" s="57">
        <v>0</v>
      </c>
      <c r="H329" s="57">
        <v>0</v>
      </c>
      <c r="I329" s="57">
        <v>0</v>
      </c>
      <c r="Z329" s="110" t="str">
        <f t="shared" si="9"/>
        <v>5</v>
      </c>
      <c r="AA329" s="110" t="str">
        <f t="shared" si="10"/>
        <v>4</v>
      </c>
      <c r="AB329" s="110" t="str">
        <f t="shared" si="11"/>
        <v>1</v>
      </c>
    </row>
    <row r="330" spans="2:28" x14ac:dyDescent="0.2">
      <c r="B330" s="57" t="s">
        <v>2350</v>
      </c>
      <c r="D330" s="57" t="s">
        <v>2934</v>
      </c>
      <c r="E330" s="102">
        <f>VLOOKUP(Z330&amp;"_"&amp;AA330,活动关卡!$A$4:$Z$27,5+5*AB330,FALSE)</f>
        <v>227</v>
      </c>
      <c r="F330" s="57">
        <v>1</v>
      </c>
      <c r="G330" s="57">
        <v>0</v>
      </c>
      <c r="H330" s="57">
        <v>0</v>
      </c>
      <c r="I330" s="57">
        <v>0</v>
      </c>
      <c r="Z330" s="110" t="str">
        <f t="shared" si="9"/>
        <v>5</v>
      </c>
      <c r="AA330" s="110" t="str">
        <f t="shared" si="10"/>
        <v>4</v>
      </c>
      <c r="AB330" s="110" t="str">
        <f t="shared" si="11"/>
        <v>2</v>
      </c>
    </row>
    <row r="331" spans="2:28" x14ac:dyDescent="0.2">
      <c r="B331" s="57" t="s">
        <v>2351</v>
      </c>
      <c r="D331" s="57" t="s">
        <v>2935</v>
      </c>
      <c r="E331" s="102">
        <f>VLOOKUP(Z331&amp;"_"&amp;AA331,活动关卡!$A$4:$Z$27,5+5*AB331,FALSE)</f>
        <v>908</v>
      </c>
      <c r="F331" s="57">
        <v>1</v>
      </c>
      <c r="G331" s="57">
        <v>0</v>
      </c>
      <c r="H331" s="57">
        <v>0</v>
      </c>
      <c r="I331" s="57">
        <v>0</v>
      </c>
      <c r="Z331" s="110" t="str">
        <f t="shared" si="9"/>
        <v>5</v>
      </c>
      <c r="AA331" s="110" t="str">
        <f t="shared" si="10"/>
        <v>4</v>
      </c>
      <c r="AB331" s="110" t="str">
        <f t="shared" si="11"/>
        <v>3</v>
      </c>
    </row>
    <row r="332" spans="2:28" x14ac:dyDescent="0.2">
      <c r="B332" s="57" t="s">
        <v>2352</v>
      </c>
      <c r="D332" s="57" t="s">
        <v>2936</v>
      </c>
      <c r="E332" s="102">
        <f>VLOOKUP(Z332&amp;"_"&amp;AA332,活动关卡!$A$4:$Z$27,5+5*AB332,FALSE)</f>
        <v>642</v>
      </c>
      <c r="F332" s="57">
        <v>1</v>
      </c>
      <c r="G332" s="57">
        <v>0</v>
      </c>
      <c r="H332" s="57">
        <v>0</v>
      </c>
      <c r="I332" s="57">
        <v>0</v>
      </c>
      <c r="Z332" s="110" t="str">
        <f t="shared" si="9"/>
        <v>5</v>
      </c>
      <c r="AA332" s="110" t="str">
        <f t="shared" si="10"/>
        <v>5</v>
      </c>
      <c r="AB332" s="110" t="str">
        <f t="shared" si="11"/>
        <v>1</v>
      </c>
    </row>
    <row r="333" spans="2:28" x14ac:dyDescent="0.2">
      <c r="B333" s="57" t="s">
        <v>2353</v>
      </c>
      <c r="D333" s="57" t="s">
        <v>2937</v>
      </c>
      <c r="E333" s="102">
        <f>VLOOKUP(Z333&amp;"_"&amp;AA333,活动关卡!$A$4:$Z$27,5+5*AB333,FALSE)</f>
        <v>160</v>
      </c>
      <c r="F333" s="57">
        <v>1</v>
      </c>
      <c r="G333" s="57">
        <v>0</v>
      </c>
      <c r="H333" s="57">
        <v>0</v>
      </c>
      <c r="I333" s="57">
        <v>0</v>
      </c>
      <c r="Z333" s="110" t="str">
        <f t="shared" si="9"/>
        <v>5</v>
      </c>
      <c r="AA333" s="110" t="str">
        <f t="shared" si="10"/>
        <v>5</v>
      </c>
      <c r="AB333" s="110" t="str">
        <f t="shared" si="11"/>
        <v>2</v>
      </c>
    </row>
    <row r="334" spans="2:28" x14ac:dyDescent="0.2">
      <c r="B334" s="57" t="s">
        <v>2354</v>
      </c>
      <c r="D334" s="57" t="s">
        <v>2938</v>
      </c>
      <c r="E334" s="102">
        <f>VLOOKUP(Z334&amp;"_"&amp;AA334,活动关卡!$A$4:$Z$27,5+5*AB334,FALSE)</f>
        <v>481</v>
      </c>
      <c r="F334" s="57">
        <v>1</v>
      </c>
      <c r="G334" s="57">
        <v>0</v>
      </c>
      <c r="H334" s="57">
        <v>0</v>
      </c>
      <c r="I334" s="57">
        <v>0</v>
      </c>
      <c r="Z334" s="110" t="str">
        <f t="shared" si="9"/>
        <v>5</v>
      </c>
      <c r="AA334" s="110" t="str">
        <f t="shared" si="10"/>
        <v>5</v>
      </c>
      <c r="AB334" s="110" t="str">
        <f t="shared" si="11"/>
        <v>3</v>
      </c>
    </row>
    <row r="335" spans="2:28" x14ac:dyDescent="0.2">
      <c r="B335" s="57" t="s">
        <v>2355</v>
      </c>
      <c r="D335" s="57" t="s">
        <v>2939</v>
      </c>
      <c r="E335" s="102">
        <f>VLOOKUP(Z335&amp;"_"&amp;AA335,活动关卡!$A$4:$Z$27,5+5*AB335,FALSE)</f>
        <v>642</v>
      </c>
      <c r="F335" s="57">
        <v>1</v>
      </c>
      <c r="G335" s="57">
        <v>0</v>
      </c>
      <c r="H335" s="57">
        <v>0</v>
      </c>
      <c r="I335" s="57">
        <v>0</v>
      </c>
      <c r="Z335" s="110" t="str">
        <f t="shared" si="9"/>
        <v>5</v>
      </c>
      <c r="AA335" s="110" t="str">
        <f t="shared" si="10"/>
        <v>5</v>
      </c>
      <c r="AB335" s="110" t="str">
        <f t="shared" si="11"/>
        <v>4</v>
      </c>
    </row>
    <row r="336" spans="2:28" x14ac:dyDescent="0.2">
      <c r="B336" s="57" t="s">
        <v>2356</v>
      </c>
      <c r="D336" s="57" t="s">
        <v>2940</v>
      </c>
      <c r="E336" s="102">
        <f>VLOOKUP(Z336&amp;"_"&amp;AA336,活动关卡!$A$4:$Z$27,5+5*AB336,FALSE)</f>
        <v>929</v>
      </c>
      <c r="F336" s="57">
        <v>1</v>
      </c>
      <c r="G336" s="57">
        <v>0</v>
      </c>
      <c r="H336" s="57">
        <v>0</v>
      </c>
      <c r="I336" s="57">
        <v>0</v>
      </c>
      <c r="Z336" s="110" t="str">
        <f t="shared" si="9"/>
        <v>5</v>
      </c>
      <c r="AA336" s="110" t="str">
        <f t="shared" si="10"/>
        <v>6</v>
      </c>
      <c r="AB336" s="110" t="str">
        <f t="shared" si="11"/>
        <v>1</v>
      </c>
    </row>
    <row r="337" spans="2:28" x14ac:dyDescent="0.2">
      <c r="B337" s="57" t="s">
        <v>2357</v>
      </c>
      <c r="D337" s="57" t="s">
        <v>2941</v>
      </c>
      <c r="E337" s="102">
        <f>VLOOKUP(Z337&amp;"_"&amp;AA337,活动关卡!$A$4:$Z$27,5+5*AB337,FALSE)</f>
        <v>1394</v>
      </c>
      <c r="F337" s="57">
        <v>1</v>
      </c>
      <c r="G337" s="57">
        <v>0</v>
      </c>
      <c r="H337" s="57">
        <v>0</v>
      </c>
      <c r="I337" s="57">
        <v>0</v>
      </c>
      <c r="Z337" s="110" t="str">
        <f t="shared" si="9"/>
        <v>5</v>
      </c>
      <c r="AA337" s="110" t="str">
        <f t="shared" si="10"/>
        <v>6</v>
      </c>
      <c r="AB337" s="110" t="str">
        <f t="shared" si="11"/>
        <v>2</v>
      </c>
    </row>
    <row r="338" spans="2:28" x14ac:dyDescent="0.2">
      <c r="B338" s="57" t="s">
        <v>2358</v>
      </c>
      <c r="D338" s="57" t="s">
        <v>2942</v>
      </c>
      <c r="E338" s="102">
        <f>VLOOKUP(Z338&amp;"_"&amp;AA338,活动关卡!$A$4:$Z$27,5+5*AB338,FALSE)</f>
        <v>465</v>
      </c>
      <c r="F338" s="57">
        <v>1</v>
      </c>
      <c r="G338" s="57">
        <v>0</v>
      </c>
      <c r="H338" s="57">
        <v>0</v>
      </c>
      <c r="I338" s="57">
        <v>0</v>
      </c>
      <c r="Z338" s="110" t="str">
        <f t="shared" si="9"/>
        <v>5</v>
      </c>
      <c r="AA338" s="110" t="str">
        <f t="shared" si="10"/>
        <v>6</v>
      </c>
      <c r="AB338" s="110" t="str">
        <f t="shared" si="11"/>
        <v>3</v>
      </c>
    </row>
    <row r="339" spans="2:28" x14ac:dyDescent="0.2">
      <c r="B339" s="57" t="s">
        <v>2359</v>
      </c>
      <c r="D339" s="57" t="s">
        <v>2943</v>
      </c>
      <c r="E339" s="102">
        <f>VLOOKUP(Z339&amp;"_"&amp;AA339,活动关卡!$A$4:$Z$27,5+5*AB339,FALSE)</f>
        <v>929</v>
      </c>
      <c r="F339" s="57">
        <v>1</v>
      </c>
      <c r="G339" s="57">
        <v>0</v>
      </c>
      <c r="H339" s="57">
        <v>0</v>
      </c>
      <c r="I339" s="57">
        <v>0</v>
      </c>
      <c r="Z339" s="110" t="str">
        <f t="shared" si="9"/>
        <v>5</v>
      </c>
      <c r="AA339" s="110" t="str">
        <f t="shared" si="10"/>
        <v>6</v>
      </c>
      <c r="AB339" s="110" t="str">
        <f t="shared" si="11"/>
        <v>4</v>
      </c>
    </row>
    <row r="340" spans="2:28" x14ac:dyDescent="0.2">
      <c r="B340" s="57" t="s">
        <v>2360</v>
      </c>
      <c r="D340" s="57" t="s">
        <v>2944</v>
      </c>
      <c r="E340" s="102">
        <f>VLOOKUP(Z340&amp;"_"&amp;AA340,活动关卡!$A$4:$Z$27,5+5*AB340,FALSE)</f>
        <v>864</v>
      </c>
      <c r="F340" s="57">
        <v>1</v>
      </c>
      <c r="G340" s="57">
        <v>0</v>
      </c>
      <c r="H340" s="57">
        <v>0</v>
      </c>
      <c r="I340" s="57">
        <v>0</v>
      </c>
      <c r="Z340" s="110" t="str">
        <f t="shared" si="9"/>
        <v>5</v>
      </c>
      <c r="AA340" s="110" t="str">
        <f t="shared" si="10"/>
        <v>7</v>
      </c>
      <c r="AB340" s="110" t="str">
        <f t="shared" si="11"/>
        <v>1</v>
      </c>
    </row>
    <row r="341" spans="2:28" x14ac:dyDescent="0.2">
      <c r="B341" s="57" t="s">
        <v>2361</v>
      </c>
      <c r="D341" s="57" t="s">
        <v>2945</v>
      </c>
      <c r="E341" s="102">
        <f>VLOOKUP(Z341&amp;"_"&amp;AA341,活动关卡!$A$4:$Z$27,5+5*AB341,FALSE)</f>
        <v>432</v>
      </c>
      <c r="F341" s="57">
        <v>1</v>
      </c>
      <c r="G341" s="57">
        <v>0</v>
      </c>
      <c r="H341" s="57">
        <v>0</v>
      </c>
      <c r="I341" s="57">
        <v>0</v>
      </c>
      <c r="Z341" s="110" t="str">
        <f t="shared" si="9"/>
        <v>5</v>
      </c>
      <c r="AA341" s="110" t="str">
        <f t="shared" si="10"/>
        <v>7</v>
      </c>
      <c r="AB341" s="110" t="str">
        <f t="shared" si="11"/>
        <v>2</v>
      </c>
    </row>
    <row r="342" spans="2:28" x14ac:dyDescent="0.2">
      <c r="B342" s="57" t="s">
        <v>2362</v>
      </c>
      <c r="D342" s="57" t="s">
        <v>2946</v>
      </c>
      <c r="E342" s="102">
        <f>VLOOKUP(Z342&amp;"_"&amp;AA342,活动关卡!$A$4:$Z$27,5+5*AB342,FALSE)</f>
        <v>216</v>
      </c>
      <c r="F342" s="57">
        <v>1</v>
      </c>
      <c r="G342" s="57">
        <v>0</v>
      </c>
      <c r="H342" s="57">
        <v>0</v>
      </c>
      <c r="I342" s="57">
        <v>0</v>
      </c>
      <c r="Z342" s="110" t="str">
        <f t="shared" si="9"/>
        <v>5</v>
      </c>
      <c r="AA342" s="110" t="str">
        <f t="shared" si="10"/>
        <v>7</v>
      </c>
      <c r="AB342" s="110" t="str">
        <f t="shared" si="11"/>
        <v>3</v>
      </c>
    </row>
    <row r="343" spans="2:28" x14ac:dyDescent="0.2">
      <c r="B343" s="57" t="s">
        <v>2363</v>
      </c>
      <c r="D343" s="57" t="s">
        <v>2947</v>
      </c>
      <c r="E343" s="102">
        <f>VLOOKUP(Z343&amp;"_"&amp;AA343,活动关卡!$A$4:$Z$27,5+5*AB343,FALSE)</f>
        <v>864</v>
      </c>
      <c r="F343" s="57">
        <v>1</v>
      </c>
      <c r="G343" s="57">
        <v>0</v>
      </c>
      <c r="H343" s="57">
        <v>0</v>
      </c>
      <c r="I343" s="57">
        <v>0</v>
      </c>
      <c r="Z343" s="110" t="str">
        <f t="shared" si="9"/>
        <v>5</v>
      </c>
      <c r="AA343" s="110" t="str">
        <f t="shared" si="10"/>
        <v>7</v>
      </c>
      <c r="AB343" s="110" t="str">
        <f t="shared" si="11"/>
        <v>4</v>
      </c>
    </row>
    <row r="344" spans="2:28" x14ac:dyDescent="0.2">
      <c r="B344" s="57" t="s">
        <v>2364</v>
      </c>
      <c r="D344" s="57" t="s">
        <v>2948</v>
      </c>
      <c r="E344" s="102">
        <f>VLOOKUP(Z344&amp;"_"&amp;AA344,活动关卡!$A$4:$Z$27,5+5*AB344,FALSE)</f>
        <v>26777</v>
      </c>
      <c r="F344" s="57">
        <v>1</v>
      </c>
      <c r="G344" s="57">
        <v>0</v>
      </c>
      <c r="H344" s="57">
        <v>0</v>
      </c>
      <c r="I344" s="57">
        <v>0</v>
      </c>
      <c r="Z344" s="110" t="str">
        <f t="shared" si="9"/>
        <v>5</v>
      </c>
      <c r="AA344" s="110" t="str">
        <f t="shared" si="10"/>
        <v>8</v>
      </c>
      <c r="AB344" s="110" t="str">
        <f t="shared" si="11"/>
        <v>1</v>
      </c>
    </row>
    <row r="345" spans="2:28" x14ac:dyDescent="0.2">
      <c r="B345" s="57" t="s">
        <v>2365</v>
      </c>
      <c r="D345" s="57" t="s">
        <v>2949</v>
      </c>
      <c r="E345" s="102">
        <f>VLOOKUP(Z345&amp;"_"&amp;AA345,活动关卡!$A$4:$Z$27,5+5*AB345,FALSE)</f>
        <v>1339</v>
      </c>
      <c r="F345" s="57">
        <v>1</v>
      </c>
      <c r="G345" s="57">
        <v>0</v>
      </c>
      <c r="H345" s="57">
        <v>0</v>
      </c>
      <c r="I345" s="57">
        <v>0</v>
      </c>
      <c r="Z345" s="110" t="str">
        <f t="shared" si="9"/>
        <v>5</v>
      </c>
      <c r="AA345" s="110" t="str">
        <f t="shared" si="10"/>
        <v>8</v>
      </c>
      <c r="AB345" s="110" t="str">
        <f t="shared" si="11"/>
        <v>2</v>
      </c>
    </row>
    <row r="346" spans="2:28" x14ac:dyDescent="0.2">
      <c r="B346" s="57" t="s">
        <v>2366</v>
      </c>
      <c r="D346" s="57" t="s">
        <v>2950</v>
      </c>
      <c r="E346" s="102">
        <f>VLOOKUP(Z346&amp;"_"&amp;AA346,活动关卡!$A$4:$Z$27,5+5*AB346,FALSE)</f>
        <v>4017</v>
      </c>
      <c r="F346" s="57">
        <v>1</v>
      </c>
      <c r="G346" s="57">
        <v>0</v>
      </c>
      <c r="H346" s="57">
        <v>0</v>
      </c>
      <c r="I346" s="57">
        <v>0</v>
      </c>
      <c r="Z346" s="110" t="str">
        <f t="shared" si="9"/>
        <v>5</v>
      </c>
      <c r="AA346" s="110" t="str">
        <f t="shared" si="10"/>
        <v>8</v>
      </c>
      <c r="AB346" s="110" t="str">
        <f t="shared" si="11"/>
        <v>3</v>
      </c>
    </row>
    <row r="347" spans="2:28" x14ac:dyDescent="0.2">
      <c r="B347" s="57" t="s">
        <v>2367</v>
      </c>
      <c r="D347" s="57" t="s">
        <v>2951</v>
      </c>
      <c r="E347" s="102">
        <f>VLOOKUP(Z347&amp;"_"&amp;AA347,活动关卡!$A$4:$Z$27,5+5*AB347,FALSE)</f>
        <v>5355</v>
      </c>
      <c r="F347" s="57">
        <v>1</v>
      </c>
      <c r="G347" s="57">
        <v>0</v>
      </c>
      <c r="H347" s="57">
        <v>0</v>
      </c>
      <c r="I347" s="57">
        <v>0</v>
      </c>
      <c r="Z347" s="110" t="str">
        <f t="shared" si="9"/>
        <v>5</v>
      </c>
      <c r="AA347" s="110" t="str">
        <f t="shared" si="10"/>
        <v>8</v>
      </c>
      <c r="AB347" s="110" t="str">
        <f t="shared" si="11"/>
        <v>4</v>
      </c>
    </row>
    <row r="348" spans="2:28" x14ac:dyDescent="0.2">
      <c r="Z348" s="110" t="str">
        <f t="shared" si="9"/>
        <v/>
      </c>
      <c r="AA348" s="110" t="str">
        <f t="shared" si="10"/>
        <v/>
      </c>
      <c r="AB348" s="110" t="str">
        <f t="shared" si="11"/>
        <v/>
      </c>
    </row>
    <row r="349" spans="2:28" x14ac:dyDescent="0.2">
      <c r="B349" s="57" t="s">
        <v>2368</v>
      </c>
      <c r="D349" s="57" t="s">
        <v>2952</v>
      </c>
      <c r="E349" s="102">
        <f>VLOOKUP(Z349&amp;"_"&amp;AA349,活动关卡!$A$32:$Z$55,5+5*AB349,FALSE)</f>
        <v>7</v>
      </c>
      <c r="F349" s="57">
        <v>1</v>
      </c>
      <c r="G349" s="57">
        <v>0</v>
      </c>
      <c r="H349" s="57">
        <v>0</v>
      </c>
      <c r="I349" s="57">
        <v>0</v>
      </c>
      <c r="Z349" s="110" t="str">
        <f t="shared" si="9"/>
        <v>1</v>
      </c>
      <c r="AA349" s="110" t="str">
        <f t="shared" si="10"/>
        <v>1</v>
      </c>
      <c r="AB349" s="110" t="str">
        <f t="shared" si="11"/>
        <v>1</v>
      </c>
    </row>
    <row r="350" spans="2:28" x14ac:dyDescent="0.2">
      <c r="B350" s="57" t="s">
        <v>2369</v>
      </c>
      <c r="D350" s="57" t="s">
        <v>2953</v>
      </c>
      <c r="E350" s="102">
        <f>VLOOKUP(Z350&amp;"_"&amp;AA350,活动关卡!$A$32:$Z$55,5+5*AB350,FALSE)</f>
        <v>288</v>
      </c>
      <c r="F350" s="57">
        <v>1</v>
      </c>
      <c r="G350" s="57">
        <v>0</v>
      </c>
      <c r="H350" s="57">
        <v>0</v>
      </c>
      <c r="I350" s="57">
        <v>0</v>
      </c>
      <c r="Z350" s="110" t="str">
        <f t="shared" si="9"/>
        <v>1</v>
      </c>
      <c r="AA350" s="110" t="str">
        <f t="shared" si="10"/>
        <v>1</v>
      </c>
      <c r="AB350" s="110" t="str">
        <f t="shared" si="11"/>
        <v>2</v>
      </c>
    </row>
    <row r="351" spans="2:28" x14ac:dyDescent="0.2">
      <c r="B351" s="57" t="s">
        <v>2370</v>
      </c>
      <c r="D351" s="57" t="s">
        <v>2954</v>
      </c>
      <c r="E351" s="102">
        <f>VLOOKUP(Z351&amp;"_"&amp;AA351,活动关卡!$A$32:$Z$55,5+5*AB351,FALSE)</f>
        <v>23</v>
      </c>
      <c r="F351" s="57">
        <v>1</v>
      </c>
      <c r="G351" s="57">
        <v>0</v>
      </c>
      <c r="H351" s="57">
        <v>0</v>
      </c>
      <c r="I351" s="57">
        <v>0</v>
      </c>
      <c r="Z351" s="110" t="str">
        <f t="shared" si="9"/>
        <v>1</v>
      </c>
      <c r="AA351" s="110" t="str">
        <f t="shared" si="10"/>
        <v>2</v>
      </c>
      <c r="AB351" s="110" t="str">
        <f t="shared" si="11"/>
        <v>1</v>
      </c>
    </row>
    <row r="352" spans="2:28" x14ac:dyDescent="0.2">
      <c r="B352" s="57" t="s">
        <v>2371</v>
      </c>
      <c r="D352" s="57" t="s">
        <v>2955</v>
      </c>
      <c r="E352" s="102">
        <f>VLOOKUP(Z352&amp;"_"&amp;AA352,活动关卡!$A$32:$Z$55,5+5*AB352,FALSE)</f>
        <v>934</v>
      </c>
      <c r="F352" s="57">
        <v>1</v>
      </c>
      <c r="G352" s="57">
        <v>0</v>
      </c>
      <c r="H352" s="57">
        <v>0</v>
      </c>
      <c r="I352" s="57">
        <v>0</v>
      </c>
      <c r="Z352" s="110" t="str">
        <f t="shared" si="9"/>
        <v>1</v>
      </c>
      <c r="AA352" s="110" t="str">
        <f t="shared" si="10"/>
        <v>2</v>
      </c>
      <c r="AB352" s="110" t="str">
        <f t="shared" si="11"/>
        <v>2</v>
      </c>
    </row>
    <row r="353" spans="2:28" x14ac:dyDescent="0.2">
      <c r="B353" s="57" t="s">
        <v>2372</v>
      </c>
      <c r="D353" s="57" t="s">
        <v>2956</v>
      </c>
      <c r="E353" s="102">
        <f>VLOOKUP(Z353&amp;"_"&amp;AA353,活动关卡!$A$32:$Z$55,5+5*AB353,FALSE)</f>
        <v>24</v>
      </c>
      <c r="F353" s="57">
        <v>1</v>
      </c>
      <c r="G353" s="57">
        <v>0</v>
      </c>
      <c r="H353" s="57">
        <v>0</v>
      </c>
      <c r="I353" s="57">
        <v>0</v>
      </c>
      <c r="Z353" s="110" t="str">
        <f t="shared" si="9"/>
        <v>1</v>
      </c>
      <c r="AA353" s="110" t="str">
        <f t="shared" si="10"/>
        <v>3</v>
      </c>
      <c r="AB353" s="110" t="str">
        <f t="shared" si="11"/>
        <v>1</v>
      </c>
    </row>
    <row r="354" spans="2:28" x14ac:dyDescent="0.2">
      <c r="B354" s="57" t="s">
        <v>2373</v>
      </c>
      <c r="D354" s="57" t="s">
        <v>2957</v>
      </c>
      <c r="E354" s="102">
        <f>VLOOKUP(Z354&amp;"_"&amp;AA354,活动关卡!$A$32:$Z$55,5+5*AB354,FALSE)</f>
        <v>96</v>
      </c>
      <c r="F354" s="57">
        <v>1</v>
      </c>
      <c r="G354" s="57">
        <v>0</v>
      </c>
      <c r="H354" s="57">
        <v>0</v>
      </c>
      <c r="I354" s="57">
        <v>0</v>
      </c>
      <c r="Z354" s="110" t="str">
        <f t="shared" si="9"/>
        <v>1</v>
      </c>
      <c r="AA354" s="110" t="str">
        <f t="shared" si="10"/>
        <v>3</v>
      </c>
      <c r="AB354" s="110" t="str">
        <f t="shared" si="11"/>
        <v>2</v>
      </c>
    </row>
    <row r="355" spans="2:28" x14ac:dyDescent="0.2">
      <c r="B355" s="57" t="s">
        <v>2374</v>
      </c>
      <c r="D355" s="57" t="s">
        <v>2958</v>
      </c>
      <c r="E355" s="102">
        <f>VLOOKUP(Z355&amp;"_"&amp;AA355,活动关卡!$A$32:$Z$55,5+5*AB355,FALSE)</f>
        <v>960</v>
      </c>
      <c r="F355" s="57">
        <v>1</v>
      </c>
      <c r="G355" s="57">
        <v>0</v>
      </c>
      <c r="H355" s="57">
        <v>0</v>
      </c>
      <c r="I355" s="57">
        <v>0</v>
      </c>
      <c r="Z355" s="110" t="str">
        <f t="shared" si="9"/>
        <v>1</v>
      </c>
      <c r="AA355" s="110" t="str">
        <f t="shared" si="10"/>
        <v>3</v>
      </c>
      <c r="AB355" s="110" t="str">
        <f t="shared" si="11"/>
        <v>3</v>
      </c>
    </row>
    <row r="356" spans="2:28" x14ac:dyDescent="0.2">
      <c r="B356" s="57" t="s">
        <v>2375</v>
      </c>
      <c r="D356" s="57" t="s">
        <v>2959</v>
      </c>
      <c r="E356" s="102">
        <f>VLOOKUP(Z356&amp;"_"&amp;AA356,活动关卡!$A$32:$Z$55,5+5*AB356,FALSE)</f>
        <v>9</v>
      </c>
      <c r="F356" s="57">
        <v>1</v>
      </c>
      <c r="G356" s="57">
        <v>0</v>
      </c>
      <c r="H356" s="57">
        <v>0</v>
      </c>
      <c r="I356" s="57">
        <v>0</v>
      </c>
      <c r="Z356" s="110" t="str">
        <f t="shared" si="9"/>
        <v>2</v>
      </c>
      <c r="AA356" s="110" t="str">
        <f t="shared" si="10"/>
        <v>1</v>
      </c>
      <c r="AB356" s="110" t="str">
        <f t="shared" si="11"/>
        <v>1</v>
      </c>
    </row>
    <row r="357" spans="2:28" x14ac:dyDescent="0.2">
      <c r="B357" s="57" t="s">
        <v>2376</v>
      </c>
      <c r="D357" s="57" t="s">
        <v>2960</v>
      </c>
      <c r="E357" s="102">
        <f>VLOOKUP(Z357&amp;"_"&amp;AA357,活动关卡!$A$32:$Z$55,5+5*AB357,FALSE)</f>
        <v>171</v>
      </c>
      <c r="F357" s="57">
        <v>1</v>
      </c>
      <c r="G357" s="57">
        <v>0</v>
      </c>
      <c r="H357" s="57">
        <v>0</v>
      </c>
      <c r="I357" s="57">
        <v>0</v>
      </c>
      <c r="Z357" s="110" t="str">
        <f t="shared" si="9"/>
        <v>2</v>
      </c>
      <c r="AA357" s="110" t="str">
        <f t="shared" si="10"/>
        <v>1</v>
      </c>
      <c r="AB357" s="110" t="str">
        <f t="shared" si="11"/>
        <v>2</v>
      </c>
    </row>
    <row r="358" spans="2:28" x14ac:dyDescent="0.2">
      <c r="B358" s="57" t="s">
        <v>2377</v>
      </c>
      <c r="D358" s="57" t="s">
        <v>2961</v>
      </c>
      <c r="E358" s="102">
        <f>VLOOKUP(Z358&amp;"_"&amp;AA358,活动关卡!$A$32:$Z$55,5+5*AB358,FALSE)</f>
        <v>47</v>
      </c>
      <c r="F358" s="57">
        <v>1</v>
      </c>
      <c r="G358" s="57">
        <v>0</v>
      </c>
      <c r="H358" s="57">
        <v>0</v>
      </c>
      <c r="I358" s="57">
        <v>0</v>
      </c>
      <c r="Z358" s="110" t="str">
        <f t="shared" si="9"/>
        <v>2</v>
      </c>
      <c r="AA358" s="110" t="str">
        <f t="shared" si="10"/>
        <v>2</v>
      </c>
      <c r="AB358" s="110" t="str">
        <f t="shared" si="11"/>
        <v>1</v>
      </c>
    </row>
    <row r="359" spans="2:28" x14ac:dyDescent="0.2">
      <c r="B359" s="57" t="s">
        <v>2378</v>
      </c>
      <c r="D359" s="57" t="s">
        <v>2962</v>
      </c>
      <c r="E359" s="102">
        <f>VLOOKUP(Z359&amp;"_"&amp;AA359,活动关卡!$A$32:$Z$55,5+5*AB359,FALSE)</f>
        <v>94</v>
      </c>
      <c r="F359" s="57">
        <v>1</v>
      </c>
      <c r="G359" s="57">
        <v>0</v>
      </c>
      <c r="H359" s="57">
        <v>0</v>
      </c>
      <c r="I359" s="57">
        <v>0</v>
      </c>
      <c r="Z359" s="110" t="str">
        <f t="shared" si="9"/>
        <v>2</v>
      </c>
      <c r="AA359" s="110" t="str">
        <f t="shared" si="10"/>
        <v>2</v>
      </c>
      <c r="AB359" s="110" t="str">
        <f t="shared" si="11"/>
        <v>2</v>
      </c>
    </row>
    <row r="360" spans="2:28" x14ac:dyDescent="0.2">
      <c r="B360" s="57" t="s">
        <v>2379</v>
      </c>
      <c r="D360" s="57" t="s">
        <v>2963</v>
      </c>
      <c r="E360" s="102">
        <f>VLOOKUP(Z360&amp;"_"&amp;AA360,活动关卡!$A$32:$Z$55,5+5*AB360,FALSE)</f>
        <v>939</v>
      </c>
      <c r="F360" s="57">
        <v>1</v>
      </c>
      <c r="G360" s="57">
        <v>0</v>
      </c>
      <c r="H360" s="57">
        <v>0</v>
      </c>
      <c r="I360" s="57">
        <v>0</v>
      </c>
      <c r="Z360" s="110" t="str">
        <f t="shared" si="9"/>
        <v>2</v>
      </c>
      <c r="AA360" s="110" t="str">
        <f t="shared" si="10"/>
        <v>2</v>
      </c>
      <c r="AB360" s="110" t="str">
        <f t="shared" si="11"/>
        <v>3</v>
      </c>
    </row>
    <row r="361" spans="2:28" x14ac:dyDescent="0.2">
      <c r="B361" s="57" t="s">
        <v>2380</v>
      </c>
      <c r="D361" s="57" t="s">
        <v>2964</v>
      </c>
      <c r="E361" s="102">
        <f>VLOOKUP(Z361&amp;"_"&amp;AA361,活动关卡!$A$32:$Z$55,5+5*AB361,FALSE)</f>
        <v>40</v>
      </c>
      <c r="F361" s="57">
        <v>1</v>
      </c>
      <c r="G361" s="57">
        <v>0</v>
      </c>
      <c r="H361" s="57">
        <v>0</v>
      </c>
      <c r="I361" s="57">
        <v>0</v>
      </c>
      <c r="Z361" s="110" t="str">
        <f t="shared" si="9"/>
        <v>2</v>
      </c>
      <c r="AA361" s="110" t="str">
        <f t="shared" si="10"/>
        <v>3</v>
      </c>
      <c r="AB361" s="110" t="str">
        <f t="shared" si="11"/>
        <v>1</v>
      </c>
    </row>
    <row r="362" spans="2:28" x14ac:dyDescent="0.2">
      <c r="B362" s="57" t="s">
        <v>2381</v>
      </c>
      <c r="D362" s="57" t="s">
        <v>2965</v>
      </c>
      <c r="E362" s="102">
        <f>VLOOKUP(Z362&amp;"_"&amp;AA362,活动关卡!$A$32:$Z$55,5+5*AB362,FALSE)</f>
        <v>20</v>
      </c>
      <c r="F362" s="57">
        <v>1</v>
      </c>
      <c r="G362" s="57">
        <v>0</v>
      </c>
      <c r="H362" s="57">
        <v>0</v>
      </c>
      <c r="I362" s="57">
        <v>0</v>
      </c>
      <c r="Z362" s="110" t="str">
        <f t="shared" si="9"/>
        <v>2</v>
      </c>
      <c r="AA362" s="110" t="str">
        <f t="shared" si="10"/>
        <v>3</v>
      </c>
      <c r="AB362" s="110" t="str">
        <f t="shared" si="11"/>
        <v>2</v>
      </c>
    </row>
    <row r="363" spans="2:28" x14ac:dyDescent="0.2">
      <c r="B363" s="57" t="s">
        <v>2382</v>
      </c>
      <c r="D363" s="57" t="s">
        <v>2966</v>
      </c>
      <c r="E363" s="102">
        <f>VLOOKUP(Z363&amp;"_"&amp;AA363,活动关卡!$A$32:$Z$55,5+5*AB363,FALSE)</f>
        <v>804</v>
      </c>
      <c r="F363" s="57">
        <v>1</v>
      </c>
      <c r="G363" s="57">
        <v>0</v>
      </c>
      <c r="H363" s="57">
        <v>0</v>
      </c>
      <c r="I363" s="57">
        <v>0</v>
      </c>
      <c r="Z363" s="110" t="str">
        <f t="shared" ref="Z363:Z426" si="12">LEFT(RIGHT(D363,5),1)</f>
        <v>2</v>
      </c>
      <c r="AA363" s="110" t="str">
        <f t="shared" ref="AA363:AA426" si="13">LEFT(RIGHT(D363,3),1)</f>
        <v>3</v>
      </c>
      <c r="AB363" s="110" t="str">
        <f t="shared" ref="AB363:AB426" si="14">RIGHT(D363,1)</f>
        <v>3</v>
      </c>
    </row>
    <row r="364" spans="2:28" x14ac:dyDescent="0.2">
      <c r="B364" s="57" t="s">
        <v>2383</v>
      </c>
      <c r="D364" s="57" t="s">
        <v>2967</v>
      </c>
      <c r="E364" s="102">
        <f>VLOOKUP(Z364&amp;"_"&amp;AA364,活动关卡!$A$32:$Z$55,5+5*AB364,FALSE)</f>
        <v>48</v>
      </c>
      <c r="F364" s="57">
        <v>1</v>
      </c>
      <c r="G364" s="57">
        <v>0</v>
      </c>
      <c r="H364" s="57">
        <v>0</v>
      </c>
      <c r="I364" s="57">
        <v>0</v>
      </c>
      <c r="Z364" s="110" t="str">
        <f t="shared" si="12"/>
        <v>2</v>
      </c>
      <c r="AA364" s="110" t="str">
        <f t="shared" si="13"/>
        <v>4</v>
      </c>
      <c r="AB364" s="110" t="str">
        <f t="shared" si="14"/>
        <v>1</v>
      </c>
    </row>
    <row r="365" spans="2:28" x14ac:dyDescent="0.2">
      <c r="B365" s="57" t="s">
        <v>2384</v>
      </c>
      <c r="D365" s="57" t="s">
        <v>2968</v>
      </c>
      <c r="E365" s="102">
        <f>VLOOKUP(Z365&amp;"_"&amp;AA365,活动关卡!$A$32:$Z$55,5+5*AB365,FALSE)</f>
        <v>24</v>
      </c>
      <c r="F365" s="57">
        <v>1</v>
      </c>
      <c r="G365" s="57">
        <v>0</v>
      </c>
      <c r="H365" s="57">
        <v>0</v>
      </c>
      <c r="I365" s="57">
        <v>0</v>
      </c>
      <c r="Z365" s="110" t="str">
        <f t="shared" si="12"/>
        <v>2</v>
      </c>
      <c r="AA365" s="110" t="str">
        <f t="shared" si="13"/>
        <v>4</v>
      </c>
      <c r="AB365" s="110" t="str">
        <f t="shared" si="14"/>
        <v>2</v>
      </c>
    </row>
    <row r="366" spans="2:28" x14ac:dyDescent="0.2">
      <c r="B366" s="57" t="s">
        <v>2385</v>
      </c>
      <c r="D366" s="57" t="s">
        <v>2969</v>
      </c>
      <c r="E366" s="102">
        <f>VLOOKUP(Z366&amp;"_"&amp;AA366,活动关卡!$A$32:$Z$55,5+5*AB366,FALSE)</f>
        <v>96</v>
      </c>
      <c r="F366" s="57">
        <v>1</v>
      </c>
      <c r="G366" s="57">
        <v>0</v>
      </c>
      <c r="H366" s="57">
        <v>0</v>
      </c>
      <c r="I366" s="57">
        <v>0</v>
      </c>
      <c r="Z366" s="110" t="str">
        <f t="shared" si="12"/>
        <v>2</v>
      </c>
      <c r="AA366" s="110" t="str">
        <f t="shared" si="13"/>
        <v>4</v>
      </c>
      <c r="AB366" s="110" t="str">
        <f t="shared" si="14"/>
        <v>3</v>
      </c>
    </row>
    <row r="367" spans="2:28" x14ac:dyDescent="0.2">
      <c r="B367" s="57" t="s">
        <v>2386</v>
      </c>
      <c r="D367" s="57" t="s">
        <v>2970</v>
      </c>
      <c r="E367" s="102">
        <f>VLOOKUP(Z367&amp;"_"&amp;AA367,活动关卡!$A$32:$Z$55,5+5*AB367,FALSE)</f>
        <v>963</v>
      </c>
      <c r="F367" s="57">
        <v>1</v>
      </c>
      <c r="G367" s="57">
        <v>0</v>
      </c>
      <c r="H367" s="57">
        <v>0</v>
      </c>
      <c r="I367" s="57">
        <v>0</v>
      </c>
      <c r="Z367" s="110" t="str">
        <f t="shared" si="12"/>
        <v>2</v>
      </c>
      <c r="AA367" s="110" t="str">
        <f t="shared" si="13"/>
        <v>4</v>
      </c>
      <c r="AB367" s="110" t="str">
        <f t="shared" si="14"/>
        <v>4</v>
      </c>
    </row>
    <row r="368" spans="2:28" x14ac:dyDescent="0.2">
      <c r="B368" s="57" t="s">
        <v>2387</v>
      </c>
      <c r="D368" s="57" t="s">
        <v>2971</v>
      </c>
      <c r="E368" s="102">
        <f>VLOOKUP(Z368&amp;"_"&amp;AA368,活动关卡!$A$32:$Z$55,5+5*AB368,FALSE)</f>
        <v>88</v>
      </c>
      <c r="F368" s="57">
        <v>1</v>
      </c>
      <c r="G368" s="57">
        <v>0</v>
      </c>
      <c r="H368" s="57">
        <v>0</v>
      </c>
      <c r="I368" s="57">
        <v>0</v>
      </c>
      <c r="Z368" s="110" t="str">
        <f t="shared" si="12"/>
        <v>2</v>
      </c>
      <c r="AA368" s="110" t="str">
        <f t="shared" si="13"/>
        <v>5</v>
      </c>
      <c r="AB368" s="110" t="str">
        <f t="shared" si="14"/>
        <v>1</v>
      </c>
    </row>
    <row r="369" spans="2:28" x14ac:dyDescent="0.2">
      <c r="B369" s="57" t="s">
        <v>2388</v>
      </c>
      <c r="D369" s="57" t="s">
        <v>2972</v>
      </c>
      <c r="E369" s="102">
        <f>VLOOKUP(Z369&amp;"_"&amp;AA369,活动关卡!$A$32:$Z$55,5+5*AB369,FALSE)</f>
        <v>44</v>
      </c>
      <c r="F369" s="57">
        <v>1</v>
      </c>
      <c r="G369" s="57">
        <v>0</v>
      </c>
      <c r="H369" s="57">
        <v>0</v>
      </c>
      <c r="I369" s="57">
        <v>0</v>
      </c>
      <c r="Z369" s="110" t="str">
        <f t="shared" si="12"/>
        <v>2</v>
      </c>
      <c r="AA369" s="110" t="str">
        <f t="shared" si="13"/>
        <v>5</v>
      </c>
      <c r="AB369" s="110" t="str">
        <f t="shared" si="14"/>
        <v>2</v>
      </c>
    </row>
    <row r="370" spans="2:28" x14ac:dyDescent="0.2">
      <c r="B370" s="57" t="s">
        <v>2389</v>
      </c>
      <c r="D370" s="57" t="s">
        <v>2973</v>
      </c>
      <c r="E370" s="102">
        <f>VLOOKUP(Z370&amp;"_"&amp;AA370,活动关卡!$A$32:$Z$55,5+5*AB370,FALSE)</f>
        <v>176</v>
      </c>
      <c r="F370" s="57">
        <v>1</v>
      </c>
      <c r="G370" s="57">
        <v>0</v>
      </c>
      <c r="H370" s="57">
        <v>0</v>
      </c>
      <c r="I370" s="57">
        <v>0</v>
      </c>
      <c r="Z370" s="110" t="str">
        <f t="shared" si="12"/>
        <v>2</v>
      </c>
      <c r="AA370" s="110" t="str">
        <f t="shared" si="13"/>
        <v>5</v>
      </c>
      <c r="AB370" s="110" t="str">
        <f t="shared" si="14"/>
        <v>3</v>
      </c>
    </row>
    <row r="371" spans="2:28" x14ac:dyDescent="0.2">
      <c r="B371" s="57" t="s">
        <v>2390</v>
      </c>
      <c r="D371" s="57" t="s">
        <v>2974</v>
      </c>
      <c r="E371" s="102">
        <f>VLOOKUP(Z371&amp;"_"&amp;AA371,活动关卡!$A$32:$Z$55,5+5*AB371,FALSE)</f>
        <v>1764</v>
      </c>
      <c r="F371" s="57">
        <v>1</v>
      </c>
      <c r="G371" s="57">
        <v>0</v>
      </c>
      <c r="H371" s="57">
        <v>0</v>
      </c>
      <c r="I371" s="57">
        <v>0</v>
      </c>
      <c r="Z371" s="110" t="str">
        <f t="shared" si="12"/>
        <v>2</v>
      </c>
      <c r="AA371" s="110" t="str">
        <f t="shared" si="13"/>
        <v>5</v>
      </c>
      <c r="AB371" s="110" t="str">
        <f t="shared" si="14"/>
        <v>4</v>
      </c>
    </row>
    <row r="372" spans="2:28" x14ac:dyDescent="0.2">
      <c r="B372" s="57" t="s">
        <v>2391</v>
      </c>
      <c r="D372" s="57" t="s">
        <v>2975</v>
      </c>
      <c r="E372" s="102">
        <f>VLOOKUP(Z372&amp;"_"&amp;AA372,活动关卡!$A$32:$Z$55,5+5*AB372,FALSE)</f>
        <v>20</v>
      </c>
      <c r="F372" s="57">
        <v>1</v>
      </c>
      <c r="G372" s="57">
        <v>0</v>
      </c>
      <c r="H372" s="57">
        <v>0</v>
      </c>
      <c r="I372" s="57">
        <v>0</v>
      </c>
      <c r="Z372" s="110" t="str">
        <f t="shared" si="12"/>
        <v>3</v>
      </c>
      <c r="AA372" s="110" t="str">
        <f t="shared" si="13"/>
        <v>1</v>
      </c>
      <c r="AB372" s="110" t="str">
        <f t="shared" si="14"/>
        <v>1</v>
      </c>
    </row>
    <row r="373" spans="2:28" x14ac:dyDescent="0.2">
      <c r="B373" s="57" t="s">
        <v>2392</v>
      </c>
      <c r="D373" s="57" t="s">
        <v>2976</v>
      </c>
      <c r="E373" s="102">
        <f>VLOOKUP(Z373&amp;"_"&amp;AA373,活动关卡!$A$32:$Z$55,5+5*AB373,FALSE)</f>
        <v>199</v>
      </c>
      <c r="F373" s="57">
        <v>1</v>
      </c>
      <c r="G373" s="57">
        <v>0</v>
      </c>
      <c r="H373" s="57">
        <v>0</v>
      </c>
      <c r="I373" s="57">
        <v>0</v>
      </c>
      <c r="Z373" s="110" t="str">
        <f t="shared" si="12"/>
        <v>3</v>
      </c>
      <c r="AA373" s="110" t="str">
        <f t="shared" si="13"/>
        <v>1</v>
      </c>
      <c r="AB373" s="110" t="str">
        <f t="shared" si="14"/>
        <v>2</v>
      </c>
    </row>
    <row r="374" spans="2:28" x14ac:dyDescent="0.2">
      <c r="B374" s="57" t="s">
        <v>2393</v>
      </c>
      <c r="D374" s="57" t="s">
        <v>2977</v>
      </c>
      <c r="E374" s="102">
        <f>VLOOKUP(Z374&amp;"_"&amp;AA374,活动关卡!$A$32:$Z$55,5+5*AB374,FALSE)</f>
        <v>62</v>
      </c>
      <c r="F374" s="57">
        <v>1</v>
      </c>
      <c r="G374" s="57">
        <v>0</v>
      </c>
      <c r="H374" s="57">
        <v>0</v>
      </c>
      <c r="I374" s="57">
        <v>0</v>
      </c>
      <c r="Z374" s="110" t="str">
        <f t="shared" si="12"/>
        <v>3</v>
      </c>
      <c r="AA374" s="110" t="str">
        <f t="shared" si="13"/>
        <v>2</v>
      </c>
      <c r="AB374" s="110" t="str">
        <f t="shared" si="14"/>
        <v>1</v>
      </c>
    </row>
    <row r="375" spans="2:28" x14ac:dyDescent="0.2">
      <c r="B375" s="57" t="s">
        <v>2394</v>
      </c>
      <c r="D375" s="57" t="s">
        <v>2978</v>
      </c>
      <c r="E375" s="102">
        <f>VLOOKUP(Z375&amp;"_"&amp;AA375,活动关卡!$A$32:$Z$55,5+5*AB375,FALSE)</f>
        <v>41</v>
      </c>
      <c r="F375" s="57">
        <v>1</v>
      </c>
      <c r="G375" s="57">
        <v>0</v>
      </c>
      <c r="H375" s="57">
        <v>0</v>
      </c>
      <c r="I375" s="57">
        <v>0</v>
      </c>
      <c r="Z375" s="110" t="str">
        <f t="shared" si="12"/>
        <v>3</v>
      </c>
      <c r="AA375" s="110" t="str">
        <f t="shared" si="13"/>
        <v>2</v>
      </c>
      <c r="AB375" s="110" t="str">
        <f t="shared" si="14"/>
        <v>2</v>
      </c>
    </row>
    <row r="376" spans="2:28" x14ac:dyDescent="0.2">
      <c r="B376" s="57" t="s">
        <v>2395</v>
      </c>
      <c r="D376" s="57" t="s">
        <v>2979</v>
      </c>
      <c r="E376" s="102">
        <f>VLOOKUP(Z376&amp;"_"&amp;AA376,活动关卡!$A$32:$Z$55,5+5*AB376,FALSE)</f>
        <v>617</v>
      </c>
      <c r="F376" s="57">
        <v>1</v>
      </c>
      <c r="G376" s="57">
        <v>0</v>
      </c>
      <c r="H376" s="57">
        <v>0</v>
      </c>
      <c r="I376" s="57">
        <v>0</v>
      </c>
      <c r="Z376" s="110" t="str">
        <f t="shared" si="12"/>
        <v>3</v>
      </c>
      <c r="AA376" s="110" t="str">
        <f t="shared" si="13"/>
        <v>2</v>
      </c>
      <c r="AB376" s="110" t="str">
        <f t="shared" si="14"/>
        <v>3</v>
      </c>
    </row>
    <row r="377" spans="2:28" x14ac:dyDescent="0.2">
      <c r="B377" s="57" t="s">
        <v>2396</v>
      </c>
      <c r="D377" s="57" t="s">
        <v>2980</v>
      </c>
      <c r="E377" s="102">
        <f>VLOOKUP(Z377&amp;"_"&amp;AA377,活动关卡!$A$32:$Z$55,5+5*AB377,FALSE)</f>
        <v>239</v>
      </c>
      <c r="F377" s="57">
        <v>1</v>
      </c>
      <c r="G377" s="57">
        <v>0</v>
      </c>
      <c r="H377" s="57">
        <v>0</v>
      </c>
      <c r="I377" s="57">
        <v>0</v>
      </c>
      <c r="Z377" s="110" t="str">
        <f t="shared" si="12"/>
        <v>3</v>
      </c>
      <c r="AA377" s="110" t="str">
        <f t="shared" si="13"/>
        <v>3</v>
      </c>
      <c r="AB377" s="110" t="str">
        <f t="shared" si="14"/>
        <v>1</v>
      </c>
    </row>
    <row r="378" spans="2:28" x14ac:dyDescent="0.2">
      <c r="B378" s="57" t="s">
        <v>2397</v>
      </c>
      <c r="D378" s="57" t="s">
        <v>2981</v>
      </c>
      <c r="E378" s="102">
        <f>VLOOKUP(Z378&amp;"_"&amp;AA378,活动关卡!$A$32:$Z$55,5+5*AB378,FALSE)</f>
        <v>40</v>
      </c>
      <c r="F378" s="57">
        <v>1</v>
      </c>
      <c r="G378" s="57">
        <v>0</v>
      </c>
      <c r="H378" s="57">
        <v>0</v>
      </c>
      <c r="I378" s="57">
        <v>0</v>
      </c>
      <c r="Z378" s="110" t="str">
        <f t="shared" si="12"/>
        <v>3</v>
      </c>
      <c r="AA378" s="110" t="str">
        <f t="shared" si="13"/>
        <v>3</v>
      </c>
      <c r="AB378" s="110" t="str">
        <f t="shared" si="14"/>
        <v>2</v>
      </c>
    </row>
    <row r="379" spans="2:28" x14ac:dyDescent="0.2">
      <c r="B379" s="57" t="s">
        <v>2398</v>
      </c>
      <c r="D379" s="57" t="s">
        <v>2982</v>
      </c>
      <c r="E379" s="102">
        <f>VLOOKUP(Z379&amp;"_"&amp;AA379,活动关卡!$A$32:$Z$55,5+5*AB379,FALSE)</f>
        <v>2387</v>
      </c>
      <c r="F379" s="57">
        <v>1</v>
      </c>
      <c r="G379" s="57">
        <v>0</v>
      </c>
      <c r="H379" s="57">
        <v>0</v>
      </c>
      <c r="I379" s="57">
        <v>0</v>
      </c>
      <c r="Z379" s="110" t="str">
        <f t="shared" si="12"/>
        <v>3</v>
      </c>
      <c r="AA379" s="110" t="str">
        <f t="shared" si="13"/>
        <v>3</v>
      </c>
      <c r="AB379" s="110" t="str">
        <f t="shared" si="14"/>
        <v>3</v>
      </c>
    </row>
    <row r="380" spans="2:28" x14ac:dyDescent="0.2">
      <c r="B380" s="57" t="s">
        <v>2399</v>
      </c>
      <c r="D380" s="57" t="s">
        <v>2983</v>
      </c>
      <c r="E380" s="102">
        <f>VLOOKUP(Z380&amp;"_"&amp;AA380,活动关卡!$A$32:$Z$55,5+5*AB380,FALSE)</f>
        <v>14</v>
      </c>
      <c r="F380" s="57">
        <v>1</v>
      </c>
      <c r="G380" s="57">
        <v>0</v>
      </c>
      <c r="H380" s="57">
        <v>0</v>
      </c>
      <c r="I380" s="57">
        <v>0</v>
      </c>
      <c r="Z380" s="110" t="str">
        <f t="shared" si="12"/>
        <v>4</v>
      </c>
      <c r="AA380" s="110" t="str">
        <f t="shared" si="13"/>
        <v>1</v>
      </c>
      <c r="AB380" s="110" t="str">
        <f t="shared" si="14"/>
        <v>1</v>
      </c>
    </row>
    <row r="381" spans="2:28" x14ac:dyDescent="0.2">
      <c r="B381" s="57" t="s">
        <v>2400</v>
      </c>
      <c r="D381" s="57" t="s">
        <v>2984</v>
      </c>
      <c r="E381" s="102">
        <f>VLOOKUP(Z381&amp;"_"&amp;AA381,活动关卡!$A$32:$Z$55,5+5*AB381,FALSE)</f>
        <v>430</v>
      </c>
      <c r="F381" s="57">
        <v>1</v>
      </c>
      <c r="G381" s="57">
        <v>0</v>
      </c>
      <c r="H381" s="57">
        <v>0</v>
      </c>
      <c r="I381" s="57">
        <v>0</v>
      </c>
      <c r="Z381" s="110" t="str">
        <f t="shared" si="12"/>
        <v>4</v>
      </c>
      <c r="AA381" s="110" t="str">
        <f t="shared" si="13"/>
        <v>1</v>
      </c>
      <c r="AB381" s="110" t="str">
        <f t="shared" si="14"/>
        <v>2</v>
      </c>
    </row>
    <row r="382" spans="2:28" x14ac:dyDescent="0.2">
      <c r="B382" s="57" t="s">
        <v>2401</v>
      </c>
      <c r="D382" s="57" t="s">
        <v>2985</v>
      </c>
      <c r="E382" s="102">
        <f>VLOOKUP(Z382&amp;"_"&amp;AA382,活动关卡!$A$32:$Z$55,5+5*AB382,FALSE)</f>
        <v>76</v>
      </c>
      <c r="F382" s="57">
        <v>1</v>
      </c>
      <c r="G382" s="57">
        <v>0</v>
      </c>
      <c r="H382" s="57">
        <v>0</v>
      </c>
      <c r="I382" s="57">
        <v>0</v>
      </c>
      <c r="Z382" s="110" t="str">
        <f t="shared" si="12"/>
        <v>4</v>
      </c>
      <c r="AA382" s="110" t="str">
        <f t="shared" si="13"/>
        <v>2</v>
      </c>
      <c r="AB382" s="110" t="str">
        <f t="shared" si="14"/>
        <v>1</v>
      </c>
    </row>
    <row r="383" spans="2:28" x14ac:dyDescent="0.2">
      <c r="B383" s="57" t="s">
        <v>2402</v>
      </c>
      <c r="D383" s="57" t="s">
        <v>2986</v>
      </c>
      <c r="E383" s="102">
        <f>VLOOKUP(Z383&amp;"_"&amp;AA383,活动关卡!$A$32:$Z$55,5+5*AB383,FALSE)</f>
        <v>151</v>
      </c>
      <c r="F383" s="57">
        <v>1</v>
      </c>
      <c r="G383" s="57">
        <v>0</v>
      </c>
      <c r="H383" s="57">
        <v>0</v>
      </c>
      <c r="I383" s="57">
        <v>0</v>
      </c>
      <c r="Z383" s="110" t="str">
        <f t="shared" si="12"/>
        <v>4</v>
      </c>
      <c r="AA383" s="110" t="str">
        <f t="shared" si="13"/>
        <v>2</v>
      </c>
      <c r="AB383" s="110" t="str">
        <f t="shared" si="14"/>
        <v>2</v>
      </c>
    </row>
    <row r="384" spans="2:28" x14ac:dyDescent="0.2">
      <c r="B384" s="57" t="s">
        <v>2403</v>
      </c>
      <c r="D384" s="57" t="s">
        <v>2987</v>
      </c>
      <c r="E384" s="102">
        <f>VLOOKUP(Z384&amp;"_"&amp;AA384,活动关卡!$A$32:$Z$55,5+5*AB384,FALSE)</f>
        <v>2269</v>
      </c>
      <c r="F384" s="57">
        <v>1</v>
      </c>
      <c r="G384" s="57">
        <v>0</v>
      </c>
      <c r="H384" s="57">
        <v>0</v>
      </c>
      <c r="I384" s="57">
        <v>0</v>
      </c>
      <c r="Z384" s="110" t="str">
        <f t="shared" si="12"/>
        <v>4</v>
      </c>
      <c r="AA384" s="110" t="str">
        <f t="shared" si="13"/>
        <v>2</v>
      </c>
      <c r="AB384" s="110" t="str">
        <f t="shared" si="14"/>
        <v>3</v>
      </c>
    </row>
    <row r="385" spans="2:28" x14ac:dyDescent="0.2">
      <c r="B385" s="57" t="s">
        <v>2404</v>
      </c>
      <c r="D385" s="57" t="s">
        <v>2988</v>
      </c>
      <c r="E385" s="102">
        <f>VLOOKUP(Z385&amp;"_"&amp;AA385,活动关卡!$A$32:$Z$55,5+5*AB385,FALSE)</f>
        <v>225</v>
      </c>
      <c r="F385" s="57">
        <v>1</v>
      </c>
      <c r="G385" s="57">
        <v>0</v>
      </c>
      <c r="H385" s="57">
        <v>0</v>
      </c>
      <c r="I385" s="57">
        <v>0</v>
      </c>
      <c r="Z385" s="110" t="str">
        <f t="shared" si="12"/>
        <v>4</v>
      </c>
      <c r="AA385" s="110" t="str">
        <f t="shared" si="13"/>
        <v>3</v>
      </c>
      <c r="AB385" s="110" t="str">
        <f t="shared" si="14"/>
        <v>1</v>
      </c>
    </row>
    <row r="386" spans="2:28" x14ac:dyDescent="0.2">
      <c r="B386" s="57" t="s">
        <v>2405</v>
      </c>
      <c r="D386" s="57" t="s">
        <v>2989</v>
      </c>
      <c r="E386" s="102">
        <f>VLOOKUP(Z386&amp;"_"&amp;AA386,活动关卡!$A$32:$Z$55,5+5*AB386,FALSE)</f>
        <v>113</v>
      </c>
      <c r="F386" s="57">
        <v>1</v>
      </c>
      <c r="G386" s="57">
        <v>0</v>
      </c>
      <c r="H386" s="57">
        <v>0</v>
      </c>
      <c r="I386" s="57">
        <v>0</v>
      </c>
      <c r="Z386" s="110" t="str">
        <f t="shared" si="12"/>
        <v>4</v>
      </c>
      <c r="AA386" s="110" t="str">
        <f t="shared" si="13"/>
        <v>3</v>
      </c>
      <c r="AB386" s="110" t="str">
        <f t="shared" si="14"/>
        <v>2</v>
      </c>
    </row>
    <row r="387" spans="2:28" x14ac:dyDescent="0.2">
      <c r="B387" s="57" t="s">
        <v>2406</v>
      </c>
      <c r="D387" s="57" t="s">
        <v>2990</v>
      </c>
      <c r="E387" s="102">
        <f>VLOOKUP(Z387&amp;"_"&amp;AA387,活动关卡!$A$32:$Z$55,5+5*AB387,FALSE)</f>
        <v>6762</v>
      </c>
      <c r="F387" s="57">
        <v>1</v>
      </c>
      <c r="G387" s="57">
        <v>0</v>
      </c>
      <c r="H387" s="57">
        <v>0</v>
      </c>
      <c r="I387" s="57">
        <v>0</v>
      </c>
      <c r="Z387" s="110" t="str">
        <f t="shared" si="12"/>
        <v>4</v>
      </c>
      <c r="AA387" s="110" t="str">
        <f t="shared" si="13"/>
        <v>3</v>
      </c>
      <c r="AB387" s="110" t="str">
        <f t="shared" si="14"/>
        <v>3</v>
      </c>
    </row>
    <row r="388" spans="2:28" x14ac:dyDescent="0.2">
      <c r="B388" s="57" t="s">
        <v>2407</v>
      </c>
      <c r="D388" s="57" t="s">
        <v>2991</v>
      </c>
      <c r="E388" s="102">
        <f>VLOOKUP(Z388&amp;"_"&amp;AA388,活动关卡!$A$32:$Z$55,5+5*AB388,FALSE)</f>
        <v>23</v>
      </c>
      <c r="F388" s="57">
        <v>1</v>
      </c>
      <c r="G388" s="57">
        <v>0</v>
      </c>
      <c r="H388" s="57">
        <v>0</v>
      </c>
      <c r="I388" s="57">
        <v>0</v>
      </c>
      <c r="Z388" s="110" t="str">
        <f t="shared" si="12"/>
        <v>4</v>
      </c>
      <c r="AA388" s="110" t="str">
        <f t="shared" si="13"/>
        <v>4</v>
      </c>
      <c r="AB388" s="110" t="str">
        <f t="shared" si="14"/>
        <v>1</v>
      </c>
    </row>
    <row r="389" spans="2:28" x14ac:dyDescent="0.2">
      <c r="B389" s="57" t="s">
        <v>2408</v>
      </c>
      <c r="D389" s="57" t="s">
        <v>2992</v>
      </c>
      <c r="E389" s="102">
        <f>VLOOKUP(Z389&amp;"_"&amp;AA389,活动关卡!$A$32:$Z$55,5+5*AB389,FALSE)</f>
        <v>23</v>
      </c>
      <c r="F389" s="57">
        <v>1</v>
      </c>
      <c r="G389" s="57">
        <v>0</v>
      </c>
      <c r="H389" s="57">
        <v>0</v>
      </c>
      <c r="I389" s="57">
        <v>0</v>
      </c>
      <c r="Z389" s="110" t="str">
        <f t="shared" si="12"/>
        <v>4</v>
      </c>
      <c r="AA389" s="110" t="str">
        <f t="shared" si="13"/>
        <v>4</v>
      </c>
      <c r="AB389" s="110" t="str">
        <f t="shared" si="14"/>
        <v>2</v>
      </c>
    </row>
    <row r="390" spans="2:28" x14ac:dyDescent="0.2">
      <c r="B390" s="57" t="s">
        <v>2409</v>
      </c>
      <c r="D390" s="57" t="s">
        <v>2993</v>
      </c>
      <c r="E390" s="102">
        <f>VLOOKUP(Z390&amp;"_"&amp;AA390,活动关卡!$A$32:$Z$55,5+5*AB390,FALSE)</f>
        <v>680</v>
      </c>
      <c r="F390" s="57">
        <v>1</v>
      </c>
      <c r="G390" s="57">
        <v>0</v>
      </c>
      <c r="H390" s="57">
        <v>0</v>
      </c>
      <c r="I390" s="57">
        <v>0</v>
      </c>
      <c r="Z390" s="110" t="str">
        <f t="shared" si="12"/>
        <v>4</v>
      </c>
      <c r="AA390" s="110" t="str">
        <f t="shared" si="13"/>
        <v>4</v>
      </c>
      <c r="AB390" s="110" t="str">
        <f t="shared" si="14"/>
        <v>3</v>
      </c>
    </row>
    <row r="391" spans="2:28" x14ac:dyDescent="0.2">
      <c r="B391" s="57" t="s">
        <v>2410</v>
      </c>
      <c r="D391" s="57" t="s">
        <v>2994</v>
      </c>
      <c r="E391" s="102">
        <f>VLOOKUP(Z391&amp;"_"&amp;AA391,活动关卡!$A$32:$Z$55,5+5*AB391,FALSE)</f>
        <v>24</v>
      </c>
      <c r="F391" s="57">
        <v>1</v>
      </c>
      <c r="G391" s="57">
        <v>0</v>
      </c>
      <c r="H391" s="57">
        <v>0</v>
      </c>
      <c r="I391" s="57">
        <v>0</v>
      </c>
      <c r="Z391" s="110" t="str">
        <f t="shared" si="12"/>
        <v>4</v>
      </c>
      <c r="AA391" s="110" t="str">
        <f t="shared" si="13"/>
        <v>5</v>
      </c>
      <c r="AB391" s="110" t="str">
        <f t="shared" si="14"/>
        <v>1</v>
      </c>
    </row>
    <row r="392" spans="2:28" x14ac:dyDescent="0.2">
      <c r="B392" s="57" t="s">
        <v>2411</v>
      </c>
      <c r="D392" s="57" t="s">
        <v>2995</v>
      </c>
      <c r="E392" s="102">
        <f>VLOOKUP(Z392&amp;"_"&amp;AA392,活动关卡!$A$32:$Z$55,5+5*AB392,FALSE)</f>
        <v>73</v>
      </c>
      <c r="F392" s="57">
        <v>1</v>
      </c>
      <c r="G392" s="57">
        <v>0</v>
      </c>
      <c r="H392" s="57">
        <v>0</v>
      </c>
      <c r="I392" s="57">
        <v>0</v>
      </c>
      <c r="Z392" s="110" t="str">
        <f t="shared" si="12"/>
        <v>4</v>
      </c>
      <c r="AA392" s="110" t="str">
        <f t="shared" si="13"/>
        <v>5</v>
      </c>
      <c r="AB392" s="110" t="str">
        <f t="shared" si="14"/>
        <v>2</v>
      </c>
    </row>
    <row r="393" spans="2:28" x14ac:dyDescent="0.2">
      <c r="B393" s="57" t="s">
        <v>2412</v>
      </c>
      <c r="D393" s="57" t="s">
        <v>2996</v>
      </c>
      <c r="E393" s="102">
        <f>VLOOKUP(Z393&amp;"_"&amp;AA393,活动关卡!$A$32:$Z$55,5+5*AB393,FALSE)</f>
        <v>725</v>
      </c>
      <c r="F393" s="57">
        <v>1</v>
      </c>
      <c r="G393" s="57">
        <v>0</v>
      </c>
      <c r="H393" s="57">
        <v>0</v>
      </c>
      <c r="I393" s="57">
        <v>0</v>
      </c>
      <c r="Z393" s="110" t="str">
        <f t="shared" si="12"/>
        <v>4</v>
      </c>
      <c r="AA393" s="110" t="str">
        <f t="shared" si="13"/>
        <v>5</v>
      </c>
      <c r="AB393" s="110" t="str">
        <f t="shared" si="14"/>
        <v>3</v>
      </c>
    </row>
    <row r="394" spans="2:28" x14ac:dyDescent="0.2">
      <c r="B394" s="57" t="s">
        <v>2413</v>
      </c>
      <c r="D394" s="57" t="s">
        <v>2997</v>
      </c>
      <c r="E394" s="102">
        <f>VLOOKUP(Z394&amp;"_"&amp;AA394,活动关卡!$A$32:$Z$55,5+5*AB394,FALSE)</f>
        <v>97</v>
      </c>
      <c r="F394" s="57">
        <v>1</v>
      </c>
      <c r="G394" s="57">
        <v>0</v>
      </c>
      <c r="H394" s="57">
        <v>0</v>
      </c>
      <c r="I394" s="57">
        <v>0</v>
      </c>
      <c r="Z394" s="110" t="str">
        <f t="shared" si="12"/>
        <v>5</v>
      </c>
      <c r="AA394" s="110" t="str">
        <f t="shared" si="13"/>
        <v>1</v>
      </c>
      <c r="AB394" s="110" t="str">
        <f t="shared" si="14"/>
        <v>1</v>
      </c>
    </row>
    <row r="395" spans="2:28" x14ac:dyDescent="0.2">
      <c r="B395" s="57" t="s">
        <v>2414</v>
      </c>
      <c r="D395" s="57" t="s">
        <v>2998</v>
      </c>
      <c r="E395" s="102">
        <f>VLOOKUP(Z395&amp;"_"&amp;AA395,活动关卡!$A$32:$Z$55,5+5*AB395,FALSE)</f>
        <v>728</v>
      </c>
      <c r="F395" s="57">
        <v>1</v>
      </c>
      <c r="G395" s="57">
        <v>0</v>
      </c>
      <c r="H395" s="57">
        <v>0</v>
      </c>
      <c r="I395" s="57">
        <v>0</v>
      </c>
      <c r="Z395" s="110" t="str">
        <f t="shared" si="12"/>
        <v>5</v>
      </c>
      <c r="AA395" s="110" t="str">
        <f t="shared" si="13"/>
        <v>1</v>
      </c>
      <c r="AB395" s="110" t="str">
        <f t="shared" si="14"/>
        <v>2</v>
      </c>
    </row>
    <row r="396" spans="2:28" x14ac:dyDescent="0.2">
      <c r="B396" s="57" t="s">
        <v>2415</v>
      </c>
      <c r="D396" s="57" t="s">
        <v>2999</v>
      </c>
      <c r="E396" s="102">
        <f>VLOOKUP(Z396&amp;"_"&amp;AA396,活动关卡!$A$32:$Z$55,5+5*AB396,FALSE)</f>
        <v>296</v>
      </c>
      <c r="F396" s="57">
        <v>1</v>
      </c>
      <c r="G396" s="57">
        <v>0</v>
      </c>
      <c r="H396" s="57">
        <v>0</v>
      </c>
      <c r="I396" s="57">
        <v>0</v>
      </c>
      <c r="Z396" s="110" t="str">
        <f t="shared" si="12"/>
        <v>5</v>
      </c>
      <c r="AA396" s="110" t="str">
        <f t="shared" si="13"/>
        <v>2</v>
      </c>
      <c r="AB396" s="110" t="str">
        <f t="shared" si="14"/>
        <v>1</v>
      </c>
    </row>
    <row r="397" spans="2:28" x14ac:dyDescent="0.2">
      <c r="B397" s="57" t="s">
        <v>2416</v>
      </c>
      <c r="D397" s="57" t="s">
        <v>3000</v>
      </c>
      <c r="E397" s="102">
        <f>VLOOKUP(Z397&amp;"_"&amp;AA397,活动关卡!$A$32:$Z$55,5+5*AB397,FALSE)</f>
        <v>37</v>
      </c>
      <c r="F397" s="57">
        <v>1</v>
      </c>
      <c r="G397" s="57">
        <v>0</v>
      </c>
      <c r="H397" s="57">
        <v>0</v>
      </c>
      <c r="I397" s="57">
        <v>0</v>
      </c>
      <c r="Z397" s="110" t="str">
        <f t="shared" si="12"/>
        <v>5</v>
      </c>
      <c r="AA397" s="110" t="str">
        <f t="shared" si="13"/>
        <v>2</v>
      </c>
      <c r="AB397" s="110" t="str">
        <f t="shared" si="14"/>
        <v>2</v>
      </c>
    </row>
    <row r="398" spans="2:28" x14ac:dyDescent="0.2">
      <c r="B398" s="57" t="s">
        <v>2417</v>
      </c>
      <c r="D398" s="57" t="s">
        <v>3001</v>
      </c>
      <c r="E398" s="102">
        <f>VLOOKUP(Z398&amp;"_"&amp;AA398,活动关卡!$A$32:$Z$55,5+5*AB398,FALSE)</f>
        <v>2218</v>
      </c>
      <c r="F398" s="57">
        <v>1</v>
      </c>
      <c r="G398" s="57">
        <v>0</v>
      </c>
      <c r="H398" s="57">
        <v>0</v>
      </c>
      <c r="I398" s="57">
        <v>0</v>
      </c>
      <c r="Z398" s="110" t="str">
        <f t="shared" si="12"/>
        <v>5</v>
      </c>
      <c r="AA398" s="110" t="str">
        <f t="shared" si="13"/>
        <v>2</v>
      </c>
      <c r="AB398" s="110" t="str">
        <f t="shared" si="14"/>
        <v>3</v>
      </c>
    </row>
    <row r="399" spans="2:28" x14ac:dyDescent="0.2">
      <c r="B399" s="57" t="s">
        <v>2418</v>
      </c>
      <c r="D399" s="57" t="s">
        <v>3002</v>
      </c>
      <c r="E399" s="102">
        <f>VLOOKUP(Z399&amp;"_"&amp;AA399,活动关卡!$A$32:$Z$55,5+5*AB399,FALSE)</f>
        <v>790</v>
      </c>
      <c r="F399" s="57">
        <v>1</v>
      </c>
      <c r="G399" s="57">
        <v>0</v>
      </c>
      <c r="H399" s="57">
        <v>0</v>
      </c>
      <c r="I399" s="57">
        <v>0</v>
      </c>
      <c r="Z399" s="110" t="str">
        <f t="shared" si="12"/>
        <v>5</v>
      </c>
      <c r="AA399" s="110" t="str">
        <f t="shared" si="13"/>
        <v>3</v>
      </c>
      <c r="AB399" s="110" t="str">
        <f t="shared" si="14"/>
        <v>1</v>
      </c>
    </row>
    <row r="400" spans="2:28" x14ac:dyDescent="0.2">
      <c r="B400" s="57" t="s">
        <v>2419</v>
      </c>
      <c r="D400" s="57" t="s">
        <v>3003</v>
      </c>
      <c r="E400" s="102">
        <f>VLOOKUP(Z400&amp;"_"&amp;AA400,活动关卡!$A$32:$Z$55,5+5*AB400,FALSE)</f>
        <v>198</v>
      </c>
      <c r="F400" s="57">
        <v>1</v>
      </c>
      <c r="G400" s="57">
        <v>0</v>
      </c>
      <c r="H400" s="57">
        <v>0</v>
      </c>
      <c r="I400" s="57">
        <v>0</v>
      </c>
      <c r="Z400" s="110" t="str">
        <f t="shared" si="12"/>
        <v>5</v>
      </c>
      <c r="AA400" s="110" t="str">
        <f t="shared" si="13"/>
        <v>3</v>
      </c>
      <c r="AB400" s="110" t="str">
        <f t="shared" si="14"/>
        <v>2</v>
      </c>
    </row>
    <row r="401" spans="2:28" x14ac:dyDescent="0.2">
      <c r="B401" s="57" t="s">
        <v>2420</v>
      </c>
      <c r="D401" s="57" t="s">
        <v>3004</v>
      </c>
      <c r="E401" s="102">
        <f>VLOOKUP(Z401&amp;"_"&amp;AA401,活动关卡!$A$32:$Z$55,5+5*AB401,FALSE)</f>
        <v>198</v>
      </c>
      <c r="F401" s="57">
        <v>1</v>
      </c>
      <c r="G401" s="57">
        <v>0</v>
      </c>
      <c r="H401" s="57">
        <v>0</v>
      </c>
      <c r="I401" s="57">
        <v>0</v>
      </c>
      <c r="Z401" s="110" t="str">
        <f t="shared" si="12"/>
        <v>5</v>
      </c>
      <c r="AA401" s="110" t="str">
        <f t="shared" si="13"/>
        <v>3</v>
      </c>
      <c r="AB401" s="110" t="str">
        <f t="shared" si="14"/>
        <v>3</v>
      </c>
    </row>
    <row r="402" spans="2:28" x14ac:dyDescent="0.2">
      <c r="B402" s="57" t="s">
        <v>2421</v>
      </c>
      <c r="D402" s="57" t="s">
        <v>3005</v>
      </c>
      <c r="E402" s="102">
        <f>VLOOKUP(Z402&amp;"_"&amp;AA402,活动关卡!$A$32:$Z$55,5+5*AB402,FALSE)</f>
        <v>5927</v>
      </c>
      <c r="F402" s="57">
        <v>1</v>
      </c>
      <c r="G402" s="57">
        <v>0</v>
      </c>
      <c r="H402" s="57">
        <v>0</v>
      </c>
      <c r="I402" s="57">
        <v>0</v>
      </c>
      <c r="Z402" s="110" t="str">
        <f t="shared" si="12"/>
        <v>5</v>
      </c>
      <c r="AA402" s="110" t="str">
        <f t="shared" si="13"/>
        <v>3</v>
      </c>
      <c r="AB402" s="110" t="str">
        <f t="shared" si="14"/>
        <v>4</v>
      </c>
    </row>
    <row r="403" spans="2:28" x14ac:dyDescent="0.2">
      <c r="B403" s="57" t="s">
        <v>2422</v>
      </c>
      <c r="D403" s="57" t="s">
        <v>3006</v>
      </c>
      <c r="E403" s="102">
        <f>VLOOKUP(Z403&amp;"_"&amp;AA403,活动关卡!$A$32:$Z$55,5+5*AB403,FALSE)</f>
        <v>306</v>
      </c>
      <c r="F403" s="57">
        <v>1</v>
      </c>
      <c r="G403" s="57">
        <v>0</v>
      </c>
      <c r="H403" s="57">
        <v>0</v>
      </c>
      <c r="I403" s="57">
        <v>0</v>
      </c>
      <c r="Z403" s="110" t="str">
        <f t="shared" si="12"/>
        <v>5</v>
      </c>
      <c r="AA403" s="110" t="str">
        <f t="shared" si="13"/>
        <v>4</v>
      </c>
      <c r="AB403" s="110" t="str">
        <f t="shared" si="14"/>
        <v>1</v>
      </c>
    </row>
    <row r="404" spans="2:28" x14ac:dyDescent="0.2">
      <c r="B404" s="57" t="s">
        <v>2423</v>
      </c>
      <c r="D404" s="57" t="s">
        <v>3007</v>
      </c>
      <c r="E404" s="102">
        <f>VLOOKUP(Z404&amp;"_"&amp;AA404,活动关卡!$A$32:$Z$55,5+5*AB404,FALSE)</f>
        <v>76</v>
      </c>
      <c r="F404" s="57">
        <v>1</v>
      </c>
      <c r="G404" s="57">
        <v>0</v>
      </c>
      <c r="H404" s="57">
        <v>0</v>
      </c>
      <c r="I404" s="57">
        <v>0</v>
      </c>
      <c r="Z404" s="110" t="str">
        <f t="shared" si="12"/>
        <v>5</v>
      </c>
      <c r="AA404" s="110" t="str">
        <f t="shared" si="13"/>
        <v>4</v>
      </c>
      <c r="AB404" s="110" t="str">
        <f t="shared" si="14"/>
        <v>2</v>
      </c>
    </row>
    <row r="405" spans="2:28" x14ac:dyDescent="0.2">
      <c r="B405" s="57" t="s">
        <v>2424</v>
      </c>
      <c r="D405" s="57" t="s">
        <v>3008</v>
      </c>
      <c r="E405" s="102">
        <f>VLOOKUP(Z405&amp;"_"&amp;AA405,活动关卡!$A$32:$Z$55,5+5*AB405,FALSE)</f>
        <v>2295</v>
      </c>
      <c r="F405" s="57">
        <v>1</v>
      </c>
      <c r="G405" s="57">
        <v>0</v>
      </c>
      <c r="H405" s="57">
        <v>0</v>
      </c>
      <c r="I405" s="57">
        <v>0</v>
      </c>
      <c r="Z405" s="110" t="str">
        <f t="shared" si="12"/>
        <v>5</v>
      </c>
      <c r="AA405" s="110" t="str">
        <f t="shared" si="13"/>
        <v>4</v>
      </c>
      <c r="AB405" s="110" t="str">
        <f t="shared" si="14"/>
        <v>3</v>
      </c>
    </row>
    <row r="406" spans="2:28" x14ac:dyDescent="0.2">
      <c r="B406" s="57" t="s">
        <v>2425</v>
      </c>
      <c r="D406" s="57" t="s">
        <v>3009</v>
      </c>
      <c r="E406" s="102">
        <f>VLOOKUP(Z406&amp;"_"&amp;AA406,活动关卡!$A$32:$Z$55,5+5*AB406,FALSE)</f>
        <v>180</v>
      </c>
      <c r="F406" s="57">
        <v>1</v>
      </c>
      <c r="G406" s="57">
        <v>0</v>
      </c>
      <c r="H406" s="57">
        <v>0</v>
      </c>
      <c r="I406" s="57">
        <v>0</v>
      </c>
      <c r="Z406" s="110" t="str">
        <f t="shared" si="12"/>
        <v>5</v>
      </c>
      <c r="AA406" s="110" t="str">
        <f t="shared" si="13"/>
        <v>5</v>
      </c>
      <c r="AB406" s="110" t="str">
        <f t="shared" si="14"/>
        <v>1</v>
      </c>
    </row>
    <row r="407" spans="2:28" x14ac:dyDescent="0.2">
      <c r="B407" s="57" t="s">
        <v>2426</v>
      </c>
      <c r="D407" s="57" t="s">
        <v>3010</v>
      </c>
      <c r="E407" s="102">
        <f>VLOOKUP(Z407&amp;"_"&amp;AA407,活动关卡!$A$32:$Z$55,5+5*AB407,FALSE)</f>
        <v>45</v>
      </c>
      <c r="F407" s="57">
        <v>1</v>
      </c>
      <c r="G407" s="57">
        <v>0</v>
      </c>
      <c r="H407" s="57">
        <v>0</v>
      </c>
      <c r="I407" s="57">
        <v>0</v>
      </c>
      <c r="Z407" s="110" t="str">
        <f t="shared" si="12"/>
        <v>5</v>
      </c>
      <c r="AA407" s="110" t="str">
        <f t="shared" si="13"/>
        <v>5</v>
      </c>
      <c r="AB407" s="110" t="str">
        <f t="shared" si="14"/>
        <v>2</v>
      </c>
    </row>
    <row r="408" spans="2:28" x14ac:dyDescent="0.2">
      <c r="B408" s="57" t="s">
        <v>2427</v>
      </c>
      <c r="D408" s="57" t="s">
        <v>3011</v>
      </c>
      <c r="E408" s="102">
        <f>VLOOKUP(Z408&amp;"_"&amp;AA408,活动关卡!$A$32:$Z$55,5+5*AB408,FALSE)</f>
        <v>135</v>
      </c>
      <c r="F408" s="57">
        <v>1</v>
      </c>
      <c r="G408" s="57">
        <v>0</v>
      </c>
      <c r="H408" s="57">
        <v>0</v>
      </c>
      <c r="I408" s="57">
        <v>0</v>
      </c>
      <c r="Z408" s="110" t="str">
        <f t="shared" si="12"/>
        <v>5</v>
      </c>
      <c r="AA408" s="110" t="str">
        <f t="shared" si="13"/>
        <v>5</v>
      </c>
      <c r="AB408" s="110" t="str">
        <f t="shared" si="14"/>
        <v>3</v>
      </c>
    </row>
    <row r="409" spans="2:28" x14ac:dyDescent="0.2">
      <c r="B409" s="57" t="s">
        <v>2428</v>
      </c>
      <c r="D409" s="57" t="s">
        <v>3012</v>
      </c>
      <c r="E409" s="102">
        <f>VLOOKUP(Z409&amp;"_"&amp;AA409,活动关卡!$A$32:$Z$55,5+5*AB409,FALSE)</f>
        <v>1346</v>
      </c>
      <c r="F409" s="57">
        <v>1</v>
      </c>
      <c r="G409" s="57">
        <v>0</v>
      </c>
      <c r="H409" s="57">
        <v>0</v>
      </c>
      <c r="I409" s="57">
        <v>0</v>
      </c>
      <c r="Z409" s="110" t="str">
        <f t="shared" si="12"/>
        <v>5</v>
      </c>
      <c r="AA409" s="110" t="str">
        <f t="shared" si="13"/>
        <v>5</v>
      </c>
      <c r="AB409" s="110" t="str">
        <f t="shared" si="14"/>
        <v>4</v>
      </c>
    </row>
    <row r="410" spans="2:28" x14ac:dyDescent="0.2">
      <c r="B410" s="57" t="s">
        <v>2429</v>
      </c>
      <c r="D410" s="57" t="s">
        <v>3013</v>
      </c>
      <c r="E410" s="102">
        <f>VLOOKUP(Z410&amp;"_"&amp;AA410,活动关卡!$A$32:$Z$55,5+5*AB410,FALSE)</f>
        <v>272</v>
      </c>
      <c r="F410" s="57">
        <v>1</v>
      </c>
      <c r="G410" s="57">
        <v>0</v>
      </c>
      <c r="H410" s="57">
        <v>0</v>
      </c>
      <c r="I410" s="57">
        <v>0</v>
      </c>
      <c r="Z410" s="110" t="str">
        <f t="shared" si="12"/>
        <v>5</v>
      </c>
      <c r="AA410" s="110" t="str">
        <f t="shared" si="13"/>
        <v>6</v>
      </c>
      <c r="AB410" s="110" t="str">
        <f t="shared" si="14"/>
        <v>1</v>
      </c>
    </row>
    <row r="411" spans="2:28" x14ac:dyDescent="0.2">
      <c r="B411" s="57" t="s">
        <v>2430</v>
      </c>
      <c r="D411" s="57" t="s">
        <v>3014</v>
      </c>
      <c r="E411" s="102">
        <f>VLOOKUP(Z411&amp;"_"&amp;AA411,活动关卡!$A$32:$Z$55,5+5*AB411,FALSE)</f>
        <v>409</v>
      </c>
      <c r="F411" s="57">
        <v>1</v>
      </c>
      <c r="G411" s="57">
        <v>0</v>
      </c>
      <c r="H411" s="57">
        <v>0</v>
      </c>
      <c r="I411" s="57">
        <v>0</v>
      </c>
      <c r="Z411" s="110" t="str">
        <f t="shared" si="12"/>
        <v>5</v>
      </c>
      <c r="AA411" s="110" t="str">
        <f t="shared" si="13"/>
        <v>6</v>
      </c>
      <c r="AB411" s="110" t="str">
        <f t="shared" si="14"/>
        <v>2</v>
      </c>
    </row>
    <row r="412" spans="2:28" x14ac:dyDescent="0.2">
      <c r="B412" s="57" t="s">
        <v>2431</v>
      </c>
      <c r="D412" s="57" t="s">
        <v>3015</v>
      </c>
      <c r="E412" s="102">
        <f>VLOOKUP(Z412&amp;"_"&amp;AA412,活动关卡!$A$32:$Z$55,5+5*AB412,FALSE)</f>
        <v>136</v>
      </c>
      <c r="F412" s="57">
        <v>1</v>
      </c>
      <c r="G412" s="57">
        <v>0</v>
      </c>
      <c r="H412" s="57">
        <v>0</v>
      </c>
      <c r="I412" s="57">
        <v>0</v>
      </c>
      <c r="Z412" s="110" t="str">
        <f t="shared" si="12"/>
        <v>5</v>
      </c>
      <c r="AA412" s="110" t="str">
        <f t="shared" si="13"/>
        <v>6</v>
      </c>
      <c r="AB412" s="110" t="str">
        <f t="shared" si="14"/>
        <v>3</v>
      </c>
    </row>
    <row r="413" spans="2:28" x14ac:dyDescent="0.2">
      <c r="B413" s="57" t="s">
        <v>2432</v>
      </c>
      <c r="D413" s="57" t="s">
        <v>3016</v>
      </c>
      <c r="E413" s="102">
        <f>VLOOKUP(Z413&amp;"_"&amp;AA413,活动关卡!$A$32:$Z$55,5+5*AB413,FALSE)</f>
        <v>2043</v>
      </c>
      <c r="F413" s="57">
        <v>1</v>
      </c>
      <c r="G413" s="57">
        <v>0</v>
      </c>
      <c r="H413" s="57">
        <v>0</v>
      </c>
      <c r="I413" s="57">
        <v>0</v>
      </c>
      <c r="Z413" s="110" t="str">
        <f t="shared" si="12"/>
        <v>5</v>
      </c>
      <c r="AA413" s="110" t="str">
        <f t="shared" si="13"/>
        <v>6</v>
      </c>
      <c r="AB413" s="110" t="str">
        <f t="shared" si="14"/>
        <v>4</v>
      </c>
    </row>
    <row r="414" spans="2:28" x14ac:dyDescent="0.2">
      <c r="B414" s="57" t="s">
        <v>2433</v>
      </c>
      <c r="D414" s="57" t="s">
        <v>3017</v>
      </c>
      <c r="E414" s="102">
        <f>VLOOKUP(Z414&amp;"_"&amp;AA414,活动关卡!$A$32:$Z$55,5+5*AB414,FALSE)</f>
        <v>316</v>
      </c>
      <c r="F414" s="57">
        <v>1</v>
      </c>
      <c r="G414" s="57">
        <v>0</v>
      </c>
      <c r="H414" s="57">
        <v>0</v>
      </c>
      <c r="I414" s="57">
        <v>0</v>
      </c>
      <c r="Z414" s="110" t="str">
        <f t="shared" si="12"/>
        <v>5</v>
      </c>
      <c r="AA414" s="110" t="str">
        <f t="shared" si="13"/>
        <v>7</v>
      </c>
      <c r="AB414" s="110" t="str">
        <f t="shared" si="14"/>
        <v>1</v>
      </c>
    </row>
    <row r="415" spans="2:28" x14ac:dyDescent="0.2">
      <c r="B415" s="57" t="s">
        <v>2434</v>
      </c>
      <c r="D415" s="57" t="s">
        <v>3018</v>
      </c>
      <c r="E415" s="102">
        <f>VLOOKUP(Z415&amp;"_"&amp;AA415,活动关卡!$A$32:$Z$55,5+5*AB415,FALSE)</f>
        <v>158</v>
      </c>
      <c r="F415" s="57">
        <v>1</v>
      </c>
      <c r="G415" s="57">
        <v>0</v>
      </c>
      <c r="H415" s="57">
        <v>0</v>
      </c>
      <c r="I415" s="57">
        <v>0</v>
      </c>
      <c r="Z415" s="110" t="str">
        <f t="shared" si="12"/>
        <v>5</v>
      </c>
      <c r="AA415" s="110" t="str">
        <f t="shared" si="13"/>
        <v>7</v>
      </c>
      <c r="AB415" s="110" t="str">
        <f t="shared" si="14"/>
        <v>2</v>
      </c>
    </row>
    <row r="416" spans="2:28" x14ac:dyDescent="0.2">
      <c r="B416" s="57" t="s">
        <v>2435</v>
      </c>
      <c r="D416" s="57" t="s">
        <v>3019</v>
      </c>
      <c r="E416" s="102">
        <f>VLOOKUP(Z416&amp;"_"&amp;AA416,活动关卡!$A$32:$Z$55,5+5*AB416,FALSE)</f>
        <v>79</v>
      </c>
      <c r="F416" s="57">
        <v>1</v>
      </c>
      <c r="G416" s="57">
        <v>0</v>
      </c>
      <c r="H416" s="57">
        <v>0</v>
      </c>
      <c r="I416" s="57">
        <v>0</v>
      </c>
      <c r="Z416" s="110" t="str">
        <f t="shared" si="12"/>
        <v>5</v>
      </c>
      <c r="AA416" s="110" t="str">
        <f t="shared" si="13"/>
        <v>7</v>
      </c>
      <c r="AB416" s="110" t="str">
        <f t="shared" si="14"/>
        <v>3</v>
      </c>
    </row>
    <row r="417" spans="2:28" x14ac:dyDescent="0.2">
      <c r="B417" s="57" t="s">
        <v>2436</v>
      </c>
      <c r="D417" s="57" t="s">
        <v>3020</v>
      </c>
      <c r="E417" s="102">
        <f>VLOOKUP(Z417&amp;"_"&amp;AA417,活动关卡!$A$32:$Z$55,5+5*AB417,FALSE)</f>
        <v>2371</v>
      </c>
      <c r="F417" s="57">
        <v>1</v>
      </c>
      <c r="G417" s="57">
        <v>0</v>
      </c>
      <c r="H417" s="57">
        <v>0</v>
      </c>
      <c r="I417" s="57">
        <v>0</v>
      </c>
      <c r="Z417" s="110" t="str">
        <f t="shared" si="12"/>
        <v>5</v>
      </c>
      <c r="AA417" s="110" t="str">
        <f t="shared" si="13"/>
        <v>7</v>
      </c>
      <c r="AB417" s="110" t="str">
        <f t="shared" si="14"/>
        <v>4</v>
      </c>
    </row>
    <row r="418" spans="2:28" x14ac:dyDescent="0.2">
      <c r="B418" s="57" t="s">
        <v>2437</v>
      </c>
      <c r="D418" s="57" t="s">
        <v>3021</v>
      </c>
      <c r="E418" s="102">
        <f>VLOOKUP(Z418&amp;"_"&amp;AA418,活动关卡!$A$32:$Z$55,5+5*AB418,FALSE)</f>
        <v>23650</v>
      </c>
      <c r="F418" s="57">
        <v>1</v>
      </c>
      <c r="G418" s="57">
        <v>0</v>
      </c>
      <c r="H418" s="57">
        <v>0</v>
      </c>
      <c r="I418" s="57">
        <v>0</v>
      </c>
      <c r="Z418" s="110" t="str">
        <f t="shared" si="12"/>
        <v>5</v>
      </c>
      <c r="AA418" s="110" t="str">
        <f t="shared" si="13"/>
        <v>8</v>
      </c>
      <c r="AB418" s="110" t="str">
        <f t="shared" si="14"/>
        <v>1</v>
      </c>
    </row>
    <row r="419" spans="2:28" x14ac:dyDescent="0.2">
      <c r="B419" s="57" t="s">
        <v>2438</v>
      </c>
      <c r="D419" s="57" t="s">
        <v>3022</v>
      </c>
      <c r="E419" s="102">
        <f>VLOOKUP(Z419&amp;"_"&amp;AA419,活动关卡!$A$32:$Z$55,5+5*AB419,FALSE)</f>
        <v>1182</v>
      </c>
      <c r="F419" s="57">
        <v>1</v>
      </c>
      <c r="G419" s="57">
        <v>0</v>
      </c>
      <c r="H419" s="57">
        <v>0</v>
      </c>
      <c r="I419" s="57">
        <v>0</v>
      </c>
      <c r="Z419" s="110" t="str">
        <f t="shared" si="12"/>
        <v>5</v>
      </c>
      <c r="AA419" s="110" t="str">
        <f t="shared" si="13"/>
        <v>8</v>
      </c>
      <c r="AB419" s="110" t="str">
        <f t="shared" si="14"/>
        <v>2</v>
      </c>
    </row>
    <row r="420" spans="2:28" x14ac:dyDescent="0.2">
      <c r="B420" s="57" t="s">
        <v>2439</v>
      </c>
      <c r="D420" s="57" t="s">
        <v>3023</v>
      </c>
      <c r="E420" s="102">
        <f>VLOOKUP(Z420&amp;"_"&amp;AA420,活动关卡!$A$32:$Z$55,5+5*AB420,FALSE)</f>
        <v>3547</v>
      </c>
      <c r="F420" s="57">
        <v>1</v>
      </c>
      <c r="G420" s="57">
        <v>0</v>
      </c>
      <c r="H420" s="57">
        <v>0</v>
      </c>
      <c r="I420" s="57">
        <v>0</v>
      </c>
      <c r="Z420" s="110" t="str">
        <f t="shared" si="12"/>
        <v>5</v>
      </c>
      <c r="AA420" s="110" t="str">
        <f t="shared" si="13"/>
        <v>8</v>
      </c>
      <c r="AB420" s="110" t="str">
        <f t="shared" si="14"/>
        <v>3</v>
      </c>
    </row>
    <row r="421" spans="2:28" x14ac:dyDescent="0.2">
      <c r="B421" s="57" t="s">
        <v>2440</v>
      </c>
      <c r="D421" s="57" t="s">
        <v>3024</v>
      </c>
      <c r="E421" s="102">
        <f>VLOOKUP(Z421&amp;"_"&amp;AA421,活动关卡!$A$32:$Z$55,5+5*AB421,FALSE)</f>
        <v>23650</v>
      </c>
      <c r="F421" s="57">
        <v>1</v>
      </c>
      <c r="G421" s="57">
        <v>0</v>
      </c>
      <c r="H421" s="57">
        <v>0</v>
      </c>
      <c r="I421" s="57">
        <v>0</v>
      </c>
      <c r="Z421" s="110" t="str">
        <f t="shared" si="12"/>
        <v>5</v>
      </c>
      <c r="AA421" s="110" t="str">
        <f t="shared" si="13"/>
        <v>8</v>
      </c>
      <c r="AB421" s="110" t="str">
        <f t="shared" si="14"/>
        <v>4</v>
      </c>
    </row>
    <row r="422" spans="2:28" x14ac:dyDescent="0.2">
      <c r="Z422" s="110" t="str">
        <f t="shared" si="12"/>
        <v/>
      </c>
      <c r="AA422" s="110" t="str">
        <f t="shared" si="13"/>
        <v/>
      </c>
      <c r="AB422" s="110" t="str">
        <f t="shared" si="14"/>
        <v/>
      </c>
    </row>
    <row r="423" spans="2:28" x14ac:dyDescent="0.2">
      <c r="B423" s="57" t="s">
        <v>2441</v>
      </c>
      <c r="D423" s="57" t="s">
        <v>3025</v>
      </c>
      <c r="E423" s="102">
        <f>VLOOKUP(Z423&amp;"_"&amp;AA423,活动关卡!$A$60:$Z$83,5+5*AB423,FALSE)</f>
        <v>22</v>
      </c>
      <c r="F423" s="57">
        <v>1</v>
      </c>
      <c r="G423" s="57">
        <v>0</v>
      </c>
      <c r="H423" s="57">
        <v>0</v>
      </c>
      <c r="I423" s="57">
        <v>0</v>
      </c>
      <c r="Z423" s="110" t="str">
        <f t="shared" si="12"/>
        <v>1</v>
      </c>
      <c r="AA423" s="110" t="str">
        <f t="shared" si="13"/>
        <v>1</v>
      </c>
      <c r="AB423" s="110" t="str">
        <f t="shared" si="14"/>
        <v>1</v>
      </c>
    </row>
    <row r="424" spans="2:28" x14ac:dyDescent="0.2">
      <c r="B424" s="57" t="s">
        <v>2442</v>
      </c>
      <c r="D424" s="57" t="s">
        <v>3026</v>
      </c>
      <c r="E424" s="102">
        <f>VLOOKUP(Z424&amp;"_"&amp;AA424,活动关卡!$A$60:$Z$83,5+5*AB424,FALSE)</f>
        <v>263</v>
      </c>
      <c r="F424" s="57">
        <v>1</v>
      </c>
      <c r="G424" s="57">
        <v>0</v>
      </c>
      <c r="H424" s="57">
        <v>0</v>
      </c>
      <c r="I424" s="57">
        <v>0</v>
      </c>
      <c r="Z424" s="110" t="str">
        <f t="shared" si="12"/>
        <v>1</v>
      </c>
      <c r="AA424" s="110" t="str">
        <f t="shared" si="13"/>
        <v>1</v>
      </c>
      <c r="AB424" s="110" t="str">
        <f t="shared" si="14"/>
        <v>2</v>
      </c>
    </row>
    <row r="425" spans="2:28" x14ac:dyDescent="0.2">
      <c r="B425" s="57" t="s">
        <v>2443</v>
      </c>
      <c r="D425" s="57" t="s">
        <v>3027</v>
      </c>
      <c r="E425" s="102">
        <f>VLOOKUP(Z425&amp;"_"&amp;AA425,活动关卡!$A$60:$Z$83,5+5*AB425,FALSE)</f>
        <v>59</v>
      </c>
      <c r="F425" s="57">
        <v>1</v>
      </c>
      <c r="G425" s="57">
        <v>0</v>
      </c>
      <c r="H425" s="57">
        <v>0</v>
      </c>
      <c r="I425" s="57">
        <v>0</v>
      </c>
      <c r="Z425" s="110" t="str">
        <f t="shared" si="12"/>
        <v>1</v>
      </c>
      <c r="AA425" s="110" t="str">
        <f t="shared" si="13"/>
        <v>2</v>
      </c>
      <c r="AB425" s="110" t="str">
        <f t="shared" si="14"/>
        <v>1</v>
      </c>
    </row>
    <row r="426" spans="2:28" x14ac:dyDescent="0.2">
      <c r="B426" s="57" t="s">
        <v>2444</v>
      </c>
      <c r="D426" s="57" t="s">
        <v>3028</v>
      </c>
      <c r="E426" s="102">
        <f>VLOOKUP(Z426&amp;"_"&amp;AA426,活动关卡!$A$60:$Z$83,5+5*AB426,FALSE)</f>
        <v>710</v>
      </c>
      <c r="F426" s="57">
        <v>1</v>
      </c>
      <c r="G426" s="57">
        <v>0</v>
      </c>
      <c r="H426" s="57">
        <v>0</v>
      </c>
      <c r="I426" s="57">
        <v>0</v>
      </c>
      <c r="Z426" s="110" t="str">
        <f t="shared" si="12"/>
        <v>1</v>
      </c>
      <c r="AA426" s="110" t="str">
        <f t="shared" si="13"/>
        <v>2</v>
      </c>
      <c r="AB426" s="110" t="str">
        <f t="shared" si="14"/>
        <v>2</v>
      </c>
    </row>
    <row r="427" spans="2:28" x14ac:dyDescent="0.2">
      <c r="B427" s="57" t="s">
        <v>2445</v>
      </c>
      <c r="D427" s="57" t="s">
        <v>3029</v>
      </c>
      <c r="E427" s="102">
        <f>VLOOKUP(Z427&amp;"_"&amp;AA427,活动关卡!$A$60:$Z$83,5+5*AB427,FALSE)</f>
        <v>64</v>
      </c>
      <c r="F427" s="57">
        <v>1</v>
      </c>
      <c r="G427" s="57">
        <v>0</v>
      </c>
      <c r="H427" s="57">
        <v>0</v>
      </c>
      <c r="I427" s="57">
        <v>0</v>
      </c>
      <c r="Z427" s="110" t="str">
        <f t="shared" ref="Z427:Z490" si="15">LEFT(RIGHT(D427,5),1)</f>
        <v>1</v>
      </c>
      <c r="AA427" s="110" t="str">
        <f t="shared" ref="AA427:AA490" si="16">LEFT(RIGHT(D427,3),1)</f>
        <v>3</v>
      </c>
      <c r="AB427" s="110" t="str">
        <f t="shared" ref="AB427:AB490" si="17">RIGHT(D427,1)</f>
        <v>1</v>
      </c>
    </row>
    <row r="428" spans="2:28" x14ac:dyDescent="0.2">
      <c r="B428" s="57" t="s">
        <v>2446</v>
      </c>
      <c r="D428" s="57" t="s">
        <v>3030</v>
      </c>
      <c r="E428" s="102">
        <f>VLOOKUP(Z428&amp;"_"&amp;AA428,活动关卡!$A$60:$Z$83,5+5*AB428,FALSE)</f>
        <v>254</v>
      </c>
      <c r="F428" s="57">
        <v>1</v>
      </c>
      <c r="G428" s="57">
        <v>0</v>
      </c>
      <c r="H428" s="57">
        <v>0</v>
      </c>
      <c r="I428" s="57">
        <v>0</v>
      </c>
      <c r="Z428" s="110" t="str">
        <f t="shared" si="15"/>
        <v>1</v>
      </c>
      <c r="AA428" s="110" t="str">
        <f t="shared" si="16"/>
        <v>3</v>
      </c>
      <c r="AB428" s="110" t="str">
        <f t="shared" si="17"/>
        <v>2</v>
      </c>
    </row>
    <row r="429" spans="2:28" x14ac:dyDescent="0.2">
      <c r="B429" s="57" t="s">
        <v>2447</v>
      </c>
      <c r="D429" s="57" t="s">
        <v>3031</v>
      </c>
      <c r="E429" s="102">
        <f>VLOOKUP(Z429&amp;"_"&amp;AA429,活动关卡!$A$60:$Z$83,5+5*AB429,FALSE)</f>
        <v>762</v>
      </c>
      <c r="F429" s="57">
        <v>1</v>
      </c>
      <c r="G429" s="57">
        <v>0</v>
      </c>
      <c r="H429" s="57">
        <v>0</v>
      </c>
      <c r="I429" s="57">
        <v>0</v>
      </c>
      <c r="Z429" s="110" t="str">
        <f t="shared" si="15"/>
        <v>1</v>
      </c>
      <c r="AA429" s="110" t="str">
        <f t="shared" si="16"/>
        <v>3</v>
      </c>
      <c r="AB429" s="110" t="str">
        <f t="shared" si="17"/>
        <v>3</v>
      </c>
    </row>
    <row r="430" spans="2:28" x14ac:dyDescent="0.2">
      <c r="B430" s="57" t="s">
        <v>2448</v>
      </c>
      <c r="D430" s="57" t="s">
        <v>3032</v>
      </c>
      <c r="E430" s="102">
        <f>VLOOKUP(Z430&amp;"_"&amp;AA430,活动关卡!$A$60:$Z$83,5+5*AB430,FALSE)</f>
        <v>26</v>
      </c>
      <c r="F430" s="57">
        <v>1</v>
      </c>
      <c r="G430" s="57">
        <v>0</v>
      </c>
      <c r="H430" s="57">
        <v>0</v>
      </c>
      <c r="I430" s="57">
        <v>0</v>
      </c>
      <c r="Z430" s="110" t="str">
        <f t="shared" si="15"/>
        <v>2</v>
      </c>
      <c r="AA430" s="110" t="str">
        <f t="shared" si="16"/>
        <v>1</v>
      </c>
      <c r="AB430" s="110" t="str">
        <f t="shared" si="17"/>
        <v>1</v>
      </c>
    </row>
    <row r="431" spans="2:28" x14ac:dyDescent="0.2">
      <c r="B431" s="57" t="s">
        <v>2449</v>
      </c>
      <c r="D431" s="57" t="s">
        <v>3033</v>
      </c>
      <c r="E431" s="102">
        <f>VLOOKUP(Z431&amp;"_"&amp;AA431,活动关卡!$A$60:$Z$83,5+5*AB431,FALSE)</f>
        <v>154</v>
      </c>
      <c r="F431" s="57">
        <v>1</v>
      </c>
      <c r="G431" s="57">
        <v>0</v>
      </c>
      <c r="H431" s="57">
        <v>0</v>
      </c>
      <c r="I431" s="57">
        <v>0</v>
      </c>
      <c r="Z431" s="110" t="str">
        <f t="shared" si="15"/>
        <v>2</v>
      </c>
      <c r="AA431" s="110" t="str">
        <f t="shared" si="16"/>
        <v>1</v>
      </c>
      <c r="AB431" s="110" t="str">
        <f t="shared" si="17"/>
        <v>2</v>
      </c>
    </row>
    <row r="432" spans="2:28" x14ac:dyDescent="0.2">
      <c r="B432" s="57" t="s">
        <v>2450</v>
      </c>
      <c r="D432" s="57" t="s">
        <v>3034</v>
      </c>
      <c r="E432" s="102">
        <f>VLOOKUP(Z432&amp;"_"&amp;AA432,活动关卡!$A$60:$Z$83,5+5*AB432,FALSE)</f>
        <v>120</v>
      </c>
      <c r="F432" s="57">
        <v>1</v>
      </c>
      <c r="G432" s="57">
        <v>0</v>
      </c>
      <c r="H432" s="57">
        <v>0</v>
      </c>
      <c r="I432" s="57">
        <v>0</v>
      </c>
      <c r="Z432" s="110" t="str">
        <f t="shared" si="15"/>
        <v>2</v>
      </c>
      <c r="AA432" s="110" t="str">
        <f t="shared" si="16"/>
        <v>2</v>
      </c>
      <c r="AB432" s="110" t="str">
        <f t="shared" si="17"/>
        <v>1</v>
      </c>
    </row>
    <row r="433" spans="2:28" x14ac:dyDescent="0.2">
      <c r="B433" s="57" t="s">
        <v>2451</v>
      </c>
      <c r="D433" s="57" t="s">
        <v>3035</v>
      </c>
      <c r="E433" s="102">
        <f>VLOOKUP(Z433&amp;"_"&amp;AA433,活动关卡!$A$60:$Z$83,5+5*AB433,FALSE)</f>
        <v>240</v>
      </c>
      <c r="F433" s="57">
        <v>1</v>
      </c>
      <c r="G433" s="57">
        <v>0</v>
      </c>
      <c r="H433" s="57">
        <v>0</v>
      </c>
      <c r="I433" s="57">
        <v>0</v>
      </c>
      <c r="Z433" s="110" t="str">
        <f t="shared" si="15"/>
        <v>2</v>
      </c>
      <c r="AA433" s="110" t="str">
        <f t="shared" si="16"/>
        <v>2</v>
      </c>
      <c r="AB433" s="110" t="str">
        <f t="shared" si="17"/>
        <v>2</v>
      </c>
    </row>
    <row r="434" spans="2:28" x14ac:dyDescent="0.2">
      <c r="B434" s="57" t="s">
        <v>2452</v>
      </c>
      <c r="D434" s="57" t="s">
        <v>3036</v>
      </c>
      <c r="E434" s="102">
        <f>VLOOKUP(Z434&amp;"_"&amp;AA434,活动关卡!$A$60:$Z$83,5+5*AB434,FALSE)</f>
        <v>720</v>
      </c>
      <c r="F434" s="57">
        <v>1</v>
      </c>
      <c r="G434" s="57">
        <v>0</v>
      </c>
      <c r="H434" s="57">
        <v>0</v>
      </c>
      <c r="I434" s="57">
        <v>0</v>
      </c>
      <c r="Z434" s="110" t="str">
        <f t="shared" si="15"/>
        <v>2</v>
      </c>
      <c r="AA434" s="110" t="str">
        <f t="shared" si="16"/>
        <v>2</v>
      </c>
      <c r="AB434" s="110" t="str">
        <f t="shared" si="17"/>
        <v>3</v>
      </c>
    </row>
    <row r="435" spans="2:28" x14ac:dyDescent="0.2">
      <c r="B435" s="57" t="s">
        <v>2453</v>
      </c>
      <c r="D435" s="57" t="s">
        <v>3037</v>
      </c>
      <c r="E435" s="102">
        <f>VLOOKUP(Z435&amp;"_"&amp;AA435,活动关卡!$A$60:$Z$83,5+5*AB435,FALSE)</f>
        <v>115</v>
      </c>
      <c r="F435" s="57">
        <v>1</v>
      </c>
      <c r="G435" s="57">
        <v>0</v>
      </c>
      <c r="H435" s="57">
        <v>0</v>
      </c>
      <c r="I435" s="57">
        <v>0</v>
      </c>
      <c r="Z435" s="110" t="str">
        <f t="shared" si="15"/>
        <v>2</v>
      </c>
      <c r="AA435" s="110" t="str">
        <f t="shared" si="16"/>
        <v>3</v>
      </c>
      <c r="AB435" s="110" t="str">
        <f t="shared" si="17"/>
        <v>1</v>
      </c>
    </row>
    <row r="436" spans="2:28" x14ac:dyDescent="0.2">
      <c r="B436" s="57" t="s">
        <v>2454</v>
      </c>
      <c r="D436" s="57" t="s">
        <v>3038</v>
      </c>
      <c r="E436" s="102">
        <f>VLOOKUP(Z436&amp;"_"&amp;AA436,活动关卡!$A$60:$Z$83,5+5*AB436,FALSE)</f>
        <v>58</v>
      </c>
      <c r="F436" s="57">
        <v>1</v>
      </c>
      <c r="G436" s="57">
        <v>0</v>
      </c>
      <c r="H436" s="57">
        <v>0</v>
      </c>
      <c r="I436" s="57">
        <v>0</v>
      </c>
      <c r="Z436" s="110" t="str">
        <f t="shared" si="15"/>
        <v>2</v>
      </c>
      <c r="AA436" s="110" t="str">
        <f t="shared" si="16"/>
        <v>3</v>
      </c>
      <c r="AB436" s="110" t="str">
        <f t="shared" si="17"/>
        <v>2</v>
      </c>
    </row>
    <row r="437" spans="2:28" x14ac:dyDescent="0.2">
      <c r="B437" s="57" t="s">
        <v>2455</v>
      </c>
      <c r="D437" s="57" t="s">
        <v>3039</v>
      </c>
      <c r="E437" s="102">
        <f>VLOOKUP(Z437&amp;"_"&amp;AA437,活动关卡!$A$60:$Z$83,5+5*AB437,FALSE)</f>
        <v>691</v>
      </c>
      <c r="F437" s="57">
        <v>1</v>
      </c>
      <c r="G437" s="57">
        <v>0</v>
      </c>
      <c r="H437" s="57">
        <v>0</v>
      </c>
      <c r="I437" s="57">
        <v>0</v>
      </c>
      <c r="Z437" s="110" t="str">
        <f t="shared" si="15"/>
        <v>2</v>
      </c>
      <c r="AA437" s="110" t="str">
        <f t="shared" si="16"/>
        <v>3</v>
      </c>
      <c r="AB437" s="110" t="str">
        <f t="shared" si="17"/>
        <v>3</v>
      </c>
    </row>
    <row r="438" spans="2:28" x14ac:dyDescent="0.2">
      <c r="B438" s="57" t="s">
        <v>2456</v>
      </c>
      <c r="D438" s="57" t="s">
        <v>3040</v>
      </c>
      <c r="E438" s="102">
        <f>VLOOKUP(Z438&amp;"_"&amp;AA438,活动关卡!$A$60:$Z$83,5+5*AB438,FALSE)</f>
        <v>104</v>
      </c>
      <c r="F438" s="57">
        <v>1</v>
      </c>
      <c r="G438" s="57">
        <v>0</v>
      </c>
      <c r="H438" s="57">
        <v>0</v>
      </c>
      <c r="I438" s="57">
        <v>0</v>
      </c>
      <c r="Z438" s="110" t="str">
        <f t="shared" si="15"/>
        <v>2</v>
      </c>
      <c r="AA438" s="110" t="str">
        <f t="shared" si="16"/>
        <v>4</v>
      </c>
      <c r="AB438" s="110" t="str">
        <f t="shared" si="17"/>
        <v>1</v>
      </c>
    </row>
    <row r="439" spans="2:28" x14ac:dyDescent="0.2">
      <c r="B439" s="57" t="s">
        <v>2457</v>
      </c>
      <c r="D439" s="57" t="s">
        <v>3041</v>
      </c>
      <c r="E439" s="102">
        <f>VLOOKUP(Z439&amp;"_"&amp;AA439,活动关卡!$A$60:$Z$83,5+5*AB439,FALSE)</f>
        <v>52</v>
      </c>
      <c r="F439" s="57">
        <v>1</v>
      </c>
      <c r="G439" s="57">
        <v>0</v>
      </c>
      <c r="H439" s="57">
        <v>0</v>
      </c>
      <c r="I439" s="57">
        <v>0</v>
      </c>
      <c r="Z439" s="110" t="str">
        <f t="shared" si="15"/>
        <v>2</v>
      </c>
      <c r="AA439" s="110" t="str">
        <f t="shared" si="16"/>
        <v>4</v>
      </c>
      <c r="AB439" s="110" t="str">
        <f t="shared" si="17"/>
        <v>2</v>
      </c>
    </row>
    <row r="440" spans="2:28" x14ac:dyDescent="0.2">
      <c r="B440" s="57" t="s">
        <v>2458</v>
      </c>
      <c r="D440" s="57" t="s">
        <v>3042</v>
      </c>
      <c r="E440" s="102">
        <f>VLOOKUP(Z440&amp;"_"&amp;AA440,活动关卡!$A$60:$Z$83,5+5*AB440,FALSE)</f>
        <v>208</v>
      </c>
      <c r="F440" s="57">
        <v>1</v>
      </c>
      <c r="G440" s="57">
        <v>0</v>
      </c>
      <c r="H440" s="57">
        <v>0</v>
      </c>
      <c r="I440" s="57">
        <v>0</v>
      </c>
      <c r="Z440" s="110" t="str">
        <f t="shared" si="15"/>
        <v>2</v>
      </c>
      <c r="AA440" s="110" t="str">
        <f t="shared" si="16"/>
        <v>4</v>
      </c>
      <c r="AB440" s="110" t="str">
        <f t="shared" si="17"/>
        <v>3</v>
      </c>
    </row>
    <row r="441" spans="2:28" x14ac:dyDescent="0.2">
      <c r="B441" s="57" t="s">
        <v>2459</v>
      </c>
      <c r="D441" s="57" t="s">
        <v>3043</v>
      </c>
      <c r="E441" s="102">
        <f>VLOOKUP(Z441&amp;"_"&amp;AA441,活动关卡!$A$60:$Z$83,5+5*AB441,FALSE)</f>
        <v>623</v>
      </c>
      <c r="F441" s="57">
        <v>1</v>
      </c>
      <c r="G441" s="57">
        <v>0</v>
      </c>
      <c r="H441" s="57">
        <v>0</v>
      </c>
      <c r="I441" s="57">
        <v>0</v>
      </c>
      <c r="Z441" s="110" t="str">
        <f t="shared" si="15"/>
        <v>2</v>
      </c>
      <c r="AA441" s="110" t="str">
        <f t="shared" si="16"/>
        <v>4</v>
      </c>
      <c r="AB441" s="110" t="str">
        <f t="shared" si="17"/>
        <v>4</v>
      </c>
    </row>
    <row r="442" spans="2:28" x14ac:dyDescent="0.2">
      <c r="B442" s="57" t="s">
        <v>2460</v>
      </c>
      <c r="D442" s="57" t="s">
        <v>3044</v>
      </c>
      <c r="E442" s="102">
        <f>VLOOKUP(Z442&amp;"_"&amp;AA442,活动关卡!$A$60:$Z$83,5+5*AB442,FALSE)</f>
        <v>166</v>
      </c>
      <c r="F442" s="57">
        <v>1</v>
      </c>
      <c r="G442" s="57">
        <v>0</v>
      </c>
      <c r="H442" s="57">
        <v>0</v>
      </c>
      <c r="I442" s="57">
        <v>0</v>
      </c>
      <c r="Z442" s="110" t="str">
        <f t="shared" si="15"/>
        <v>2</v>
      </c>
      <c r="AA442" s="110" t="str">
        <f t="shared" si="16"/>
        <v>5</v>
      </c>
      <c r="AB442" s="110" t="str">
        <f t="shared" si="17"/>
        <v>1</v>
      </c>
    </row>
    <row r="443" spans="2:28" x14ac:dyDescent="0.2">
      <c r="B443" s="57" t="s">
        <v>2461</v>
      </c>
      <c r="D443" s="57" t="s">
        <v>3045</v>
      </c>
      <c r="E443" s="102">
        <f>VLOOKUP(Z443&amp;"_"&amp;AA443,活动关卡!$A$60:$Z$83,5+5*AB443,FALSE)</f>
        <v>83</v>
      </c>
      <c r="F443" s="57">
        <v>1</v>
      </c>
      <c r="G443" s="57">
        <v>0</v>
      </c>
      <c r="H443" s="57">
        <v>0</v>
      </c>
      <c r="I443" s="57">
        <v>0</v>
      </c>
      <c r="Z443" s="110" t="str">
        <f t="shared" si="15"/>
        <v>2</v>
      </c>
      <c r="AA443" s="110" t="str">
        <f t="shared" si="16"/>
        <v>5</v>
      </c>
      <c r="AB443" s="110" t="str">
        <f t="shared" si="17"/>
        <v>2</v>
      </c>
    </row>
    <row r="444" spans="2:28" x14ac:dyDescent="0.2">
      <c r="B444" s="57" t="s">
        <v>2462</v>
      </c>
      <c r="D444" s="57" t="s">
        <v>3046</v>
      </c>
      <c r="E444" s="102">
        <f>VLOOKUP(Z444&amp;"_"&amp;AA444,活动关卡!$A$60:$Z$83,5+5*AB444,FALSE)</f>
        <v>332</v>
      </c>
      <c r="F444" s="57">
        <v>1</v>
      </c>
      <c r="G444" s="57">
        <v>0</v>
      </c>
      <c r="H444" s="57">
        <v>0</v>
      </c>
      <c r="I444" s="57">
        <v>0</v>
      </c>
      <c r="Z444" s="110" t="str">
        <f t="shared" si="15"/>
        <v>2</v>
      </c>
      <c r="AA444" s="110" t="str">
        <f t="shared" si="16"/>
        <v>5</v>
      </c>
      <c r="AB444" s="110" t="str">
        <f t="shared" si="17"/>
        <v>3</v>
      </c>
    </row>
    <row r="445" spans="2:28" x14ac:dyDescent="0.2">
      <c r="B445" s="57" t="s">
        <v>2463</v>
      </c>
      <c r="D445" s="57" t="s">
        <v>3047</v>
      </c>
      <c r="E445" s="102">
        <f>VLOOKUP(Z445&amp;"_"&amp;AA445,活动关卡!$A$60:$Z$83,5+5*AB445,FALSE)</f>
        <v>997</v>
      </c>
      <c r="F445" s="57">
        <v>1</v>
      </c>
      <c r="G445" s="57">
        <v>0</v>
      </c>
      <c r="H445" s="57">
        <v>0</v>
      </c>
      <c r="I445" s="57">
        <v>0</v>
      </c>
      <c r="Z445" s="110" t="str">
        <f t="shared" si="15"/>
        <v>2</v>
      </c>
      <c r="AA445" s="110" t="str">
        <f t="shared" si="16"/>
        <v>5</v>
      </c>
      <c r="AB445" s="110" t="str">
        <f t="shared" si="17"/>
        <v>4</v>
      </c>
    </row>
    <row r="446" spans="2:28" x14ac:dyDescent="0.2">
      <c r="B446" s="57" t="s">
        <v>2464</v>
      </c>
      <c r="D446" s="57" t="s">
        <v>3048</v>
      </c>
      <c r="E446" s="102">
        <f>VLOOKUP(Z446&amp;"_"&amp;AA446,活动关卡!$A$60:$Z$83,5+5*AB446,FALSE)</f>
        <v>44</v>
      </c>
      <c r="F446" s="57">
        <v>1</v>
      </c>
      <c r="G446" s="57">
        <v>0</v>
      </c>
      <c r="H446" s="57">
        <v>0</v>
      </c>
      <c r="I446" s="57">
        <v>0</v>
      </c>
      <c r="Z446" s="110" t="str">
        <f t="shared" si="15"/>
        <v>3</v>
      </c>
      <c r="AA446" s="110" t="str">
        <f t="shared" si="16"/>
        <v>1</v>
      </c>
      <c r="AB446" s="110" t="str">
        <f t="shared" si="17"/>
        <v>1</v>
      </c>
    </row>
    <row r="447" spans="2:28" x14ac:dyDescent="0.2">
      <c r="B447" s="57" t="s">
        <v>2465</v>
      </c>
      <c r="D447" s="57" t="s">
        <v>3049</v>
      </c>
      <c r="E447" s="102">
        <f>VLOOKUP(Z447&amp;"_"&amp;AA447,活动关卡!$A$60:$Z$83,5+5*AB447,FALSE)</f>
        <v>176</v>
      </c>
      <c r="F447" s="57">
        <v>1</v>
      </c>
      <c r="G447" s="57">
        <v>0</v>
      </c>
      <c r="H447" s="57">
        <v>0</v>
      </c>
      <c r="I447" s="57">
        <v>0</v>
      </c>
      <c r="Z447" s="110" t="str">
        <f t="shared" si="15"/>
        <v>3</v>
      </c>
      <c r="AA447" s="110" t="str">
        <f t="shared" si="16"/>
        <v>1</v>
      </c>
      <c r="AB447" s="110" t="str">
        <f t="shared" si="17"/>
        <v>2</v>
      </c>
    </row>
    <row r="448" spans="2:28" x14ac:dyDescent="0.2">
      <c r="B448" s="57" t="s">
        <v>2466</v>
      </c>
      <c r="D448" s="57" t="s">
        <v>3050</v>
      </c>
      <c r="E448" s="102">
        <f>VLOOKUP(Z448&amp;"_"&amp;AA448,活动关卡!$A$60:$Z$83,5+5*AB448,FALSE)</f>
        <v>127</v>
      </c>
      <c r="F448" s="57">
        <v>1</v>
      </c>
      <c r="G448" s="57">
        <v>0</v>
      </c>
      <c r="H448" s="57">
        <v>0</v>
      </c>
      <c r="I448" s="57">
        <v>0</v>
      </c>
      <c r="Z448" s="110" t="str">
        <f t="shared" si="15"/>
        <v>3</v>
      </c>
      <c r="AA448" s="110" t="str">
        <f t="shared" si="16"/>
        <v>2</v>
      </c>
      <c r="AB448" s="110" t="str">
        <f t="shared" si="17"/>
        <v>1</v>
      </c>
    </row>
    <row r="449" spans="2:28" x14ac:dyDescent="0.2">
      <c r="B449" s="57" t="s">
        <v>2467</v>
      </c>
      <c r="D449" s="57" t="s">
        <v>3051</v>
      </c>
      <c r="E449" s="102">
        <f>VLOOKUP(Z449&amp;"_"&amp;AA449,活动关卡!$A$60:$Z$83,5+5*AB449,FALSE)</f>
        <v>85</v>
      </c>
      <c r="F449" s="57">
        <v>1</v>
      </c>
      <c r="G449" s="57">
        <v>0</v>
      </c>
      <c r="H449" s="57">
        <v>0</v>
      </c>
      <c r="I449" s="57">
        <v>0</v>
      </c>
      <c r="Z449" s="110" t="str">
        <f t="shared" si="15"/>
        <v>3</v>
      </c>
      <c r="AA449" s="110" t="str">
        <f t="shared" si="16"/>
        <v>2</v>
      </c>
      <c r="AB449" s="110" t="str">
        <f t="shared" si="17"/>
        <v>2</v>
      </c>
    </row>
    <row r="450" spans="2:28" x14ac:dyDescent="0.2">
      <c r="B450" s="57" t="s">
        <v>2468</v>
      </c>
      <c r="D450" s="57" t="s">
        <v>3052</v>
      </c>
      <c r="E450" s="102">
        <f>VLOOKUP(Z450&amp;"_"&amp;AA450,活动关卡!$A$60:$Z$83,5+5*AB450,FALSE)</f>
        <v>508</v>
      </c>
      <c r="F450" s="57">
        <v>1</v>
      </c>
      <c r="G450" s="57">
        <v>0</v>
      </c>
      <c r="H450" s="57">
        <v>0</v>
      </c>
      <c r="I450" s="57">
        <v>0</v>
      </c>
      <c r="Z450" s="110" t="str">
        <f t="shared" si="15"/>
        <v>3</v>
      </c>
      <c r="AA450" s="110" t="str">
        <f t="shared" si="16"/>
        <v>2</v>
      </c>
      <c r="AB450" s="110" t="str">
        <f t="shared" si="17"/>
        <v>3</v>
      </c>
    </row>
    <row r="451" spans="2:28" x14ac:dyDescent="0.2">
      <c r="B451" s="57" t="s">
        <v>2469</v>
      </c>
      <c r="D451" s="57" t="s">
        <v>3053</v>
      </c>
      <c r="E451" s="102">
        <f>VLOOKUP(Z451&amp;"_"&amp;AA451,活动关卡!$A$60:$Z$83,5+5*AB451,FALSE)</f>
        <v>508</v>
      </c>
      <c r="F451" s="57">
        <v>1</v>
      </c>
      <c r="G451" s="57">
        <v>0</v>
      </c>
      <c r="H451" s="57">
        <v>0</v>
      </c>
      <c r="I451" s="57">
        <v>0</v>
      </c>
      <c r="Z451" s="110" t="str">
        <f t="shared" si="15"/>
        <v>3</v>
      </c>
      <c r="AA451" s="110" t="str">
        <f t="shared" si="16"/>
        <v>3</v>
      </c>
      <c r="AB451" s="110" t="str">
        <f t="shared" si="17"/>
        <v>1</v>
      </c>
    </row>
    <row r="452" spans="2:28" x14ac:dyDescent="0.2">
      <c r="B452" s="57" t="s">
        <v>2470</v>
      </c>
      <c r="D452" s="57" t="s">
        <v>3054</v>
      </c>
      <c r="E452" s="102">
        <f>VLOOKUP(Z452&amp;"_"&amp;AA452,活动关卡!$A$60:$Z$83,5+5*AB452,FALSE)</f>
        <v>85</v>
      </c>
      <c r="F452" s="57">
        <v>1</v>
      </c>
      <c r="G452" s="57">
        <v>0</v>
      </c>
      <c r="H452" s="57">
        <v>0</v>
      </c>
      <c r="I452" s="57">
        <v>0</v>
      </c>
      <c r="Z452" s="110" t="str">
        <f t="shared" si="15"/>
        <v>3</v>
      </c>
      <c r="AA452" s="110" t="str">
        <f t="shared" si="16"/>
        <v>3</v>
      </c>
      <c r="AB452" s="110" t="str">
        <f t="shared" si="17"/>
        <v>2</v>
      </c>
    </row>
    <row r="453" spans="2:28" x14ac:dyDescent="0.2">
      <c r="B453" s="57" t="s">
        <v>2471</v>
      </c>
      <c r="D453" s="57" t="s">
        <v>3055</v>
      </c>
      <c r="E453" s="102">
        <f>VLOOKUP(Z453&amp;"_"&amp;AA453,活动关卡!$A$60:$Z$83,5+5*AB453,FALSE)</f>
        <v>2033</v>
      </c>
      <c r="F453" s="57">
        <v>1</v>
      </c>
      <c r="G453" s="57">
        <v>0</v>
      </c>
      <c r="H453" s="57">
        <v>0</v>
      </c>
      <c r="I453" s="57">
        <v>0</v>
      </c>
      <c r="Z453" s="110" t="str">
        <f t="shared" si="15"/>
        <v>3</v>
      </c>
      <c r="AA453" s="110" t="str">
        <f t="shared" si="16"/>
        <v>3</v>
      </c>
      <c r="AB453" s="110" t="str">
        <f t="shared" si="17"/>
        <v>3</v>
      </c>
    </row>
    <row r="454" spans="2:28" x14ac:dyDescent="0.2">
      <c r="B454" s="57" t="s">
        <v>2472</v>
      </c>
      <c r="D454" s="57" t="s">
        <v>3056</v>
      </c>
      <c r="E454" s="102">
        <f>VLOOKUP(Z454&amp;"_"&amp;AA454,活动关卡!$A$60:$Z$83,5+5*AB454,FALSE)</f>
        <v>34</v>
      </c>
      <c r="F454" s="57">
        <v>1</v>
      </c>
      <c r="G454" s="57">
        <v>0</v>
      </c>
      <c r="H454" s="57">
        <v>0</v>
      </c>
      <c r="I454" s="57">
        <v>0</v>
      </c>
      <c r="Z454" s="110" t="str">
        <f t="shared" si="15"/>
        <v>4</v>
      </c>
      <c r="AA454" s="110" t="str">
        <f t="shared" si="16"/>
        <v>1</v>
      </c>
      <c r="AB454" s="110" t="str">
        <f t="shared" si="17"/>
        <v>1</v>
      </c>
    </row>
    <row r="455" spans="2:28" x14ac:dyDescent="0.2">
      <c r="B455" s="57" t="s">
        <v>2473</v>
      </c>
      <c r="D455" s="57" t="s">
        <v>3057</v>
      </c>
      <c r="E455" s="102">
        <f>VLOOKUP(Z455&amp;"_"&amp;AA455,活动关卡!$A$60:$Z$83,5+5*AB455,FALSE)</f>
        <v>403</v>
      </c>
      <c r="F455" s="57">
        <v>1</v>
      </c>
      <c r="G455" s="57">
        <v>0</v>
      </c>
      <c r="H455" s="57">
        <v>0</v>
      </c>
      <c r="I455" s="57">
        <v>0</v>
      </c>
      <c r="Z455" s="110" t="str">
        <f t="shared" si="15"/>
        <v>4</v>
      </c>
      <c r="AA455" s="110" t="str">
        <f t="shared" si="16"/>
        <v>1</v>
      </c>
      <c r="AB455" s="110" t="str">
        <f t="shared" si="17"/>
        <v>2</v>
      </c>
    </row>
    <row r="456" spans="2:28" x14ac:dyDescent="0.2">
      <c r="B456" s="57" t="s">
        <v>2474</v>
      </c>
      <c r="D456" s="57" t="s">
        <v>3058</v>
      </c>
      <c r="E456" s="102">
        <f>VLOOKUP(Z456&amp;"_"&amp;AA456,活动关卡!$A$60:$Z$83,5+5*AB456,FALSE)</f>
        <v>138</v>
      </c>
      <c r="F456" s="57">
        <v>1</v>
      </c>
      <c r="G456" s="57">
        <v>0</v>
      </c>
      <c r="H456" s="57">
        <v>0</v>
      </c>
      <c r="I456" s="57">
        <v>0</v>
      </c>
      <c r="Z456" s="110" t="str">
        <f t="shared" si="15"/>
        <v>4</v>
      </c>
      <c r="AA456" s="110" t="str">
        <f t="shared" si="16"/>
        <v>2</v>
      </c>
      <c r="AB456" s="110" t="str">
        <f t="shared" si="17"/>
        <v>1</v>
      </c>
    </row>
    <row r="457" spans="2:28" x14ac:dyDescent="0.2">
      <c r="B457" s="57" t="s">
        <v>2475</v>
      </c>
      <c r="D457" s="57" t="s">
        <v>3059</v>
      </c>
      <c r="E457" s="102">
        <f>VLOOKUP(Z457&amp;"_"&amp;AA457,活动关卡!$A$60:$Z$83,5+5*AB457,FALSE)</f>
        <v>277</v>
      </c>
      <c r="F457" s="57">
        <v>1</v>
      </c>
      <c r="G457" s="57">
        <v>0</v>
      </c>
      <c r="H457" s="57">
        <v>0</v>
      </c>
      <c r="I457" s="57">
        <v>0</v>
      </c>
      <c r="Z457" s="110" t="str">
        <f t="shared" si="15"/>
        <v>4</v>
      </c>
      <c r="AA457" s="110" t="str">
        <f t="shared" si="16"/>
        <v>2</v>
      </c>
      <c r="AB457" s="110" t="str">
        <f t="shared" si="17"/>
        <v>2</v>
      </c>
    </row>
    <row r="458" spans="2:28" x14ac:dyDescent="0.2">
      <c r="B458" s="57" t="s">
        <v>2476</v>
      </c>
      <c r="D458" s="57" t="s">
        <v>3060</v>
      </c>
      <c r="E458" s="102">
        <f>VLOOKUP(Z458&amp;"_"&amp;AA458,活动关卡!$A$60:$Z$83,5+5*AB458,FALSE)</f>
        <v>1662</v>
      </c>
      <c r="F458" s="57">
        <v>1</v>
      </c>
      <c r="G458" s="57">
        <v>0</v>
      </c>
      <c r="H458" s="57">
        <v>0</v>
      </c>
      <c r="I458" s="57">
        <v>0</v>
      </c>
      <c r="Z458" s="110" t="str">
        <f t="shared" si="15"/>
        <v>4</v>
      </c>
      <c r="AA458" s="110" t="str">
        <f t="shared" si="16"/>
        <v>2</v>
      </c>
      <c r="AB458" s="110" t="str">
        <f t="shared" si="17"/>
        <v>3</v>
      </c>
    </row>
    <row r="459" spans="2:28" x14ac:dyDescent="0.2">
      <c r="B459" s="57" t="s">
        <v>2477</v>
      </c>
      <c r="D459" s="57" t="s">
        <v>3061</v>
      </c>
      <c r="E459" s="102">
        <f>VLOOKUP(Z459&amp;"_"&amp;AA459,活动关卡!$A$60:$Z$83,5+5*AB459,FALSE)</f>
        <v>452</v>
      </c>
      <c r="F459" s="57">
        <v>1</v>
      </c>
      <c r="G459" s="57">
        <v>0</v>
      </c>
      <c r="H459" s="57">
        <v>0</v>
      </c>
      <c r="I459" s="57">
        <v>0</v>
      </c>
      <c r="Z459" s="110" t="str">
        <f t="shared" si="15"/>
        <v>4</v>
      </c>
      <c r="AA459" s="110" t="str">
        <f t="shared" si="16"/>
        <v>3</v>
      </c>
      <c r="AB459" s="110" t="str">
        <f t="shared" si="17"/>
        <v>1</v>
      </c>
    </row>
    <row r="460" spans="2:28" x14ac:dyDescent="0.2">
      <c r="B460" s="57" t="s">
        <v>2478</v>
      </c>
      <c r="D460" s="57" t="s">
        <v>3062</v>
      </c>
      <c r="E460" s="102">
        <f>VLOOKUP(Z460&amp;"_"&amp;AA460,活动关卡!$A$60:$Z$83,5+5*AB460,FALSE)</f>
        <v>226</v>
      </c>
      <c r="F460" s="57">
        <v>1</v>
      </c>
      <c r="G460" s="57">
        <v>0</v>
      </c>
      <c r="H460" s="57">
        <v>0</v>
      </c>
      <c r="I460" s="57">
        <v>0</v>
      </c>
      <c r="Z460" s="110" t="str">
        <f t="shared" si="15"/>
        <v>4</v>
      </c>
      <c r="AA460" s="110" t="str">
        <f t="shared" si="16"/>
        <v>3</v>
      </c>
      <c r="AB460" s="110" t="str">
        <f t="shared" si="17"/>
        <v>2</v>
      </c>
    </row>
    <row r="461" spans="2:28" x14ac:dyDescent="0.2">
      <c r="B461" s="57" t="s">
        <v>2479</v>
      </c>
      <c r="D461" s="57" t="s">
        <v>3063</v>
      </c>
      <c r="E461" s="102">
        <f>VLOOKUP(Z461&amp;"_"&amp;AA461,活动关卡!$A$60:$Z$83,5+5*AB461,FALSE)</f>
        <v>5419</v>
      </c>
      <c r="F461" s="57">
        <v>1</v>
      </c>
      <c r="G461" s="57">
        <v>0</v>
      </c>
      <c r="H461" s="57">
        <v>0</v>
      </c>
      <c r="I461" s="57">
        <v>0</v>
      </c>
      <c r="Z461" s="110" t="str">
        <f t="shared" si="15"/>
        <v>4</v>
      </c>
      <c r="AA461" s="110" t="str">
        <f t="shared" si="16"/>
        <v>3</v>
      </c>
      <c r="AB461" s="110" t="str">
        <f t="shared" si="17"/>
        <v>3</v>
      </c>
    </row>
    <row r="462" spans="2:28" x14ac:dyDescent="0.2">
      <c r="B462" s="57" t="s">
        <v>2480</v>
      </c>
      <c r="D462" s="57" t="s">
        <v>3064</v>
      </c>
      <c r="E462" s="102">
        <f>VLOOKUP(Z462&amp;"_"&amp;AA462,活动关卡!$A$60:$Z$83,5+5*AB462,FALSE)</f>
        <v>50</v>
      </c>
      <c r="F462" s="57">
        <v>1</v>
      </c>
      <c r="G462" s="57">
        <v>0</v>
      </c>
      <c r="H462" s="57">
        <v>0</v>
      </c>
      <c r="I462" s="57">
        <v>0</v>
      </c>
      <c r="Z462" s="110" t="str">
        <f t="shared" si="15"/>
        <v>4</v>
      </c>
      <c r="AA462" s="110" t="str">
        <f t="shared" si="16"/>
        <v>4</v>
      </c>
      <c r="AB462" s="110" t="str">
        <f t="shared" si="17"/>
        <v>1</v>
      </c>
    </row>
    <row r="463" spans="2:28" x14ac:dyDescent="0.2">
      <c r="B463" s="57" t="s">
        <v>2481</v>
      </c>
      <c r="D463" s="57" t="s">
        <v>3065</v>
      </c>
      <c r="E463" s="102">
        <f>VLOOKUP(Z463&amp;"_"&amp;AA463,活动关卡!$A$60:$Z$83,5+5*AB463,FALSE)</f>
        <v>50</v>
      </c>
      <c r="F463" s="57">
        <v>1</v>
      </c>
      <c r="G463" s="57">
        <v>0</v>
      </c>
      <c r="H463" s="57">
        <v>0</v>
      </c>
      <c r="I463" s="57">
        <v>0</v>
      </c>
      <c r="Z463" s="110" t="str">
        <f t="shared" si="15"/>
        <v>4</v>
      </c>
      <c r="AA463" s="110" t="str">
        <f t="shared" si="16"/>
        <v>4</v>
      </c>
      <c r="AB463" s="110" t="str">
        <f t="shared" si="17"/>
        <v>2</v>
      </c>
    </row>
    <row r="464" spans="2:28" x14ac:dyDescent="0.2">
      <c r="B464" s="57" t="s">
        <v>2482</v>
      </c>
      <c r="D464" s="57" t="s">
        <v>3066</v>
      </c>
      <c r="E464" s="102">
        <f>VLOOKUP(Z464&amp;"_"&amp;AA464,活动关卡!$A$60:$Z$83,5+5*AB464,FALSE)</f>
        <v>596</v>
      </c>
      <c r="F464" s="57">
        <v>1</v>
      </c>
      <c r="G464" s="57">
        <v>0</v>
      </c>
      <c r="H464" s="57">
        <v>0</v>
      </c>
      <c r="I464" s="57">
        <v>0</v>
      </c>
      <c r="Z464" s="110" t="str">
        <f t="shared" si="15"/>
        <v>4</v>
      </c>
      <c r="AA464" s="110" t="str">
        <f t="shared" si="16"/>
        <v>4</v>
      </c>
      <c r="AB464" s="110" t="str">
        <f t="shared" si="17"/>
        <v>3</v>
      </c>
    </row>
    <row r="465" spans="2:28" x14ac:dyDescent="0.2">
      <c r="B465" s="57" t="s">
        <v>2483</v>
      </c>
      <c r="D465" s="57" t="s">
        <v>3067</v>
      </c>
      <c r="E465" s="102">
        <f>VLOOKUP(Z465&amp;"_"&amp;AA465,活动关卡!$A$60:$Z$83,5+5*AB465,FALSE)</f>
        <v>52</v>
      </c>
      <c r="F465" s="57">
        <v>1</v>
      </c>
      <c r="G465" s="57">
        <v>0</v>
      </c>
      <c r="H465" s="57">
        <v>0</v>
      </c>
      <c r="I465" s="57">
        <v>0</v>
      </c>
      <c r="Z465" s="110" t="str">
        <f t="shared" si="15"/>
        <v>4</v>
      </c>
      <c r="AA465" s="110" t="str">
        <f t="shared" si="16"/>
        <v>5</v>
      </c>
      <c r="AB465" s="110" t="str">
        <f t="shared" si="17"/>
        <v>1</v>
      </c>
    </row>
    <row r="466" spans="2:28" x14ac:dyDescent="0.2">
      <c r="B466" s="57" t="s">
        <v>2484</v>
      </c>
      <c r="D466" s="57" t="s">
        <v>3068</v>
      </c>
      <c r="E466" s="102">
        <f>VLOOKUP(Z466&amp;"_"&amp;AA466,活动关卡!$A$60:$Z$83,5+5*AB466,FALSE)</f>
        <v>157</v>
      </c>
      <c r="F466" s="57">
        <v>1</v>
      </c>
      <c r="G466" s="57">
        <v>0</v>
      </c>
      <c r="H466" s="57">
        <v>0</v>
      </c>
      <c r="I466" s="57">
        <v>0</v>
      </c>
      <c r="Z466" s="110" t="str">
        <f t="shared" si="15"/>
        <v>4</v>
      </c>
      <c r="AA466" s="110" t="str">
        <f t="shared" si="16"/>
        <v>5</v>
      </c>
      <c r="AB466" s="110" t="str">
        <f t="shared" si="17"/>
        <v>2</v>
      </c>
    </row>
    <row r="467" spans="2:28" x14ac:dyDescent="0.2">
      <c r="B467" s="57" t="s">
        <v>2485</v>
      </c>
      <c r="D467" s="57" t="s">
        <v>3069</v>
      </c>
      <c r="E467" s="102">
        <f>VLOOKUP(Z467&amp;"_"&amp;AA467,活动关卡!$A$60:$Z$83,5+5*AB467,FALSE)</f>
        <v>627</v>
      </c>
      <c r="F467" s="57">
        <v>1</v>
      </c>
      <c r="G467" s="57">
        <v>0</v>
      </c>
      <c r="H467" s="57">
        <v>0</v>
      </c>
      <c r="I467" s="57">
        <v>0</v>
      </c>
      <c r="Z467" s="110" t="str">
        <f t="shared" si="15"/>
        <v>4</v>
      </c>
      <c r="AA467" s="110" t="str">
        <f t="shared" si="16"/>
        <v>5</v>
      </c>
      <c r="AB467" s="110" t="str">
        <f t="shared" si="17"/>
        <v>3</v>
      </c>
    </row>
    <row r="468" spans="2:28" x14ac:dyDescent="0.2">
      <c r="B468" s="57" t="s">
        <v>2486</v>
      </c>
      <c r="D468" s="57" t="s">
        <v>3070</v>
      </c>
      <c r="E468" s="102">
        <f>VLOOKUP(Z468&amp;"_"&amp;AA468,活动关卡!$A$60:$Z$83,5+5*AB468,FALSE)</f>
        <v>196</v>
      </c>
      <c r="F468" s="57">
        <v>1</v>
      </c>
      <c r="G468" s="57">
        <v>0</v>
      </c>
      <c r="H468" s="57">
        <v>0</v>
      </c>
      <c r="I468" s="57">
        <v>0</v>
      </c>
      <c r="Z468" s="110" t="str">
        <f t="shared" si="15"/>
        <v>5</v>
      </c>
      <c r="AA468" s="110" t="str">
        <f t="shared" si="16"/>
        <v>1</v>
      </c>
      <c r="AB468" s="110" t="str">
        <f t="shared" si="17"/>
        <v>1</v>
      </c>
    </row>
    <row r="469" spans="2:28" x14ac:dyDescent="0.2">
      <c r="B469" s="57" t="s">
        <v>2487</v>
      </c>
      <c r="D469" s="57" t="s">
        <v>3071</v>
      </c>
      <c r="E469" s="102">
        <f>VLOOKUP(Z469&amp;"_"&amp;AA469,活动关卡!$A$60:$Z$83,5+5*AB469,FALSE)</f>
        <v>589</v>
      </c>
      <c r="F469" s="57">
        <v>1</v>
      </c>
      <c r="G469" s="57">
        <v>0</v>
      </c>
      <c r="H469" s="57">
        <v>0</v>
      </c>
      <c r="I469" s="57">
        <v>0</v>
      </c>
      <c r="Z469" s="110" t="str">
        <f t="shared" si="15"/>
        <v>5</v>
      </c>
      <c r="AA469" s="110" t="str">
        <f t="shared" si="16"/>
        <v>1</v>
      </c>
      <c r="AB469" s="110" t="str">
        <f t="shared" si="17"/>
        <v>2</v>
      </c>
    </row>
    <row r="470" spans="2:28" x14ac:dyDescent="0.2">
      <c r="B470" s="57" t="s">
        <v>2488</v>
      </c>
      <c r="D470" s="57" t="s">
        <v>3072</v>
      </c>
      <c r="E470" s="102">
        <f>VLOOKUP(Z470&amp;"_"&amp;AA470,活动关卡!$A$60:$Z$83,5+5*AB470,FALSE)</f>
        <v>531</v>
      </c>
      <c r="F470" s="57">
        <v>1</v>
      </c>
      <c r="G470" s="57">
        <v>0</v>
      </c>
      <c r="H470" s="57">
        <v>0</v>
      </c>
      <c r="I470" s="57">
        <v>0</v>
      </c>
      <c r="Z470" s="110" t="str">
        <f t="shared" si="15"/>
        <v>5</v>
      </c>
      <c r="AA470" s="110" t="str">
        <f t="shared" si="16"/>
        <v>2</v>
      </c>
      <c r="AB470" s="110" t="str">
        <f t="shared" si="17"/>
        <v>1</v>
      </c>
    </row>
    <row r="471" spans="2:28" x14ac:dyDescent="0.2">
      <c r="B471" s="57" t="s">
        <v>2489</v>
      </c>
      <c r="D471" s="57" t="s">
        <v>3073</v>
      </c>
      <c r="E471" s="102">
        <f>VLOOKUP(Z471&amp;"_"&amp;AA471,活动关卡!$A$60:$Z$83,5+5*AB471,FALSE)</f>
        <v>66</v>
      </c>
      <c r="F471" s="57">
        <v>1</v>
      </c>
      <c r="G471" s="57">
        <v>0</v>
      </c>
      <c r="H471" s="57">
        <v>0</v>
      </c>
      <c r="I471" s="57">
        <v>0</v>
      </c>
      <c r="Z471" s="110" t="str">
        <f t="shared" si="15"/>
        <v>5</v>
      </c>
      <c r="AA471" s="110" t="str">
        <f t="shared" si="16"/>
        <v>2</v>
      </c>
      <c r="AB471" s="110" t="str">
        <f t="shared" si="17"/>
        <v>2</v>
      </c>
    </row>
    <row r="472" spans="2:28" x14ac:dyDescent="0.2">
      <c r="B472" s="57" t="s">
        <v>2490</v>
      </c>
      <c r="D472" s="57" t="s">
        <v>3074</v>
      </c>
      <c r="E472" s="102">
        <f>VLOOKUP(Z472&amp;"_"&amp;AA472,活动关卡!$A$60:$Z$83,5+5*AB472,FALSE)</f>
        <v>1594</v>
      </c>
      <c r="F472" s="57">
        <v>1</v>
      </c>
      <c r="G472" s="57">
        <v>0</v>
      </c>
      <c r="H472" s="57">
        <v>0</v>
      </c>
      <c r="I472" s="57">
        <v>0</v>
      </c>
      <c r="Z472" s="110" t="str">
        <f t="shared" si="15"/>
        <v>5</v>
      </c>
      <c r="AA472" s="110" t="str">
        <f t="shared" si="16"/>
        <v>2</v>
      </c>
      <c r="AB472" s="110" t="str">
        <f t="shared" si="17"/>
        <v>3</v>
      </c>
    </row>
    <row r="473" spans="2:28" x14ac:dyDescent="0.2">
      <c r="B473" s="57" t="s">
        <v>2491</v>
      </c>
      <c r="D473" s="57" t="s">
        <v>3075</v>
      </c>
      <c r="E473" s="102">
        <f>VLOOKUP(Z473&amp;"_"&amp;AA473,活动关卡!$A$60:$Z$83,5+5*AB473,FALSE)</f>
        <v>1409</v>
      </c>
      <c r="F473" s="57">
        <v>1</v>
      </c>
      <c r="G473" s="57">
        <v>0</v>
      </c>
      <c r="H473" s="57">
        <v>0</v>
      </c>
      <c r="I473" s="57">
        <v>0</v>
      </c>
      <c r="Z473" s="110" t="str">
        <f t="shared" si="15"/>
        <v>5</v>
      </c>
      <c r="AA473" s="110" t="str">
        <f t="shared" si="16"/>
        <v>3</v>
      </c>
      <c r="AB473" s="110" t="str">
        <f t="shared" si="17"/>
        <v>1</v>
      </c>
    </row>
    <row r="474" spans="2:28" x14ac:dyDescent="0.2">
      <c r="B474" s="57" t="s">
        <v>2492</v>
      </c>
      <c r="D474" s="57" t="s">
        <v>3076</v>
      </c>
      <c r="E474" s="102">
        <f>VLOOKUP(Z474&amp;"_"&amp;AA474,活动关卡!$A$60:$Z$83,5+5*AB474,FALSE)</f>
        <v>352</v>
      </c>
      <c r="F474" s="57">
        <v>1</v>
      </c>
      <c r="G474" s="57">
        <v>0</v>
      </c>
      <c r="H474" s="57">
        <v>0</v>
      </c>
      <c r="I474" s="57">
        <v>0</v>
      </c>
      <c r="Z474" s="110" t="str">
        <f t="shared" si="15"/>
        <v>5</v>
      </c>
      <c r="AA474" s="110" t="str">
        <f t="shared" si="16"/>
        <v>3</v>
      </c>
      <c r="AB474" s="110" t="str">
        <f t="shared" si="17"/>
        <v>2</v>
      </c>
    </row>
    <row r="475" spans="2:28" x14ac:dyDescent="0.2">
      <c r="B475" s="57" t="s">
        <v>2493</v>
      </c>
      <c r="D475" s="57" t="s">
        <v>3077</v>
      </c>
      <c r="E475" s="102">
        <f>VLOOKUP(Z475&amp;"_"&amp;AA475,活动关卡!$A$60:$Z$83,5+5*AB475,FALSE)</f>
        <v>352</v>
      </c>
      <c r="F475" s="57">
        <v>1</v>
      </c>
      <c r="G475" s="57">
        <v>0</v>
      </c>
      <c r="H475" s="57">
        <v>0</v>
      </c>
      <c r="I475" s="57">
        <v>0</v>
      </c>
      <c r="Z475" s="110" t="str">
        <f t="shared" si="15"/>
        <v>5</v>
      </c>
      <c r="AA475" s="110" t="str">
        <f t="shared" si="16"/>
        <v>3</v>
      </c>
      <c r="AB475" s="110" t="str">
        <f t="shared" si="17"/>
        <v>3</v>
      </c>
    </row>
    <row r="476" spans="2:28" x14ac:dyDescent="0.2">
      <c r="B476" s="57" t="s">
        <v>2494</v>
      </c>
      <c r="D476" s="57" t="s">
        <v>3078</v>
      </c>
      <c r="E476" s="102">
        <f>VLOOKUP(Z476&amp;"_"&amp;AA476,活动关卡!$A$60:$Z$83,5+5*AB476,FALSE)</f>
        <v>4226</v>
      </c>
      <c r="F476" s="57">
        <v>1</v>
      </c>
      <c r="G476" s="57">
        <v>0</v>
      </c>
      <c r="H476" s="57">
        <v>0</v>
      </c>
      <c r="I476" s="57">
        <v>0</v>
      </c>
      <c r="Z476" s="110" t="str">
        <f t="shared" si="15"/>
        <v>5</v>
      </c>
      <c r="AA476" s="110" t="str">
        <f t="shared" si="16"/>
        <v>3</v>
      </c>
      <c r="AB476" s="110" t="str">
        <f t="shared" si="17"/>
        <v>4</v>
      </c>
    </row>
    <row r="477" spans="2:28" x14ac:dyDescent="0.2">
      <c r="B477" s="57" t="s">
        <v>2495</v>
      </c>
      <c r="D477" s="57" t="s">
        <v>3079</v>
      </c>
      <c r="E477" s="102">
        <f>VLOOKUP(Z477&amp;"_"&amp;AA477,活动关卡!$A$60:$Z$83,5+5*AB477,FALSE)</f>
        <v>565</v>
      </c>
      <c r="F477" s="57">
        <v>1</v>
      </c>
      <c r="G477" s="57">
        <v>0</v>
      </c>
      <c r="H477" s="57">
        <v>0</v>
      </c>
      <c r="I477" s="57">
        <v>0</v>
      </c>
      <c r="Z477" s="110" t="str">
        <f t="shared" si="15"/>
        <v>5</v>
      </c>
      <c r="AA477" s="110" t="str">
        <f t="shared" si="16"/>
        <v>4</v>
      </c>
      <c r="AB477" s="110" t="str">
        <f t="shared" si="17"/>
        <v>1</v>
      </c>
    </row>
    <row r="478" spans="2:28" x14ac:dyDescent="0.2">
      <c r="B478" s="57" t="s">
        <v>2496</v>
      </c>
      <c r="D478" s="57" t="s">
        <v>3080</v>
      </c>
      <c r="E478" s="102">
        <f>VLOOKUP(Z478&amp;"_"&amp;AA478,活动关卡!$A$60:$Z$83,5+5*AB478,FALSE)</f>
        <v>141</v>
      </c>
      <c r="F478" s="57">
        <v>1</v>
      </c>
      <c r="G478" s="57">
        <v>0</v>
      </c>
      <c r="H478" s="57">
        <v>0</v>
      </c>
      <c r="I478" s="57">
        <v>0</v>
      </c>
      <c r="Z478" s="110" t="str">
        <f t="shared" si="15"/>
        <v>5</v>
      </c>
      <c r="AA478" s="110" t="str">
        <f t="shared" si="16"/>
        <v>4</v>
      </c>
      <c r="AB478" s="110" t="str">
        <f t="shared" si="17"/>
        <v>2</v>
      </c>
    </row>
    <row r="479" spans="2:28" x14ac:dyDescent="0.2">
      <c r="B479" s="57" t="s">
        <v>2497</v>
      </c>
      <c r="D479" s="57" t="s">
        <v>3081</v>
      </c>
      <c r="E479" s="102">
        <f>VLOOKUP(Z479&amp;"_"&amp;AA479,活动关卡!$A$60:$Z$83,5+5*AB479,FALSE)</f>
        <v>1696</v>
      </c>
      <c r="F479" s="57">
        <v>1</v>
      </c>
      <c r="G479" s="57">
        <v>0</v>
      </c>
      <c r="H479" s="57">
        <v>0</v>
      </c>
      <c r="I479" s="57">
        <v>0</v>
      </c>
      <c r="Z479" s="110" t="str">
        <f t="shared" si="15"/>
        <v>5</v>
      </c>
      <c r="AA479" s="110" t="str">
        <f t="shared" si="16"/>
        <v>4</v>
      </c>
      <c r="AB479" s="110" t="str">
        <f t="shared" si="17"/>
        <v>3</v>
      </c>
    </row>
    <row r="480" spans="2:28" x14ac:dyDescent="0.2">
      <c r="B480" s="57" t="s">
        <v>2498</v>
      </c>
      <c r="D480" s="57" t="s">
        <v>3082</v>
      </c>
      <c r="E480" s="102">
        <f>VLOOKUP(Z480&amp;"_"&amp;AA480,活动关卡!$A$60:$Z$83,5+5*AB480,FALSE)</f>
        <v>358</v>
      </c>
      <c r="F480" s="57">
        <v>1</v>
      </c>
      <c r="G480" s="57">
        <v>0</v>
      </c>
      <c r="H480" s="57">
        <v>0</v>
      </c>
      <c r="I480" s="57">
        <v>0</v>
      </c>
      <c r="Z480" s="110" t="str">
        <f t="shared" si="15"/>
        <v>5</v>
      </c>
      <c r="AA480" s="110" t="str">
        <f t="shared" si="16"/>
        <v>5</v>
      </c>
      <c r="AB480" s="110" t="str">
        <f t="shared" si="17"/>
        <v>1</v>
      </c>
    </row>
    <row r="481" spans="2:28" x14ac:dyDescent="0.2">
      <c r="B481" s="57" t="s">
        <v>2499</v>
      </c>
      <c r="D481" s="57" t="s">
        <v>3083</v>
      </c>
      <c r="E481" s="102">
        <f>VLOOKUP(Z481&amp;"_"&amp;AA481,活动关卡!$A$60:$Z$83,5+5*AB481,FALSE)</f>
        <v>90</v>
      </c>
      <c r="F481" s="57">
        <v>1</v>
      </c>
      <c r="G481" s="57">
        <v>0</v>
      </c>
      <c r="H481" s="57">
        <v>0</v>
      </c>
      <c r="I481" s="57">
        <v>0</v>
      </c>
      <c r="Z481" s="110" t="str">
        <f t="shared" si="15"/>
        <v>5</v>
      </c>
      <c r="AA481" s="110" t="str">
        <f t="shared" si="16"/>
        <v>5</v>
      </c>
      <c r="AB481" s="110" t="str">
        <f t="shared" si="17"/>
        <v>2</v>
      </c>
    </row>
    <row r="482" spans="2:28" x14ac:dyDescent="0.2">
      <c r="B482" s="57" t="s">
        <v>2500</v>
      </c>
      <c r="D482" s="57" t="s">
        <v>3084</v>
      </c>
      <c r="E482" s="102">
        <f>VLOOKUP(Z482&amp;"_"&amp;AA482,活动关卡!$A$60:$Z$83,5+5*AB482,FALSE)</f>
        <v>269</v>
      </c>
      <c r="F482" s="57">
        <v>1</v>
      </c>
      <c r="G482" s="57">
        <v>0</v>
      </c>
      <c r="H482" s="57">
        <v>0</v>
      </c>
      <c r="I482" s="57">
        <v>0</v>
      </c>
      <c r="Z482" s="110" t="str">
        <f t="shared" si="15"/>
        <v>5</v>
      </c>
      <c r="AA482" s="110" t="str">
        <f t="shared" si="16"/>
        <v>5</v>
      </c>
      <c r="AB482" s="110" t="str">
        <f t="shared" si="17"/>
        <v>3</v>
      </c>
    </row>
    <row r="483" spans="2:28" x14ac:dyDescent="0.2">
      <c r="B483" s="57" t="s">
        <v>2501</v>
      </c>
      <c r="D483" s="57" t="s">
        <v>3085</v>
      </c>
      <c r="E483" s="102">
        <f>VLOOKUP(Z483&amp;"_"&amp;AA483,活动关卡!$A$60:$Z$83,5+5*AB483,FALSE)</f>
        <v>1074</v>
      </c>
      <c r="F483" s="57">
        <v>1</v>
      </c>
      <c r="G483" s="57">
        <v>0</v>
      </c>
      <c r="H483" s="57">
        <v>0</v>
      </c>
      <c r="I483" s="57">
        <v>0</v>
      </c>
      <c r="Z483" s="110" t="str">
        <f t="shared" si="15"/>
        <v>5</v>
      </c>
      <c r="AA483" s="110" t="str">
        <f t="shared" si="16"/>
        <v>5</v>
      </c>
      <c r="AB483" s="110" t="str">
        <f t="shared" si="17"/>
        <v>4</v>
      </c>
    </row>
    <row r="484" spans="2:28" x14ac:dyDescent="0.2">
      <c r="B484" s="57" t="s">
        <v>2502</v>
      </c>
      <c r="D484" s="57" t="s">
        <v>3086</v>
      </c>
      <c r="E484" s="102">
        <f>VLOOKUP(Z484&amp;"_"&amp;AA484,活动关卡!$A$60:$Z$83,5+5*AB484,FALSE)</f>
        <v>533</v>
      </c>
      <c r="F484" s="57">
        <v>1</v>
      </c>
      <c r="G484" s="57">
        <v>0</v>
      </c>
      <c r="H484" s="57">
        <v>0</v>
      </c>
      <c r="I484" s="57">
        <v>0</v>
      </c>
      <c r="Z484" s="110" t="str">
        <f t="shared" si="15"/>
        <v>5</v>
      </c>
      <c r="AA484" s="110" t="str">
        <f t="shared" si="16"/>
        <v>6</v>
      </c>
      <c r="AB484" s="110" t="str">
        <f t="shared" si="17"/>
        <v>1</v>
      </c>
    </row>
    <row r="485" spans="2:28" x14ac:dyDescent="0.2">
      <c r="B485" s="57" t="s">
        <v>2503</v>
      </c>
      <c r="D485" s="57" t="s">
        <v>3087</v>
      </c>
      <c r="E485" s="102">
        <f>VLOOKUP(Z485&amp;"_"&amp;AA485,活动关卡!$A$60:$Z$83,5+5*AB485,FALSE)</f>
        <v>800</v>
      </c>
      <c r="F485" s="57">
        <v>1</v>
      </c>
      <c r="G485" s="57">
        <v>0</v>
      </c>
      <c r="H485" s="57">
        <v>0</v>
      </c>
      <c r="I485" s="57">
        <v>0</v>
      </c>
      <c r="Z485" s="110" t="str">
        <f t="shared" si="15"/>
        <v>5</v>
      </c>
      <c r="AA485" s="110" t="str">
        <f t="shared" si="16"/>
        <v>6</v>
      </c>
      <c r="AB485" s="110" t="str">
        <f t="shared" si="17"/>
        <v>2</v>
      </c>
    </row>
    <row r="486" spans="2:28" x14ac:dyDescent="0.2">
      <c r="B486" s="57" t="s">
        <v>2504</v>
      </c>
      <c r="D486" s="57" t="s">
        <v>3088</v>
      </c>
      <c r="E486" s="102">
        <f>VLOOKUP(Z486&amp;"_"&amp;AA486,活动关卡!$A$60:$Z$83,5+5*AB486,FALSE)</f>
        <v>267</v>
      </c>
      <c r="F486" s="57">
        <v>1</v>
      </c>
      <c r="G486" s="57">
        <v>0</v>
      </c>
      <c r="H486" s="57">
        <v>0</v>
      </c>
      <c r="I486" s="57">
        <v>0</v>
      </c>
      <c r="Z486" s="110" t="str">
        <f t="shared" si="15"/>
        <v>5</v>
      </c>
      <c r="AA486" s="110" t="str">
        <f t="shared" si="16"/>
        <v>6</v>
      </c>
      <c r="AB486" s="110" t="str">
        <f t="shared" si="17"/>
        <v>3</v>
      </c>
    </row>
    <row r="487" spans="2:28" x14ac:dyDescent="0.2">
      <c r="B487" s="57" t="s">
        <v>2505</v>
      </c>
      <c r="D487" s="57" t="s">
        <v>3089</v>
      </c>
      <c r="E487" s="102">
        <f>VLOOKUP(Z487&amp;"_"&amp;AA487,活动关卡!$A$60:$Z$83,5+5*AB487,FALSE)</f>
        <v>1600</v>
      </c>
      <c r="F487" s="57">
        <v>1</v>
      </c>
      <c r="G487" s="57">
        <v>0</v>
      </c>
      <c r="H487" s="57">
        <v>0</v>
      </c>
      <c r="I487" s="57">
        <v>0</v>
      </c>
      <c r="Z487" s="110" t="str">
        <f t="shared" si="15"/>
        <v>5</v>
      </c>
      <c r="AA487" s="110" t="str">
        <f t="shared" si="16"/>
        <v>6</v>
      </c>
      <c r="AB487" s="110" t="str">
        <f t="shared" si="17"/>
        <v>4</v>
      </c>
    </row>
    <row r="488" spans="2:28" x14ac:dyDescent="0.2">
      <c r="B488" s="57" t="s">
        <v>2506</v>
      </c>
      <c r="D488" s="57" t="s">
        <v>3090</v>
      </c>
      <c r="E488" s="102">
        <f>VLOOKUP(Z488&amp;"_"&amp;AA488,活动关卡!$A$60:$Z$83,5+5*AB488,FALSE)</f>
        <v>563</v>
      </c>
      <c r="F488" s="57">
        <v>1</v>
      </c>
      <c r="G488" s="57">
        <v>0</v>
      </c>
      <c r="H488" s="57">
        <v>0</v>
      </c>
      <c r="I488" s="57">
        <v>0</v>
      </c>
      <c r="Z488" s="110" t="str">
        <f t="shared" si="15"/>
        <v>5</v>
      </c>
      <c r="AA488" s="110" t="str">
        <f t="shared" si="16"/>
        <v>7</v>
      </c>
      <c r="AB488" s="110" t="str">
        <f t="shared" si="17"/>
        <v>1</v>
      </c>
    </row>
    <row r="489" spans="2:28" x14ac:dyDescent="0.2">
      <c r="B489" s="57" t="s">
        <v>2507</v>
      </c>
      <c r="D489" s="57" t="s">
        <v>3091</v>
      </c>
      <c r="E489" s="102">
        <f>VLOOKUP(Z489&amp;"_"&amp;AA489,活动关卡!$A$60:$Z$83,5+5*AB489,FALSE)</f>
        <v>282</v>
      </c>
      <c r="F489" s="57">
        <v>1</v>
      </c>
      <c r="G489" s="57">
        <v>0</v>
      </c>
      <c r="H489" s="57">
        <v>0</v>
      </c>
      <c r="I489" s="57">
        <v>0</v>
      </c>
      <c r="Z489" s="110" t="str">
        <f t="shared" si="15"/>
        <v>5</v>
      </c>
      <c r="AA489" s="110" t="str">
        <f t="shared" si="16"/>
        <v>7</v>
      </c>
      <c r="AB489" s="110" t="str">
        <f t="shared" si="17"/>
        <v>2</v>
      </c>
    </row>
    <row r="490" spans="2:28" x14ac:dyDescent="0.2">
      <c r="B490" s="57" t="s">
        <v>2508</v>
      </c>
      <c r="D490" s="57" t="s">
        <v>3092</v>
      </c>
      <c r="E490" s="102">
        <f>VLOOKUP(Z490&amp;"_"&amp;AA490,活动关卡!$A$60:$Z$83,5+5*AB490,FALSE)</f>
        <v>141</v>
      </c>
      <c r="F490" s="57">
        <v>1</v>
      </c>
      <c r="G490" s="57">
        <v>0</v>
      </c>
      <c r="H490" s="57">
        <v>0</v>
      </c>
      <c r="I490" s="57">
        <v>0</v>
      </c>
      <c r="Z490" s="110" t="str">
        <f t="shared" si="15"/>
        <v>5</v>
      </c>
      <c r="AA490" s="110" t="str">
        <f t="shared" si="16"/>
        <v>7</v>
      </c>
      <c r="AB490" s="110" t="str">
        <f t="shared" si="17"/>
        <v>3</v>
      </c>
    </row>
    <row r="491" spans="2:28" x14ac:dyDescent="0.2">
      <c r="B491" s="57" t="s">
        <v>2509</v>
      </c>
      <c r="D491" s="57" t="s">
        <v>3093</v>
      </c>
      <c r="E491" s="102">
        <f>VLOOKUP(Z491&amp;"_"&amp;AA491,活动关卡!$A$60:$Z$83,5+5*AB491,FALSE)</f>
        <v>1690</v>
      </c>
      <c r="F491" s="57">
        <v>1</v>
      </c>
      <c r="G491" s="57">
        <v>0</v>
      </c>
      <c r="H491" s="57">
        <v>0</v>
      </c>
      <c r="I491" s="57">
        <v>0</v>
      </c>
      <c r="Z491" s="110" t="str">
        <f t="shared" ref="Z491:Z554" si="18">LEFT(RIGHT(D491,5),1)</f>
        <v>5</v>
      </c>
      <c r="AA491" s="110" t="str">
        <f t="shared" ref="AA491:AA554" si="19">LEFT(RIGHT(D491,3),1)</f>
        <v>7</v>
      </c>
      <c r="AB491" s="110" t="str">
        <f t="shared" ref="AB491:AB554" si="20">RIGHT(D491,1)</f>
        <v>4</v>
      </c>
    </row>
    <row r="492" spans="2:28" x14ac:dyDescent="0.2">
      <c r="B492" s="57" t="s">
        <v>2510</v>
      </c>
      <c r="D492" s="57" t="s">
        <v>3094</v>
      </c>
      <c r="E492" s="102">
        <f>VLOOKUP(Z492&amp;"_"&amp;AA492,活动关卡!$A$60:$Z$83,5+5*AB492,FALSE)</f>
        <v>25116</v>
      </c>
      <c r="F492" s="57">
        <v>1</v>
      </c>
      <c r="G492" s="57">
        <v>0</v>
      </c>
      <c r="H492" s="57">
        <v>0</v>
      </c>
      <c r="I492" s="57">
        <v>0</v>
      </c>
      <c r="Z492" s="110" t="str">
        <f t="shared" si="18"/>
        <v>5</v>
      </c>
      <c r="AA492" s="110" t="str">
        <f t="shared" si="19"/>
        <v>8</v>
      </c>
      <c r="AB492" s="110" t="str">
        <f t="shared" si="20"/>
        <v>1</v>
      </c>
    </row>
    <row r="493" spans="2:28" x14ac:dyDescent="0.2">
      <c r="B493" s="57" t="s">
        <v>2511</v>
      </c>
      <c r="D493" s="57" t="s">
        <v>3095</v>
      </c>
      <c r="E493" s="102">
        <f>VLOOKUP(Z493&amp;"_"&amp;AA493,活动关卡!$A$60:$Z$83,5+5*AB493,FALSE)</f>
        <v>1256</v>
      </c>
      <c r="F493" s="57">
        <v>1</v>
      </c>
      <c r="G493" s="57">
        <v>0</v>
      </c>
      <c r="H493" s="57">
        <v>0</v>
      </c>
      <c r="I493" s="57">
        <v>0</v>
      </c>
      <c r="Z493" s="110" t="str">
        <f t="shared" si="18"/>
        <v>5</v>
      </c>
      <c r="AA493" s="110" t="str">
        <f t="shared" si="19"/>
        <v>8</v>
      </c>
      <c r="AB493" s="110" t="str">
        <f t="shared" si="20"/>
        <v>2</v>
      </c>
    </row>
    <row r="494" spans="2:28" x14ac:dyDescent="0.2">
      <c r="B494" s="57" t="s">
        <v>2512</v>
      </c>
      <c r="D494" s="57" t="s">
        <v>3096</v>
      </c>
      <c r="E494" s="102">
        <f>VLOOKUP(Z494&amp;"_"&amp;AA494,活动关卡!$A$60:$Z$83,5+5*AB494,FALSE)</f>
        <v>3767</v>
      </c>
      <c r="F494" s="57">
        <v>1</v>
      </c>
      <c r="G494" s="57">
        <v>0</v>
      </c>
      <c r="H494" s="57">
        <v>0</v>
      </c>
      <c r="I494" s="57">
        <v>0</v>
      </c>
      <c r="Z494" s="110" t="str">
        <f t="shared" si="18"/>
        <v>5</v>
      </c>
      <c r="AA494" s="110" t="str">
        <f t="shared" si="19"/>
        <v>8</v>
      </c>
      <c r="AB494" s="110" t="str">
        <f t="shared" si="20"/>
        <v>3</v>
      </c>
    </row>
    <row r="495" spans="2:28" x14ac:dyDescent="0.2">
      <c r="B495" s="57" t="s">
        <v>2513</v>
      </c>
      <c r="D495" s="57" t="s">
        <v>3097</v>
      </c>
      <c r="E495" s="102">
        <f>VLOOKUP(Z495&amp;"_"&amp;AA495,活动关卡!$A$60:$Z$83,5+5*AB495,FALSE)</f>
        <v>15070</v>
      </c>
      <c r="F495" s="57">
        <v>1</v>
      </c>
      <c r="G495" s="57">
        <v>0</v>
      </c>
      <c r="H495" s="57">
        <v>0</v>
      </c>
      <c r="I495" s="57">
        <v>0</v>
      </c>
      <c r="Z495" s="110" t="str">
        <f t="shared" si="18"/>
        <v>5</v>
      </c>
      <c r="AA495" s="110" t="str">
        <f t="shared" si="19"/>
        <v>8</v>
      </c>
      <c r="AB495" s="110" t="str">
        <f t="shared" si="20"/>
        <v>4</v>
      </c>
    </row>
    <row r="496" spans="2:28" x14ac:dyDescent="0.2">
      <c r="Z496" s="110" t="str">
        <f t="shared" si="18"/>
        <v/>
      </c>
      <c r="AA496" s="110" t="str">
        <f t="shared" si="19"/>
        <v/>
      </c>
      <c r="AB496" s="110" t="str">
        <f t="shared" si="20"/>
        <v/>
      </c>
    </row>
    <row r="497" spans="2:28" x14ac:dyDescent="0.2">
      <c r="B497" s="57" t="s">
        <v>2514</v>
      </c>
      <c r="D497" s="57" t="s">
        <v>3098</v>
      </c>
      <c r="E497" s="102">
        <f>VLOOKUP(Z497&amp;"_"&amp;AA497,活动关卡!$A$88:$Z$111,5+5*AB497,FALSE)</f>
        <v>53</v>
      </c>
      <c r="F497" s="57">
        <v>1</v>
      </c>
      <c r="G497" s="57">
        <v>0</v>
      </c>
      <c r="H497" s="57">
        <v>0</v>
      </c>
      <c r="I497" s="57">
        <v>0</v>
      </c>
      <c r="Z497" s="110" t="str">
        <f t="shared" si="18"/>
        <v>1</v>
      </c>
      <c r="AA497" s="110" t="str">
        <f t="shared" si="19"/>
        <v>1</v>
      </c>
      <c r="AB497" s="110" t="str">
        <f t="shared" si="20"/>
        <v>1</v>
      </c>
    </row>
    <row r="498" spans="2:28" x14ac:dyDescent="0.2">
      <c r="B498" s="57" t="s">
        <v>2515</v>
      </c>
      <c r="D498" s="57" t="s">
        <v>3099</v>
      </c>
      <c r="E498" s="102">
        <f>VLOOKUP(Z498&amp;"_"&amp;AA498,活动关卡!$A$88:$Z$111,5+5*AB498,FALSE)</f>
        <v>212</v>
      </c>
      <c r="F498" s="57">
        <v>1</v>
      </c>
      <c r="G498" s="57">
        <v>0</v>
      </c>
      <c r="H498" s="57">
        <v>0</v>
      </c>
      <c r="I498" s="57">
        <v>0</v>
      </c>
      <c r="Z498" s="110" t="str">
        <f t="shared" si="18"/>
        <v>1</v>
      </c>
      <c r="AA498" s="110" t="str">
        <f t="shared" si="19"/>
        <v>1</v>
      </c>
      <c r="AB498" s="110" t="str">
        <f t="shared" si="20"/>
        <v>2</v>
      </c>
    </row>
    <row r="499" spans="2:28" x14ac:dyDescent="0.2">
      <c r="B499" s="57" t="s">
        <v>2516</v>
      </c>
      <c r="D499" s="57" t="s">
        <v>3100</v>
      </c>
      <c r="E499" s="102">
        <f>VLOOKUP(Z499&amp;"_"&amp;AA499,活动关卡!$A$88:$Z$111,5+5*AB499,FALSE)</f>
        <v>105</v>
      </c>
      <c r="F499" s="57">
        <v>1</v>
      </c>
      <c r="G499" s="57">
        <v>0</v>
      </c>
      <c r="H499" s="57">
        <v>0</v>
      </c>
      <c r="I499" s="57">
        <v>0</v>
      </c>
      <c r="Z499" s="110" t="str">
        <f t="shared" si="18"/>
        <v>1</v>
      </c>
      <c r="AA499" s="110" t="str">
        <f t="shared" si="19"/>
        <v>2</v>
      </c>
      <c r="AB499" s="110" t="str">
        <f t="shared" si="20"/>
        <v>1</v>
      </c>
    </row>
    <row r="500" spans="2:28" x14ac:dyDescent="0.2">
      <c r="B500" s="57" t="s">
        <v>2517</v>
      </c>
      <c r="D500" s="57" t="s">
        <v>3101</v>
      </c>
      <c r="E500" s="102">
        <f>VLOOKUP(Z500&amp;"_"&amp;AA500,活动关卡!$A$88:$Z$111,5+5*AB500,FALSE)</f>
        <v>421</v>
      </c>
      <c r="F500" s="57">
        <v>1</v>
      </c>
      <c r="G500" s="57">
        <v>0</v>
      </c>
      <c r="H500" s="57">
        <v>0</v>
      </c>
      <c r="I500" s="57">
        <v>0</v>
      </c>
      <c r="Z500" s="110" t="str">
        <f t="shared" si="18"/>
        <v>1</v>
      </c>
      <c r="AA500" s="110" t="str">
        <f t="shared" si="19"/>
        <v>2</v>
      </c>
      <c r="AB500" s="110" t="str">
        <f t="shared" si="20"/>
        <v>2</v>
      </c>
    </row>
    <row r="501" spans="2:28" x14ac:dyDescent="0.2">
      <c r="B501" s="57" t="s">
        <v>2518</v>
      </c>
      <c r="D501" s="57" t="s">
        <v>3102</v>
      </c>
      <c r="E501" s="102">
        <f>VLOOKUP(Z501&amp;"_"&amp;AA501,活动关卡!$A$88:$Z$111,5+5*AB501,FALSE)</f>
        <v>120</v>
      </c>
      <c r="F501" s="57">
        <v>1</v>
      </c>
      <c r="G501" s="57">
        <v>0</v>
      </c>
      <c r="H501" s="57">
        <v>0</v>
      </c>
      <c r="I501" s="57">
        <v>0</v>
      </c>
      <c r="Z501" s="110" t="str">
        <f t="shared" si="18"/>
        <v>1</v>
      </c>
      <c r="AA501" s="110" t="str">
        <f t="shared" si="19"/>
        <v>3</v>
      </c>
      <c r="AB501" s="110" t="str">
        <f t="shared" si="20"/>
        <v>1</v>
      </c>
    </row>
    <row r="502" spans="2:28" x14ac:dyDescent="0.2">
      <c r="B502" s="57" t="s">
        <v>2519</v>
      </c>
      <c r="D502" s="57" t="s">
        <v>3103</v>
      </c>
      <c r="E502" s="102">
        <f>VLOOKUP(Z502&amp;"_"&amp;AA502,活动关卡!$A$88:$Z$111,5+5*AB502,FALSE)</f>
        <v>480</v>
      </c>
      <c r="F502" s="57">
        <v>1</v>
      </c>
      <c r="G502" s="57">
        <v>0</v>
      </c>
      <c r="H502" s="57">
        <v>0</v>
      </c>
      <c r="I502" s="57">
        <v>0</v>
      </c>
      <c r="Z502" s="110" t="str">
        <f t="shared" si="18"/>
        <v>1</v>
      </c>
      <c r="AA502" s="110" t="str">
        <f t="shared" si="19"/>
        <v>3</v>
      </c>
      <c r="AB502" s="110" t="str">
        <f t="shared" si="20"/>
        <v>2</v>
      </c>
    </row>
    <row r="503" spans="2:28" x14ac:dyDescent="0.2">
      <c r="B503" s="57" t="s">
        <v>2520</v>
      </c>
      <c r="D503" s="57" t="s">
        <v>3104</v>
      </c>
      <c r="E503" s="102">
        <f>VLOOKUP(Z503&amp;"_"&amp;AA503,活动关卡!$A$88:$Z$111,5+5*AB503,FALSE)</f>
        <v>480</v>
      </c>
      <c r="F503" s="57">
        <v>1</v>
      </c>
      <c r="G503" s="57">
        <v>0</v>
      </c>
      <c r="H503" s="57">
        <v>0</v>
      </c>
      <c r="I503" s="57">
        <v>0</v>
      </c>
      <c r="Z503" s="110" t="str">
        <f t="shared" si="18"/>
        <v>1</v>
      </c>
      <c r="AA503" s="110" t="str">
        <f t="shared" si="19"/>
        <v>3</v>
      </c>
      <c r="AB503" s="110" t="str">
        <f t="shared" si="20"/>
        <v>3</v>
      </c>
    </row>
    <row r="504" spans="2:28" x14ac:dyDescent="0.2">
      <c r="B504" s="57" t="s">
        <v>2521</v>
      </c>
      <c r="D504" s="57" t="s">
        <v>3105</v>
      </c>
      <c r="E504" s="102">
        <f>VLOOKUP(Z504&amp;"_"&amp;AA504,活动关卡!$A$88:$Z$111,5+5*AB504,FALSE)</f>
        <v>60</v>
      </c>
      <c r="F504" s="57">
        <v>1</v>
      </c>
      <c r="G504" s="57">
        <v>0</v>
      </c>
      <c r="H504" s="57">
        <v>0</v>
      </c>
      <c r="I504" s="57">
        <v>0</v>
      </c>
      <c r="Z504" s="110" t="str">
        <f t="shared" si="18"/>
        <v>2</v>
      </c>
      <c r="AA504" s="110" t="str">
        <f t="shared" si="19"/>
        <v>1</v>
      </c>
      <c r="AB504" s="110" t="str">
        <f t="shared" si="20"/>
        <v>1</v>
      </c>
    </row>
    <row r="505" spans="2:28" x14ac:dyDescent="0.2">
      <c r="B505" s="57" t="s">
        <v>2522</v>
      </c>
      <c r="D505" s="57" t="s">
        <v>3106</v>
      </c>
      <c r="E505" s="102">
        <f>VLOOKUP(Z505&amp;"_"&amp;AA505,活动关卡!$A$88:$Z$111,5+5*AB505,FALSE)</f>
        <v>120</v>
      </c>
      <c r="F505" s="57">
        <v>1</v>
      </c>
      <c r="G505" s="57">
        <v>0</v>
      </c>
      <c r="H505" s="57">
        <v>0</v>
      </c>
      <c r="I505" s="57">
        <v>0</v>
      </c>
      <c r="Z505" s="110" t="str">
        <f t="shared" si="18"/>
        <v>2</v>
      </c>
      <c r="AA505" s="110" t="str">
        <f t="shared" si="19"/>
        <v>1</v>
      </c>
      <c r="AB505" s="110" t="str">
        <f t="shared" si="20"/>
        <v>2</v>
      </c>
    </row>
    <row r="506" spans="2:28" x14ac:dyDescent="0.2">
      <c r="B506" s="57" t="s">
        <v>2523</v>
      </c>
      <c r="D506" s="57" t="s">
        <v>3107</v>
      </c>
      <c r="E506" s="102">
        <f>VLOOKUP(Z506&amp;"_"&amp;AA506,活动关卡!$A$88:$Z$111,5+5*AB506,FALSE)</f>
        <v>216</v>
      </c>
      <c r="F506" s="57">
        <v>1</v>
      </c>
      <c r="G506" s="57">
        <v>0</v>
      </c>
      <c r="H506" s="57">
        <v>0</v>
      </c>
      <c r="I506" s="57">
        <v>0</v>
      </c>
      <c r="Z506" s="110" t="str">
        <f t="shared" si="18"/>
        <v>2</v>
      </c>
      <c r="AA506" s="110" t="str">
        <f t="shared" si="19"/>
        <v>2</v>
      </c>
      <c r="AB506" s="110" t="str">
        <f t="shared" si="20"/>
        <v>1</v>
      </c>
    </row>
    <row r="507" spans="2:28" x14ac:dyDescent="0.2">
      <c r="B507" s="57" t="s">
        <v>2524</v>
      </c>
      <c r="D507" s="57" t="s">
        <v>3108</v>
      </c>
      <c r="E507" s="102">
        <f>VLOOKUP(Z507&amp;"_"&amp;AA507,活动关卡!$A$88:$Z$111,5+5*AB507,FALSE)</f>
        <v>432</v>
      </c>
      <c r="F507" s="57">
        <v>1</v>
      </c>
      <c r="G507" s="57">
        <v>0</v>
      </c>
      <c r="H507" s="57">
        <v>0</v>
      </c>
      <c r="I507" s="57">
        <v>0</v>
      </c>
      <c r="Z507" s="110" t="str">
        <f t="shared" si="18"/>
        <v>2</v>
      </c>
      <c r="AA507" s="110" t="str">
        <f t="shared" si="19"/>
        <v>2</v>
      </c>
      <c r="AB507" s="110" t="str">
        <f t="shared" si="20"/>
        <v>2</v>
      </c>
    </row>
    <row r="508" spans="2:28" x14ac:dyDescent="0.2">
      <c r="B508" s="57" t="s">
        <v>2525</v>
      </c>
      <c r="D508" s="57" t="s">
        <v>3109</v>
      </c>
      <c r="E508" s="102">
        <f>VLOOKUP(Z508&amp;"_"&amp;AA508,活动关卡!$A$88:$Z$111,5+5*AB508,FALSE)</f>
        <v>432</v>
      </c>
      <c r="F508" s="57">
        <v>1</v>
      </c>
      <c r="G508" s="57">
        <v>0</v>
      </c>
      <c r="H508" s="57">
        <v>0</v>
      </c>
      <c r="I508" s="57">
        <v>0</v>
      </c>
      <c r="Z508" s="110" t="str">
        <f t="shared" si="18"/>
        <v>2</v>
      </c>
      <c r="AA508" s="110" t="str">
        <f t="shared" si="19"/>
        <v>2</v>
      </c>
      <c r="AB508" s="110" t="str">
        <f t="shared" si="20"/>
        <v>3</v>
      </c>
    </row>
    <row r="509" spans="2:28" x14ac:dyDescent="0.2">
      <c r="B509" s="57" t="s">
        <v>2526</v>
      </c>
      <c r="D509" s="57" t="s">
        <v>3110</v>
      </c>
      <c r="E509" s="102">
        <f>VLOOKUP(Z509&amp;"_"&amp;AA509,活动关卡!$A$88:$Z$111,5+5*AB509,FALSE)</f>
        <v>247</v>
      </c>
      <c r="F509" s="57">
        <v>1</v>
      </c>
      <c r="G509" s="57">
        <v>0</v>
      </c>
      <c r="H509" s="57">
        <v>0</v>
      </c>
      <c r="I509" s="57">
        <v>0</v>
      </c>
      <c r="Z509" s="110" t="str">
        <f t="shared" si="18"/>
        <v>2</v>
      </c>
      <c r="AA509" s="110" t="str">
        <f t="shared" si="19"/>
        <v>3</v>
      </c>
      <c r="AB509" s="110" t="str">
        <f t="shared" si="20"/>
        <v>1</v>
      </c>
    </row>
    <row r="510" spans="2:28" x14ac:dyDescent="0.2">
      <c r="B510" s="57" t="s">
        <v>2527</v>
      </c>
      <c r="D510" s="57" t="s">
        <v>3111</v>
      </c>
      <c r="E510" s="102">
        <f>VLOOKUP(Z510&amp;"_"&amp;AA510,活动关卡!$A$88:$Z$111,5+5*AB510,FALSE)</f>
        <v>123</v>
      </c>
      <c r="F510" s="57">
        <v>1</v>
      </c>
      <c r="G510" s="57">
        <v>0</v>
      </c>
      <c r="H510" s="57">
        <v>0</v>
      </c>
      <c r="I510" s="57">
        <v>0</v>
      </c>
      <c r="Z510" s="110" t="str">
        <f t="shared" si="18"/>
        <v>2</v>
      </c>
      <c r="AA510" s="110" t="str">
        <f t="shared" si="19"/>
        <v>3</v>
      </c>
      <c r="AB510" s="110" t="str">
        <f t="shared" si="20"/>
        <v>2</v>
      </c>
    </row>
    <row r="511" spans="2:28" x14ac:dyDescent="0.2">
      <c r="B511" s="57" t="s">
        <v>2528</v>
      </c>
      <c r="D511" s="57" t="s">
        <v>3112</v>
      </c>
      <c r="E511" s="102">
        <f>VLOOKUP(Z511&amp;"_"&amp;AA511,活动关卡!$A$88:$Z$111,5+5*AB511,FALSE)</f>
        <v>494</v>
      </c>
      <c r="F511" s="57">
        <v>1</v>
      </c>
      <c r="G511" s="57">
        <v>0</v>
      </c>
      <c r="H511" s="57">
        <v>0</v>
      </c>
      <c r="I511" s="57">
        <v>0</v>
      </c>
      <c r="Z511" s="110" t="str">
        <f t="shared" si="18"/>
        <v>2</v>
      </c>
      <c r="AA511" s="110" t="str">
        <f t="shared" si="19"/>
        <v>3</v>
      </c>
      <c r="AB511" s="110" t="str">
        <f t="shared" si="20"/>
        <v>3</v>
      </c>
    </row>
    <row r="512" spans="2:28" x14ac:dyDescent="0.2">
      <c r="B512" s="57" t="s">
        <v>2529</v>
      </c>
      <c r="D512" s="57" t="s">
        <v>3113</v>
      </c>
      <c r="E512" s="102">
        <f>VLOOKUP(Z512&amp;"_"&amp;AA512,活动关卡!$A$88:$Z$111,5+5*AB512,FALSE)</f>
        <v>155</v>
      </c>
      <c r="F512" s="57">
        <v>1</v>
      </c>
      <c r="G512" s="57">
        <v>0</v>
      </c>
      <c r="H512" s="57">
        <v>0</v>
      </c>
      <c r="I512" s="57">
        <v>0</v>
      </c>
      <c r="Z512" s="110" t="str">
        <f t="shared" si="18"/>
        <v>2</v>
      </c>
      <c r="AA512" s="110" t="str">
        <f t="shared" si="19"/>
        <v>4</v>
      </c>
      <c r="AB512" s="110" t="str">
        <f t="shared" si="20"/>
        <v>1</v>
      </c>
    </row>
    <row r="513" spans="2:28" x14ac:dyDescent="0.2">
      <c r="B513" s="57" t="s">
        <v>2530</v>
      </c>
      <c r="D513" s="57" t="s">
        <v>3114</v>
      </c>
      <c r="E513" s="102">
        <f>VLOOKUP(Z513&amp;"_"&amp;AA513,活动关卡!$A$88:$Z$111,5+5*AB513,FALSE)</f>
        <v>77</v>
      </c>
      <c r="F513" s="57">
        <v>1</v>
      </c>
      <c r="G513" s="57">
        <v>0</v>
      </c>
      <c r="H513" s="57">
        <v>0</v>
      </c>
      <c r="I513" s="57">
        <v>0</v>
      </c>
      <c r="Z513" s="110" t="str">
        <f t="shared" si="18"/>
        <v>2</v>
      </c>
      <c r="AA513" s="110" t="str">
        <f t="shared" si="19"/>
        <v>4</v>
      </c>
      <c r="AB513" s="110" t="str">
        <f t="shared" si="20"/>
        <v>2</v>
      </c>
    </row>
    <row r="514" spans="2:28" x14ac:dyDescent="0.2">
      <c r="B514" s="57" t="s">
        <v>2531</v>
      </c>
      <c r="D514" s="57" t="s">
        <v>3115</v>
      </c>
      <c r="E514" s="102">
        <f>VLOOKUP(Z514&amp;"_"&amp;AA514,活动关卡!$A$88:$Z$111,5+5*AB514,FALSE)</f>
        <v>310</v>
      </c>
      <c r="F514" s="57">
        <v>1</v>
      </c>
      <c r="G514" s="57">
        <v>0</v>
      </c>
      <c r="H514" s="57">
        <v>0</v>
      </c>
      <c r="I514" s="57">
        <v>0</v>
      </c>
      <c r="Z514" s="110" t="str">
        <f t="shared" si="18"/>
        <v>2</v>
      </c>
      <c r="AA514" s="110" t="str">
        <f t="shared" si="19"/>
        <v>4</v>
      </c>
      <c r="AB514" s="110" t="str">
        <f t="shared" si="20"/>
        <v>3</v>
      </c>
    </row>
    <row r="515" spans="2:28" x14ac:dyDescent="0.2">
      <c r="B515" s="57" t="s">
        <v>2532</v>
      </c>
      <c r="D515" s="57" t="s">
        <v>3116</v>
      </c>
      <c r="E515" s="102">
        <f>VLOOKUP(Z515&amp;"_"&amp;AA515,活动关卡!$A$88:$Z$111,5+5*AB515,FALSE)</f>
        <v>310</v>
      </c>
      <c r="F515" s="57">
        <v>1</v>
      </c>
      <c r="G515" s="57">
        <v>0</v>
      </c>
      <c r="H515" s="57">
        <v>0</v>
      </c>
      <c r="I515" s="57">
        <v>0</v>
      </c>
      <c r="Z515" s="110" t="str">
        <f t="shared" si="18"/>
        <v>2</v>
      </c>
      <c r="AA515" s="110" t="str">
        <f t="shared" si="19"/>
        <v>4</v>
      </c>
      <c r="AB515" s="110" t="str">
        <f t="shared" si="20"/>
        <v>4</v>
      </c>
    </row>
    <row r="516" spans="2:28" x14ac:dyDescent="0.2">
      <c r="B516" s="57" t="s">
        <v>2533</v>
      </c>
      <c r="D516" s="57" t="s">
        <v>3117</v>
      </c>
      <c r="E516" s="102">
        <f>VLOOKUP(Z516&amp;"_"&amp;AA516,活动关卡!$A$88:$Z$111,5+5*AB516,FALSE)</f>
        <v>222</v>
      </c>
      <c r="F516" s="57">
        <v>1</v>
      </c>
      <c r="G516" s="57">
        <v>0</v>
      </c>
      <c r="H516" s="57">
        <v>0</v>
      </c>
      <c r="I516" s="57">
        <v>0</v>
      </c>
      <c r="Z516" s="110" t="str">
        <f t="shared" si="18"/>
        <v>2</v>
      </c>
      <c r="AA516" s="110" t="str">
        <f t="shared" si="19"/>
        <v>5</v>
      </c>
      <c r="AB516" s="110" t="str">
        <f t="shared" si="20"/>
        <v>1</v>
      </c>
    </row>
    <row r="517" spans="2:28" x14ac:dyDescent="0.2">
      <c r="B517" s="57" t="s">
        <v>2534</v>
      </c>
      <c r="D517" s="57" t="s">
        <v>3118</v>
      </c>
      <c r="E517" s="102">
        <f>VLOOKUP(Z517&amp;"_"&amp;AA517,活动关卡!$A$88:$Z$111,5+5*AB517,FALSE)</f>
        <v>111</v>
      </c>
      <c r="F517" s="57">
        <v>1</v>
      </c>
      <c r="G517" s="57">
        <v>0</v>
      </c>
      <c r="H517" s="57">
        <v>0</v>
      </c>
      <c r="I517" s="57">
        <v>0</v>
      </c>
      <c r="Z517" s="110" t="str">
        <f t="shared" si="18"/>
        <v>2</v>
      </c>
      <c r="AA517" s="110" t="str">
        <f t="shared" si="19"/>
        <v>5</v>
      </c>
      <c r="AB517" s="110" t="str">
        <f t="shared" si="20"/>
        <v>2</v>
      </c>
    </row>
    <row r="518" spans="2:28" x14ac:dyDescent="0.2">
      <c r="B518" s="57" t="s">
        <v>2535</v>
      </c>
      <c r="D518" s="57" t="s">
        <v>3119</v>
      </c>
      <c r="E518" s="102">
        <f>VLOOKUP(Z518&amp;"_"&amp;AA518,活动关卡!$A$88:$Z$111,5+5*AB518,FALSE)</f>
        <v>444</v>
      </c>
      <c r="F518" s="57">
        <v>1</v>
      </c>
      <c r="G518" s="57">
        <v>0</v>
      </c>
      <c r="H518" s="57">
        <v>0</v>
      </c>
      <c r="I518" s="57">
        <v>0</v>
      </c>
      <c r="Z518" s="110" t="str">
        <f t="shared" si="18"/>
        <v>2</v>
      </c>
      <c r="AA518" s="110" t="str">
        <f t="shared" si="19"/>
        <v>5</v>
      </c>
      <c r="AB518" s="110" t="str">
        <f t="shared" si="20"/>
        <v>3</v>
      </c>
    </row>
    <row r="519" spans="2:28" x14ac:dyDescent="0.2">
      <c r="B519" s="57" t="s">
        <v>2536</v>
      </c>
      <c r="D519" s="57" t="s">
        <v>3120</v>
      </c>
      <c r="E519" s="102">
        <f>VLOOKUP(Z519&amp;"_"&amp;AA519,活动关卡!$A$88:$Z$111,5+5*AB519,FALSE)</f>
        <v>444</v>
      </c>
      <c r="F519" s="57">
        <v>1</v>
      </c>
      <c r="G519" s="57">
        <v>0</v>
      </c>
      <c r="H519" s="57">
        <v>0</v>
      </c>
      <c r="I519" s="57">
        <v>0</v>
      </c>
      <c r="Z519" s="110" t="str">
        <f t="shared" si="18"/>
        <v>2</v>
      </c>
      <c r="AA519" s="110" t="str">
        <f t="shared" si="19"/>
        <v>5</v>
      </c>
      <c r="AB519" s="110" t="str">
        <f t="shared" si="20"/>
        <v>4</v>
      </c>
    </row>
    <row r="520" spans="2:28" x14ac:dyDescent="0.2">
      <c r="B520" s="57" t="s">
        <v>2537</v>
      </c>
      <c r="D520" s="57" t="s">
        <v>3121</v>
      </c>
      <c r="E520" s="102">
        <f>VLOOKUP(Z520&amp;"_"&amp;AA520,活动关卡!$A$88:$Z$111,5+5*AB520,FALSE)</f>
        <v>94</v>
      </c>
      <c r="F520" s="57">
        <v>1</v>
      </c>
      <c r="G520" s="57">
        <v>0</v>
      </c>
      <c r="H520" s="57">
        <v>0</v>
      </c>
      <c r="I520" s="57">
        <v>0</v>
      </c>
      <c r="Z520" s="110" t="str">
        <f t="shared" si="18"/>
        <v>3</v>
      </c>
      <c r="AA520" s="110" t="str">
        <f t="shared" si="19"/>
        <v>1</v>
      </c>
      <c r="AB520" s="110" t="str">
        <f t="shared" si="20"/>
        <v>1</v>
      </c>
    </row>
    <row r="521" spans="2:28" x14ac:dyDescent="0.2">
      <c r="B521" s="57" t="s">
        <v>2538</v>
      </c>
      <c r="D521" s="57" t="s">
        <v>3122</v>
      </c>
      <c r="E521" s="102">
        <f>VLOOKUP(Z521&amp;"_"&amp;AA521,活动关卡!$A$88:$Z$111,5+5*AB521,FALSE)</f>
        <v>125</v>
      </c>
      <c r="F521" s="57">
        <v>1</v>
      </c>
      <c r="G521" s="57">
        <v>0</v>
      </c>
      <c r="H521" s="57">
        <v>0</v>
      </c>
      <c r="I521" s="57">
        <v>0</v>
      </c>
      <c r="Z521" s="110" t="str">
        <f t="shared" si="18"/>
        <v>3</v>
      </c>
      <c r="AA521" s="110" t="str">
        <f t="shared" si="19"/>
        <v>1</v>
      </c>
      <c r="AB521" s="110" t="str">
        <f t="shared" si="20"/>
        <v>2</v>
      </c>
    </row>
    <row r="522" spans="2:28" x14ac:dyDescent="0.2">
      <c r="B522" s="57" t="s">
        <v>2539</v>
      </c>
      <c r="D522" s="57" t="s">
        <v>3123</v>
      </c>
      <c r="E522" s="102">
        <f>VLOOKUP(Z522&amp;"_"&amp;AA522,活动关卡!$A$88:$Z$111,5+5*AB522,FALSE)</f>
        <v>240</v>
      </c>
      <c r="F522" s="57">
        <v>1</v>
      </c>
      <c r="G522" s="57">
        <v>0</v>
      </c>
      <c r="H522" s="57">
        <v>0</v>
      </c>
      <c r="I522" s="57">
        <v>0</v>
      </c>
      <c r="Z522" s="110" t="str">
        <f t="shared" si="18"/>
        <v>3</v>
      </c>
      <c r="AA522" s="110" t="str">
        <f t="shared" si="19"/>
        <v>2</v>
      </c>
      <c r="AB522" s="110" t="str">
        <f t="shared" si="20"/>
        <v>1</v>
      </c>
    </row>
    <row r="523" spans="2:28" x14ac:dyDescent="0.2">
      <c r="B523" s="57" t="s">
        <v>2540</v>
      </c>
      <c r="D523" s="57" t="s">
        <v>3124</v>
      </c>
      <c r="E523" s="102">
        <f>VLOOKUP(Z523&amp;"_"&amp;AA523,活动关卡!$A$88:$Z$111,5+5*AB523,FALSE)</f>
        <v>160</v>
      </c>
      <c r="F523" s="57">
        <v>1</v>
      </c>
      <c r="G523" s="57">
        <v>0</v>
      </c>
      <c r="H523" s="57">
        <v>0</v>
      </c>
      <c r="I523" s="57">
        <v>0</v>
      </c>
      <c r="Z523" s="110" t="str">
        <f t="shared" si="18"/>
        <v>3</v>
      </c>
      <c r="AA523" s="110" t="str">
        <f t="shared" si="19"/>
        <v>2</v>
      </c>
      <c r="AB523" s="110" t="str">
        <f t="shared" si="20"/>
        <v>2</v>
      </c>
    </row>
    <row r="524" spans="2:28" x14ac:dyDescent="0.2">
      <c r="B524" s="57" t="s">
        <v>2541</v>
      </c>
      <c r="D524" s="57" t="s">
        <v>3125</v>
      </c>
      <c r="E524" s="102">
        <f>VLOOKUP(Z524&amp;"_"&amp;AA524,活动关卡!$A$88:$Z$111,5+5*AB524,FALSE)</f>
        <v>320</v>
      </c>
      <c r="F524" s="57">
        <v>1</v>
      </c>
      <c r="G524" s="57">
        <v>0</v>
      </c>
      <c r="H524" s="57">
        <v>0</v>
      </c>
      <c r="I524" s="57">
        <v>0</v>
      </c>
      <c r="Z524" s="110" t="str">
        <f t="shared" si="18"/>
        <v>3</v>
      </c>
      <c r="AA524" s="110" t="str">
        <f t="shared" si="19"/>
        <v>2</v>
      </c>
      <c r="AB524" s="110" t="str">
        <f t="shared" si="20"/>
        <v>3</v>
      </c>
    </row>
    <row r="525" spans="2:28" x14ac:dyDescent="0.2">
      <c r="B525" s="57" t="s">
        <v>2542</v>
      </c>
      <c r="D525" s="57" t="s">
        <v>3126</v>
      </c>
      <c r="E525" s="102">
        <f>VLOOKUP(Z525&amp;"_"&amp;AA525,活动关卡!$A$88:$Z$111,5+5*AB525,FALSE)</f>
        <v>1020</v>
      </c>
      <c r="F525" s="57">
        <v>1</v>
      </c>
      <c r="G525" s="57">
        <v>0</v>
      </c>
      <c r="H525" s="57">
        <v>0</v>
      </c>
      <c r="I525" s="57">
        <v>0</v>
      </c>
      <c r="Z525" s="110" t="str">
        <f t="shared" si="18"/>
        <v>3</v>
      </c>
      <c r="AA525" s="110" t="str">
        <f t="shared" si="19"/>
        <v>3</v>
      </c>
      <c r="AB525" s="110" t="str">
        <f t="shared" si="20"/>
        <v>1</v>
      </c>
    </row>
    <row r="526" spans="2:28" x14ac:dyDescent="0.2">
      <c r="B526" s="57" t="s">
        <v>2543</v>
      </c>
      <c r="D526" s="57" t="s">
        <v>3127</v>
      </c>
      <c r="E526" s="102">
        <f>VLOOKUP(Z526&amp;"_"&amp;AA526,活动关卡!$A$88:$Z$111,5+5*AB526,FALSE)</f>
        <v>170</v>
      </c>
      <c r="F526" s="57">
        <v>1</v>
      </c>
      <c r="G526" s="57">
        <v>0</v>
      </c>
      <c r="H526" s="57">
        <v>0</v>
      </c>
      <c r="I526" s="57">
        <v>0</v>
      </c>
      <c r="Z526" s="110" t="str">
        <f t="shared" si="18"/>
        <v>3</v>
      </c>
      <c r="AA526" s="110" t="str">
        <f t="shared" si="19"/>
        <v>3</v>
      </c>
      <c r="AB526" s="110" t="str">
        <f t="shared" si="20"/>
        <v>2</v>
      </c>
    </row>
    <row r="527" spans="2:28" x14ac:dyDescent="0.2">
      <c r="B527" s="57" t="s">
        <v>2544</v>
      </c>
      <c r="D527" s="57" t="s">
        <v>3128</v>
      </c>
      <c r="E527" s="102">
        <f>VLOOKUP(Z527&amp;"_"&amp;AA527,活动关卡!$A$88:$Z$111,5+5*AB527,FALSE)</f>
        <v>1361</v>
      </c>
      <c r="F527" s="57">
        <v>1</v>
      </c>
      <c r="G527" s="57">
        <v>0</v>
      </c>
      <c r="H527" s="57">
        <v>0</v>
      </c>
      <c r="I527" s="57">
        <v>0</v>
      </c>
      <c r="Z527" s="110" t="str">
        <f t="shared" si="18"/>
        <v>3</v>
      </c>
      <c r="AA527" s="110" t="str">
        <f t="shared" si="19"/>
        <v>3</v>
      </c>
      <c r="AB527" s="110" t="str">
        <f t="shared" si="20"/>
        <v>3</v>
      </c>
    </row>
    <row r="528" spans="2:28" x14ac:dyDescent="0.2">
      <c r="B528" s="57" t="s">
        <v>2545</v>
      </c>
      <c r="D528" s="57" t="s">
        <v>3129</v>
      </c>
      <c r="E528" s="102">
        <f>VLOOKUP(Z528&amp;"_"&amp;AA528,活动关卡!$A$88:$Z$111,5+5*AB528,FALSE)</f>
        <v>83</v>
      </c>
      <c r="F528" s="57">
        <v>1</v>
      </c>
      <c r="G528" s="57">
        <v>0</v>
      </c>
      <c r="H528" s="57">
        <v>0</v>
      </c>
      <c r="I528" s="57">
        <v>0</v>
      </c>
      <c r="Z528" s="110" t="str">
        <f t="shared" si="18"/>
        <v>4</v>
      </c>
      <c r="AA528" s="110" t="str">
        <f t="shared" si="19"/>
        <v>1</v>
      </c>
      <c r="AB528" s="110" t="str">
        <f t="shared" si="20"/>
        <v>1</v>
      </c>
    </row>
    <row r="529" spans="2:28" x14ac:dyDescent="0.2">
      <c r="B529" s="57" t="s">
        <v>2546</v>
      </c>
      <c r="D529" s="57" t="s">
        <v>3130</v>
      </c>
      <c r="E529" s="102">
        <f>VLOOKUP(Z529&amp;"_"&amp;AA529,活动关卡!$A$88:$Z$111,5+5*AB529,FALSE)</f>
        <v>333</v>
      </c>
      <c r="F529" s="57">
        <v>1</v>
      </c>
      <c r="G529" s="57">
        <v>0</v>
      </c>
      <c r="H529" s="57">
        <v>0</v>
      </c>
      <c r="I529" s="57">
        <v>0</v>
      </c>
      <c r="Z529" s="110" t="str">
        <f t="shared" si="18"/>
        <v>4</v>
      </c>
      <c r="AA529" s="110" t="str">
        <f t="shared" si="19"/>
        <v>1</v>
      </c>
      <c r="AB529" s="110" t="str">
        <f t="shared" si="20"/>
        <v>2</v>
      </c>
    </row>
    <row r="530" spans="2:28" x14ac:dyDescent="0.2">
      <c r="B530" s="57" t="s">
        <v>2547</v>
      </c>
      <c r="D530" s="57" t="s">
        <v>3131</v>
      </c>
      <c r="E530" s="102">
        <f>VLOOKUP(Z530&amp;"_"&amp;AA530,活动关卡!$A$88:$Z$111,5+5*AB530,FALSE)</f>
        <v>220</v>
      </c>
      <c r="F530" s="57">
        <v>1</v>
      </c>
      <c r="G530" s="57">
        <v>0</v>
      </c>
      <c r="H530" s="57">
        <v>0</v>
      </c>
      <c r="I530" s="57">
        <v>0</v>
      </c>
      <c r="Z530" s="110" t="str">
        <f t="shared" si="18"/>
        <v>4</v>
      </c>
      <c r="AA530" s="110" t="str">
        <f t="shared" si="19"/>
        <v>2</v>
      </c>
      <c r="AB530" s="110" t="str">
        <f t="shared" si="20"/>
        <v>1</v>
      </c>
    </row>
    <row r="531" spans="2:28" x14ac:dyDescent="0.2">
      <c r="B531" s="57" t="s">
        <v>2548</v>
      </c>
      <c r="D531" s="57" t="s">
        <v>3132</v>
      </c>
      <c r="E531" s="102">
        <f>VLOOKUP(Z531&amp;"_"&amp;AA531,活动关卡!$A$88:$Z$111,5+5*AB531,FALSE)</f>
        <v>439</v>
      </c>
      <c r="F531" s="57">
        <v>1</v>
      </c>
      <c r="G531" s="57">
        <v>0</v>
      </c>
      <c r="H531" s="57">
        <v>0</v>
      </c>
      <c r="I531" s="57">
        <v>0</v>
      </c>
      <c r="Z531" s="110" t="str">
        <f t="shared" si="18"/>
        <v>4</v>
      </c>
      <c r="AA531" s="110" t="str">
        <f t="shared" si="19"/>
        <v>2</v>
      </c>
      <c r="AB531" s="110" t="str">
        <f t="shared" si="20"/>
        <v>2</v>
      </c>
    </row>
    <row r="532" spans="2:28" x14ac:dyDescent="0.2">
      <c r="B532" s="57" t="s">
        <v>2549</v>
      </c>
      <c r="D532" s="57" t="s">
        <v>3133</v>
      </c>
      <c r="E532" s="102">
        <f>VLOOKUP(Z532&amp;"_"&amp;AA532,活动关卡!$A$88:$Z$111,5+5*AB532,FALSE)</f>
        <v>878</v>
      </c>
      <c r="F532" s="57">
        <v>1</v>
      </c>
      <c r="G532" s="57">
        <v>0</v>
      </c>
      <c r="H532" s="57">
        <v>0</v>
      </c>
      <c r="I532" s="57">
        <v>0</v>
      </c>
      <c r="Z532" s="110" t="str">
        <f t="shared" si="18"/>
        <v>4</v>
      </c>
      <c r="AA532" s="110" t="str">
        <f t="shared" si="19"/>
        <v>2</v>
      </c>
      <c r="AB532" s="110" t="str">
        <f t="shared" si="20"/>
        <v>3</v>
      </c>
    </row>
    <row r="533" spans="2:28" x14ac:dyDescent="0.2">
      <c r="B533" s="57" t="s">
        <v>2550</v>
      </c>
      <c r="D533" s="57" t="s">
        <v>3134</v>
      </c>
      <c r="E533" s="102">
        <f>VLOOKUP(Z533&amp;"_"&amp;AA533,活动关卡!$A$88:$Z$111,5+5*AB533,FALSE)</f>
        <v>815</v>
      </c>
      <c r="F533" s="57">
        <v>1</v>
      </c>
      <c r="G533" s="57">
        <v>0</v>
      </c>
      <c r="H533" s="57">
        <v>0</v>
      </c>
      <c r="I533" s="57">
        <v>0</v>
      </c>
      <c r="Z533" s="110" t="str">
        <f t="shared" si="18"/>
        <v>4</v>
      </c>
      <c r="AA533" s="110" t="str">
        <f t="shared" si="19"/>
        <v>3</v>
      </c>
      <c r="AB533" s="110" t="str">
        <f t="shared" si="20"/>
        <v>1</v>
      </c>
    </row>
    <row r="534" spans="2:28" x14ac:dyDescent="0.2">
      <c r="B534" s="57" t="s">
        <v>2551</v>
      </c>
      <c r="D534" s="57" t="s">
        <v>3135</v>
      </c>
      <c r="E534" s="102">
        <f>VLOOKUP(Z534&amp;"_"&amp;AA534,活动关卡!$A$88:$Z$111,5+5*AB534,FALSE)</f>
        <v>408</v>
      </c>
      <c r="F534" s="57">
        <v>1</v>
      </c>
      <c r="G534" s="57">
        <v>0</v>
      </c>
      <c r="H534" s="57">
        <v>0</v>
      </c>
      <c r="I534" s="57">
        <v>0</v>
      </c>
      <c r="Z534" s="110" t="str">
        <f t="shared" si="18"/>
        <v>4</v>
      </c>
      <c r="AA534" s="110" t="str">
        <f t="shared" si="19"/>
        <v>3</v>
      </c>
      <c r="AB534" s="110" t="str">
        <f t="shared" si="20"/>
        <v>2</v>
      </c>
    </row>
    <row r="535" spans="2:28" x14ac:dyDescent="0.2">
      <c r="B535" s="57" t="s">
        <v>2552</v>
      </c>
      <c r="D535" s="57" t="s">
        <v>3136</v>
      </c>
      <c r="E535" s="102">
        <f>VLOOKUP(Z535&amp;"_"&amp;AA535,活动关卡!$A$88:$Z$111,5+5*AB535,FALSE)</f>
        <v>3260</v>
      </c>
      <c r="F535" s="57">
        <v>1</v>
      </c>
      <c r="G535" s="57">
        <v>0</v>
      </c>
      <c r="H535" s="57">
        <v>0</v>
      </c>
      <c r="I535" s="57">
        <v>0</v>
      </c>
      <c r="Z535" s="110" t="str">
        <f t="shared" si="18"/>
        <v>4</v>
      </c>
      <c r="AA535" s="110" t="str">
        <f t="shared" si="19"/>
        <v>3</v>
      </c>
      <c r="AB535" s="110" t="str">
        <f t="shared" si="20"/>
        <v>3</v>
      </c>
    </row>
    <row r="536" spans="2:28" x14ac:dyDescent="0.2">
      <c r="B536" s="57" t="s">
        <v>2553</v>
      </c>
      <c r="D536" s="57" t="s">
        <v>3137</v>
      </c>
      <c r="E536" s="102">
        <f>VLOOKUP(Z536&amp;"_"&amp;AA536,活动关卡!$A$88:$Z$111,5+5*AB536,FALSE)</f>
        <v>105</v>
      </c>
      <c r="F536" s="57">
        <v>1</v>
      </c>
      <c r="G536" s="57">
        <v>0</v>
      </c>
      <c r="H536" s="57">
        <v>0</v>
      </c>
      <c r="I536" s="57">
        <v>0</v>
      </c>
      <c r="Z536" s="110" t="str">
        <f t="shared" si="18"/>
        <v>4</v>
      </c>
      <c r="AA536" s="110" t="str">
        <f t="shared" si="19"/>
        <v>4</v>
      </c>
      <c r="AB536" s="110" t="str">
        <f t="shared" si="20"/>
        <v>1</v>
      </c>
    </row>
    <row r="537" spans="2:28" x14ac:dyDescent="0.2">
      <c r="B537" s="57" t="s">
        <v>2554</v>
      </c>
      <c r="D537" s="57" t="s">
        <v>3138</v>
      </c>
      <c r="E537" s="102">
        <f>VLOOKUP(Z537&amp;"_"&amp;AA537,活动关卡!$A$88:$Z$111,5+5*AB537,FALSE)</f>
        <v>105</v>
      </c>
      <c r="F537" s="57">
        <v>1</v>
      </c>
      <c r="G537" s="57">
        <v>0</v>
      </c>
      <c r="H537" s="57">
        <v>0</v>
      </c>
      <c r="I537" s="57">
        <v>0</v>
      </c>
      <c r="Z537" s="110" t="str">
        <f t="shared" si="18"/>
        <v>4</v>
      </c>
      <c r="AA537" s="110" t="str">
        <f t="shared" si="19"/>
        <v>4</v>
      </c>
      <c r="AB537" s="110" t="str">
        <f t="shared" si="20"/>
        <v>2</v>
      </c>
    </row>
    <row r="538" spans="2:28" x14ac:dyDescent="0.2">
      <c r="B538" s="57" t="s">
        <v>2555</v>
      </c>
      <c r="D538" s="57" t="s">
        <v>3139</v>
      </c>
      <c r="E538" s="102">
        <f>VLOOKUP(Z538&amp;"_"&amp;AA538,活动关卡!$A$88:$Z$111,5+5*AB538,FALSE)</f>
        <v>422</v>
      </c>
      <c r="F538" s="57">
        <v>1</v>
      </c>
      <c r="G538" s="57">
        <v>0</v>
      </c>
      <c r="H538" s="57">
        <v>0</v>
      </c>
      <c r="I538" s="57">
        <v>0</v>
      </c>
      <c r="Z538" s="110" t="str">
        <f t="shared" si="18"/>
        <v>4</v>
      </c>
      <c r="AA538" s="110" t="str">
        <f t="shared" si="19"/>
        <v>4</v>
      </c>
      <c r="AB538" s="110" t="str">
        <f t="shared" si="20"/>
        <v>3</v>
      </c>
    </row>
    <row r="539" spans="2:28" x14ac:dyDescent="0.2">
      <c r="B539" s="57" t="s">
        <v>2556</v>
      </c>
      <c r="D539" s="57" t="s">
        <v>3140</v>
      </c>
      <c r="E539" s="102">
        <f>VLOOKUP(Z539&amp;"_"&amp;AA539,活动关卡!$A$88:$Z$111,5+5*AB539,FALSE)</f>
        <v>108</v>
      </c>
      <c r="F539" s="57">
        <v>1</v>
      </c>
      <c r="G539" s="57">
        <v>0</v>
      </c>
      <c r="H539" s="57">
        <v>0</v>
      </c>
      <c r="I539" s="57">
        <v>0</v>
      </c>
      <c r="Z539" s="110" t="str">
        <f t="shared" si="18"/>
        <v>4</v>
      </c>
      <c r="AA539" s="110" t="str">
        <f t="shared" si="19"/>
        <v>5</v>
      </c>
      <c r="AB539" s="110" t="str">
        <f t="shared" si="20"/>
        <v>1</v>
      </c>
    </row>
    <row r="540" spans="2:28" x14ac:dyDescent="0.2">
      <c r="B540" s="57" t="s">
        <v>2557</v>
      </c>
      <c r="D540" s="57" t="s">
        <v>3141</v>
      </c>
      <c r="E540" s="102">
        <f>VLOOKUP(Z540&amp;"_"&amp;AA540,活动关卡!$A$88:$Z$111,5+5*AB540,FALSE)</f>
        <v>324</v>
      </c>
      <c r="F540" s="57">
        <v>1</v>
      </c>
      <c r="G540" s="57">
        <v>0</v>
      </c>
      <c r="H540" s="57">
        <v>0</v>
      </c>
      <c r="I540" s="57">
        <v>0</v>
      </c>
      <c r="Z540" s="110" t="str">
        <f t="shared" si="18"/>
        <v>4</v>
      </c>
      <c r="AA540" s="110" t="str">
        <f t="shared" si="19"/>
        <v>5</v>
      </c>
      <c r="AB540" s="110" t="str">
        <f t="shared" si="20"/>
        <v>2</v>
      </c>
    </row>
    <row r="541" spans="2:28" x14ac:dyDescent="0.2">
      <c r="B541" s="57" t="s">
        <v>2558</v>
      </c>
      <c r="D541" s="57" t="s">
        <v>3142</v>
      </c>
      <c r="E541" s="102">
        <f>VLOOKUP(Z541&amp;"_"&amp;AA541,活动关卡!$A$88:$Z$111,5+5*AB541,FALSE)</f>
        <v>432</v>
      </c>
      <c r="F541" s="57">
        <v>1</v>
      </c>
      <c r="G541" s="57">
        <v>0</v>
      </c>
      <c r="H541" s="57">
        <v>0</v>
      </c>
      <c r="I541" s="57">
        <v>0</v>
      </c>
      <c r="Z541" s="110" t="str">
        <f t="shared" si="18"/>
        <v>4</v>
      </c>
      <c r="AA541" s="110" t="str">
        <f t="shared" si="19"/>
        <v>5</v>
      </c>
      <c r="AB541" s="110" t="str">
        <f t="shared" si="20"/>
        <v>3</v>
      </c>
    </row>
    <row r="542" spans="2:28" x14ac:dyDescent="0.2">
      <c r="B542" s="57" t="s">
        <v>2559</v>
      </c>
      <c r="D542" s="57" t="s">
        <v>3143</v>
      </c>
      <c r="E542" s="102">
        <f>VLOOKUP(Z542&amp;"_"&amp;AA542,活动关卡!$A$88:$Z$111,5+5*AB542,FALSE)</f>
        <v>360</v>
      </c>
      <c r="F542" s="57">
        <v>1</v>
      </c>
      <c r="G542" s="57">
        <v>0</v>
      </c>
      <c r="H542" s="57">
        <v>0</v>
      </c>
      <c r="I542" s="57">
        <v>0</v>
      </c>
      <c r="Z542" s="110" t="str">
        <f t="shared" si="18"/>
        <v>5</v>
      </c>
      <c r="AA542" s="110" t="str">
        <f t="shared" si="19"/>
        <v>1</v>
      </c>
      <c r="AB542" s="110" t="str">
        <f t="shared" si="20"/>
        <v>1</v>
      </c>
    </row>
    <row r="543" spans="2:28" x14ac:dyDescent="0.2">
      <c r="B543" s="57" t="s">
        <v>2560</v>
      </c>
      <c r="D543" s="57" t="s">
        <v>3144</v>
      </c>
      <c r="E543" s="102">
        <f>VLOOKUP(Z543&amp;"_"&amp;AA543,活动关卡!$A$88:$Z$111,5+5*AB543,FALSE)</f>
        <v>360</v>
      </c>
      <c r="F543" s="57">
        <v>1</v>
      </c>
      <c r="G543" s="57">
        <v>0</v>
      </c>
      <c r="H543" s="57">
        <v>0</v>
      </c>
      <c r="I543" s="57">
        <v>0</v>
      </c>
      <c r="Z543" s="110" t="str">
        <f t="shared" si="18"/>
        <v>5</v>
      </c>
      <c r="AA543" s="110" t="str">
        <f t="shared" si="19"/>
        <v>1</v>
      </c>
      <c r="AB543" s="110" t="str">
        <f t="shared" si="20"/>
        <v>2</v>
      </c>
    </row>
    <row r="544" spans="2:28" x14ac:dyDescent="0.2">
      <c r="B544" s="57" t="s">
        <v>2561</v>
      </c>
      <c r="D544" s="57" t="s">
        <v>3145</v>
      </c>
      <c r="E544" s="102">
        <f>VLOOKUP(Z544&amp;"_"&amp;AA544,活动关卡!$A$88:$Z$111,5+5*AB544,FALSE)</f>
        <v>823</v>
      </c>
      <c r="F544" s="57">
        <v>1</v>
      </c>
      <c r="G544" s="57">
        <v>0</v>
      </c>
      <c r="H544" s="57">
        <v>0</v>
      </c>
      <c r="I544" s="57">
        <v>0</v>
      </c>
      <c r="Z544" s="110" t="str">
        <f t="shared" si="18"/>
        <v>5</v>
      </c>
      <c r="AA544" s="110" t="str">
        <f t="shared" si="19"/>
        <v>2</v>
      </c>
      <c r="AB544" s="110" t="str">
        <f t="shared" si="20"/>
        <v>1</v>
      </c>
    </row>
    <row r="545" spans="2:28" x14ac:dyDescent="0.2">
      <c r="B545" s="57" t="s">
        <v>2562</v>
      </c>
      <c r="D545" s="57" t="s">
        <v>3146</v>
      </c>
      <c r="E545" s="102">
        <f>VLOOKUP(Z545&amp;"_"&amp;AA545,活动关卡!$A$88:$Z$111,5+5*AB545,FALSE)</f>
        <v>103</v>
      </c>
      <c r="F545" s="57">
        <v>1</v>
      </c>
      <c r="G545" s="57">
        <v>0</v>
      </c>
      <c r="H545" s="57">
        <v>0</v>
      </c>
      <c r="I545" s="57">
        <v>0</v>
      </c>
      <c r="Z545" s="110" t="str">
        <f t="shared" si="18"/>
        <v>5</v>
      </c>
      <c r="AA545" s="110" t="str">
        <f t="shared" si="19"/>
        <v>2</v>
      </c>
      <c r="AB545" s="110" t="str">
        <f t="shared" si="20"/>
        <v>2</v>
      </c>
    </row>
    <row r="546" spans="2:28" x14ac:dyDescent="0.2">
      <c r="B546" s="57" t="s">
        <v>2563</v>
      </c>
      <c r="D546" s="57" t="s">
        <v>3147</v>
      </c>
      <c r="E546" s="102">
        <f>VLOOKUP(Z546&amp;"_"&amp;AA546,活动关卡!$A$88:$Z$111,5+5*AB546,FALSE)</f>
        <v>823</v>
      </c>
      <c r="F546" s="57">
        <v>1</v>
      </c>
      <c r="G546" s="57">
        <v>0</v>
      </c>
      <c r="H546" s="57">
        <v>0</v>
      </c>
      <c r="I546" s="57">
        <v>0</v>
      </c>
      <c r="Z546" s="110" t="str">
        <f t="shared" si="18"/>
        <v>5</v>
      </c>
      <c r="AA546" s="110" t="str">
        <f t="shared" si="19"/>
        <v>2</v>
      </c>
      <c r="AB546" s="110" t="str">
        <f t="shared" si="20"/>
        <v>3</v>
      </c>
    </row>
    <row r="547" spans="2:28" x14ac:dyDescent="0.2">
      <c r="B547" s="57" t="s">
        <v>2564</v>
      </c>
      <c r="D547" s="57" t="s">
        <v>3148</v>
      </c>
      <c r="E547" s="102">
        <f>VLOOKUP(Z547&amp;"_"&amp;AA547,活动关卡!$A$88:$Z$111,5+5*AB547,FALSE)</f>
        <v>2160</v>
      </c>
      <c r="F547" s="57">
        <v>1</v>
      </c>
      <c r="G547" s="57">
        <v>0</v>
      </c>
      <c r="H547" s="57">
        <v>0</v>
      </c>
      <c r="I547" s="57">
        <v>0</v>
      </c>
      <c r="Z547" s="110" t="str">
        <f t="shared" si="18"/>
        <v>5</v>
      </c>
      <c r="AA547" s="110" t="str">
        <f t="shared" si="19"/>
        <v>3</v>
      </c>
      <c r="AB547" s="110" t="str">
        <f t="shared" si="20"/>
        <v>1</v>
      </c>
    </row>
    <row r="548" spans="2:28" x14ac:dyDescent="0.2">
      <c r="B548" s="57" t="s">
        <v>2565</v>
      </c>
      <c r="D548" s="57" t="s">
        <v>3149</v>
      </c>
      <c r="E548" s="102">
        <f>VLOOKUP(Z548&amp;"_"&amp;AA548,活动关卡!$A$88:$Z$111,5+5*AB548,FALSE)</f>
        <v>540</v>
      </c>
      <c r="F548" s="57">
        <v>1</v>
      </c>
      <c r="G548" s="57">
        <v>0</v>
      </c>
      <c r="H548" s="57">
        <v>0</v>
      </c>
      <c r="I548" s="57">
        <v>0</v>
      </c>
      <c r="Z548" s="110" t="str">
        <f t="shared" si="18"/>
        <v>5</v>
      </c>
      <c r="AA548" s="110" t="str">
        <f t="shared" si="19"/>
        <v>3</v>
      </c>
      <c r="AB548" s="110" t="str">
        <f t="shared" si="20"/>
        <v>2</v>
      </c>
    </row>
    <row r="549" spans="2:28" x14ac:dyDescent="0.2">
      <c r="B549" s="57" t="s">
        <v>2566</v>
      </c>
      <c r="D549" s="57" t="s">
        <v>3150</v>
      </c>
      <c r="E549" s="102">
        <f>VLOOKUP(Z549&amp;"_"&amp;AA549,活动关卡!$A$88:$Z$111,5+5*AB549,FALSE)</f>
        <v>540</v>
      </c>
      <c r="F549" s="57">
        <v>1</v>
      </c>
      <c r="G549" s="57">
        <v>0</v>
      </c>
      <c r="H549" s="57">
        <v>0</v>
      </c>
      <c r="I549" s="57">
        <v>0</v>
      </c>
      <c r="Z549" s="110" t="str">
        <f t="shared" si="18"/>
        <v>5</v>
      </c>
      <c r="AA549" s="110" t="str">
        <f t="shared" si="19"/>
        <v>3</v>
      </c>
      <c r="AB549" s="110" t="str">
        <f t="shared" si="20"/>
        <v>3</v>
      </c>
    </row>
    <row r="550" spans="2:28" x14ac:dyDescent="0.2">
      <c r="B550" s="57" t="s">
        <v>2567</v>
      </c>
      <c r="D550" s="57" t="s">
        <v>3151</v>
      </c>
      <c r="E550" s="102">
        <f>VLOOKUP(Z550&amp;"_"&amp;AA550,活动关卡!$A$88:$Z$111,5+5*AB550,FALSE)</f>
        <v>2160</v>
      </c>
      <c r="F550" s="57">
        <v>1</v>
      </c>
      <c r="G550" s="57">
        <v>0</v>
      </c>
      <c r="H550" s="57">
        <v>0</v>
      </c>
      <c r="I550" s="57">
        <v>0</v>
      </c>
      <c r="Z550" s="110" t="str">
        <f t="shared" si="18"/>
        <v>5</v>
      </c>
      <c r="AA550" s="110" t="str">
        <f t="shared" si="19"/>
        <v>3</v>
      </c>
      <c r="AB550" s="110" t="str">
        <f t="shared" si="20"/>
        <v>4</v>
      </c>
    </row>
    <row r="551" spans="2:28" x14ac:dyDescent="0.2">
      <c r="B551" s="57" t="s">
        <v>2568</v>
      </c>
      <c r="D551" s="57" t="s">
        <v>3152</v>
      </c>
      <c r="E551" s="102">
        <f>VLOOKUP(Z551&amp;"_"&amp;AA551,活动关卡!$A$88:$Z$111,5+5*AB551,FALSE)</f>
        <v>908</v>
      </c>
      <c r="F551" s="57">
        <v>1</v>
      </c>
      <c r="G551" s="57">
        <v>0</v>
      </c>
      <c r="H551" s="57">
        <v>0</v>
      </c>
      <c r="I551" s="57">
        <v>0</v>
      </c>
      <c r="Z551" s="110" t="str">
        <f t="shared" si="18"/>
        <v>5</v>
      </c>
      <c r="AA551" s="110" t="str">
        <f t="shared" si="19"/>
        <v>4</v>
      </c>
      <c r="AB551" s="110" t="str">
        <f t="shared" si="20"/>
        <v>1</v>
      </c>
    </row>
    <row r="552" spans="2:28" x14ac:dyDescent="0.2">
      <c r="B552" s="57" t="s">
        <v>2569</v>
      </c>
      <c r="D552" s="57" t="s">
        <v>3153</v>
      </c>
      <c r="E552" s="102">
        <f>VLOOKUP(Z552&amp;"_"&amp;AA552,活动关卡!$A$88:$Z$111,5+5*AB552,FALSE)</f>
        <v>227</v>
      </c>
      <c r="F552" s="57">
        <v>1</v>
      </c>
      <c r="G552" s="57">
        <v>0</v>
      </c>
      <c r="H552" s="57">
        <v>0</v>
      </c>
      <c r="I552" s="57">
        <v>0</v>
      </c>
      <c r="Z552" s="110" t="str">
        <f t="shared" si="18"/>
        <v>5</v>
      </c>
      <c r="AA552" s="110" t="str">
        <f t="shared" si="19"/>
        <v>4</v>
      </c>
      <c r="AB552" s="110" t="str">
        <f t="shared" si="20"/>
        <v>2</v>
      </c>
    </row>
    <row r="553" spans="2:28" x14ac:dyDescent="0.2">
      <c r="B553" s="57" t="s">
        <v>2570</v>
      </c>
      <c r="D553" s="57" t="s">
        <v>3154</v>
      </c>
      <c r="E553" s="102">
        <f>VLOOKUP(Z553&amp;"_"&amp;AA553,活动关卡!$A$88:$Z$111,5+5*AB553,FALSE)</f>
        <v>908</v>
      </c>
      <c r="F553" s="57">
        <v>1</v>
      </c>
      <c r="G553" s="57">
        <v>0</v>
      </c>
      <c r="H553" s="57">
        <v>0</v>
      </c>
      <c r="I553" s="57">
        <v>0</v>
      </c>
      <c r="Z553" s="110" t="str">
        <f t="shared" si="18"/>
        <v>5</v>
      </c>
      <c r="AA553" s="110" t="str">
        <f t="shared" si="19"/>
        <v>4</v>
      </c>
      <c r="AB553" s="110" t="str">
        <f t="shared" si="20"/>
        <v>3</v>
      </c>
    </row>
    <row r="554" spans="2:28" x14ac:dyDescent="0.2">
      <c r="B554" s="57" t="s">
        <v>2571</v>
      </c>
      <c r="D554" s="57" t="s">
        <v>3155</v>
      </c>
      <c r="E554" s="102">
        <f>VLOOKUP(Z554&amp;"_"&amp;AA554,活动关卡!$A$88:$Z$111,5+5*AB554,FALSE)</f>
        <v>642</v>
      </c>
      <c r="F554" s="57">
        <v>1</v>
      </c>
      <c r="G554" s="57">
        <v>0</v>
      </c>
      <c r="H554" s="57">
        <v>0</v>
      </c>
      <c r="I554" s="57">
        <v>0</v>
      </c>
      <c r="Z554" s="110" t="str">
        <f t="shared" si="18"/>
        <v>5</v>
      </c>
      <c r="AA554" s="110" t="str">
        <f t="shared" si="19"/>
        <v>5</v>
      </c>
      <c r="AB554" s="110" t="str">
        <f t="shared" si="20"/>
        <v>1</v>
      </c>
    </row>
    <row r="555" spans="2:28" x14ac:dyDescent="0.2">
      <c r="B555" s="57" t="s">
        <v>2572</v>
      </c>
      <c r="D555" s="57" t="s">
        <v>3156</v>
      </c>
      <c r="E555" s="102">
        <f>VLOOKUP(Z555&amp;"_"&amp;AA555,活动关卡!$A$88:$Z$111,5+5*AB555,FALSE)</f>
        <v>160</v>
      </c>
      <c r="F555" s="57">
        <v>1</v>
      </c>
      <c r="G555" s="57">
        <v>0</v>
      </c>
      <c r="H555" s="57">
        <v>0</v>
      </c>
      <c r="I555" s="57">
        <v>0</v>
      </c>
      <c r="Z555" s="110" t="str">
        <f t="shared" ref="Z555:Z570" si="21">LEFT(RIGHT(D555,5),1)</f>
        <v>5</v>
      </c>
      <c r="AA555" s="110" t="str">
        <f t="shared" ref="AA555:AA570" si="22">LEFT(RIGHT(D555,3),1)</f>
        <v>5</v>
      </c>
      <c r="AB555" s="110" t="str">
        <f t="shared" ref="AB555:AB570" si="23">RIGHT(D555,1)</f>
        <v>2</v>
      </c>
    </row>
    <row r="556" spans="2:28" x14ac:dyDescent="0.2">
      <c r="B556" s="57" t="s">
        <v>2573</v>
      </c>
      <c r="D556" s="57" t="s">
        <v>3157</v>
      </c>
      <c r="E556" s="102">
        <f>VLOOKUP(Z556&amp;"_"&amp;AA556,活动关卡!$A$88:$Z$111,5+5*AB556,FALSE)</f>
        <v>481</v>
      </c>
      <c r="F556" s="57">
        <v>1</v>
      </c>
      <c r="G556" s="57">
        <v>0</v>
      </c>
      <c r="H556" s="57">
        <v>0</v>
      </c>
      <c r="I556" s="57">
        <v>0</v>
      </c>
      <c r="Z556" s="110" t="str">
        <f t="shared" si="21"/>
        <v>5</v>
      </c>
      <c r="AA556" s="110" t="str">
        <f t="shared" si="22"/>
        <v>5</v>
      </c>
      <c r="AB556" s="110" t="str">
        <f t="shared" si="23"/>
        <v>3</v>
      </c>
    </row>
    <row r="557" spans="2:28" x14ac:dyDescent="0.2">
      <c r="B557" s="57" t="s">
        <v>2574</v>
      </c>
      <c r="D557" s="57" t="s">
        <v>3158</v>
      </c>
      <c r="E557" s="102">
        <f>VLOOKUP(Z557&amp;"_"&amp;AA557,活动关卡!$A$88:$Z$111,5+5*AB557,FALSE)</f>
        <v>642</v>
      </c>
      <c r="F557" s="57">
        <v>1</v>
      </c>
      <c r="G557" s="57">
        <v>0</v>
      </c>
      <c r="H557" s="57">
        <v>0</v>
      </c>
      <c r="I557" s="57">
        <v>0</v>
      </c>
      <c r="Z557" s="110" t="str">
        <f t="shared" si="21"/>
        <v>5</v>
      </c>
      <c r="AA557" s="110" t="str">
        <f t="shared" si="22"/>
        <v>5</v>
      </c>
      <c r="AB557" s="110" t="str">
        <f t="shared" si="23"/>
        <v>4</v>
      </c>
    </row>
    <row r="558" spans="2:28" x14ac:dyDescent="0.2">
      <c r="B558" s="57" t="s">
        <v>2575</v>
      </c>
      <c r="D558" s="57" t="s">
        <v>3159</v>
      </c>
      <c r="E558" s="102">
        <f>VLOOKUP(Z558&amp;"_"&amp;AA558,活动关卡!$A$88:$Z$111,5+5*AB558,FALSE)</f>
        <v>929</v>
      </c>
      <c r="F558" s="57">
        <v>1</v>
      </c>
      <c r="G558" s="57">
        <v>0</v>
      </c>
      <c r="H558" s="57">
        <v>0</v>
      </c>
      <c r="I558" s="57">
        <v>0</v>
      </c>
      <c r="Z558" s="110" t="str">
        <f t="shared" si="21"/>
        <v>5</v>
      </c>
      <c r="AA558" s="110" t="str">
        <f t="shared" si="22"/>
        <v>6</v>
      </c>
      <c r="AB558" s="110" t="str">
        <f t="shared" si="23"/>
        <v>1</v>
      </c>
    </row>
    <row r="559" spans="2:28" x14ac:dyDescent="0.2">
      <c r="B559" s="57" t="s">
        <v>2576</v>
      </c>
      <c r="D559" s="57" t="s">
        <v>3160</v>
      </c>
      <c r="E559" s="102">
        <f>VLOOKUP(Z559&amp;"_"&amp;AA559,活动关卡!$A$88:$Z$111,5+5*AB559,FALSE)</f>
        <v>1394</v>
      </c>
      <c r="F559" s="57">
        <v>1</v>
      </c>
      <c r="G559" s="57">
        <v>0</v>
      </c>
      <c r="H559" s="57">
        <v>0</v>
      </c>
      <c r="I559" s="57">
        <v>0</v>
      </c>
      <c r="Z559" s="110" t="str">
        <f t="shared" si="21"/>
        <v>5</v>
      </c>
      <c r="AA559" s="110" t="str">
        <f t="shared" si="22"/>
        <v>6</v>
      </c>
      <c r="AB559" s="110" t="str">
        <f t="shared" si="23"/>
        <v>2</v>
      </c>
    </row>
    <row r="560" spans="2:28" x14ac:dyDescent="0.2">
      <c r="B560" s="57" t="s">
        <v>2577</v>
      </c>
      <c r="D560" s="57" t="s">
        <v>3161</v>
      </c>
      <c r="E560" s="102">
        <f>VLOOKUP(Z560&amp;"_"&amp;AA560,活动关卡!$A$88:$Z$111,5+5*AB560,FALSE)</f>
        <v>465</v>
      </c>
      <c r="F560" s="57">
        <v>1</v>
      </c>
      <c r="G560" s="57">
        <v>0</v>
      </c>
      <c r="H560" s="57">
        <v>0</v>
      </c>
      <c r="I560" s="57">
        <v>0</v>
      </c>
      <c r="Z560" s="110" t="str">
        <f t="shared" si="21"/>
        <v>5</v>
      </c>
      <c r="AA560" s="110" t="str">
        <f t="shared" si="22"/>
        <v>6</v>
      </c>
      <c r="AB560" s="110" t="str">
        <f t="shared" si="23"/>
        <v>3</v>
      </c>
    </row>
    <row r="561" spans="2:28" x14ac:dyDescent="0.2">
      <c r="B561" s="57" t="s">
        <v>2578</v>
      </c>
      <c r="D561" s="57" t="s">
        <v>3162</v>
      </c>
      <c r="E561" s="102">
        <f>VLOOKUP(Z561&amp;"_"&amp;AA561,活动关卡!$A$88:$Z$111,5+5*AB561,FALSE)</f>
        <v>929</v>
      </c>
      <c r="F561" s="57">
        <v>1</v>
      </c>
      <c r="G561" s="57">
        <v>0</v>
      </c>
      <c r="H561" s="57">
        <v>0</v>
      </c>
      <c r="I561" s="57">
        <v>0</v>
      </c>
      <c r="Z561" s="110" t="str">
        <f t="shared" si="21"/>
        <v>5</v>
      </c>
      <c r="AA561" s="110" t="str">
        <f t="shared" si="22"/>
        <v>6</v>
      </c>
      <c r="AB561" s="110" t="str">
        <f t="shared" si="23"/>
        <v>4</v>
      </c>
    </row>
    <row r="562" spans="2:28" x14ac:dyDescent="0.2">
      <c r="B562" s="57" t="s">
        <v>2579</v>
      </c>
      <c r="D562" s="57" t="s">
        <v>3163</v>
      </c>
      <c r="E562" s="102">
        <f>VLOOKUP(Z562&amp;"_"&amp;AA562,活动关卡!$A$88:$Z$111,5+5*AB562,FALSE)</f>
        <v>864</v>
      </c>
      <c r="F562" s="57">
        <v>1</v>
      </c>
      <c r="G562" s="57">
        <v>0</v>
      </c>
      <c r="H562" s="57">
        <v>0</v>
      </c>
      <c r="I562" s="57">
        <v>0</v>
      </c>
      <c r="Z562" s="110" t="str">
        <f t="shared" si="21"/>
        <v>5</v>
      </c>
      <c r="AA562" s="110" t="str">
        <f t="shared" si="22"/>
        <v>7</v>
      </c>
      <c r="AB562" s="110" t="str">
        <f t="shared" si="23"/>
        <v>1</v>
      </c>
    </row>
    <row r="563" spans="2:28" x14ac:dyDescent="0.2">
      <c r="B563" s="57" t="s">
        <v>2580</v>
      </c>
      <c r="D563" s="57" t="s">
        <v>3164</v>
      </c>
      <c r="E563" s="102">
        <f>VLOOKUP(Z563&amp;"_"&amp;AA563,活动关卡!$A$88:$Z$111,5+5*AB563,FALSE)</f>
        <v>432</v>
      </c>
      <c r="F563" s="57">
        <v>1</v>
      </c>
      <c r="G563" s="57">
        <v>0</v>
      </c>
      <c r="H563" s="57">
        <v>0</v>
      </c>
      <c r="I563" s="57">
        <v>0</v>
      </c>
      <c r="Z563" s="110" t="str">
        <f t="shared" si="21"/>
        <v>5</v>
      </c>
      <c r="AA563" s="110" t="str">
        <f t="shared" si="22"/>
        <v>7</v>
      </c>
      <c r="AB563" s="110" t="str">
        <f t="shared" si="23"/>
        <v>2</v>
      </c>
    </row>
    <row r="564" spans="2:28" x14ac:dyDescent="0.2">
      <c r="B564" s="57" t="s">
        <v>2581</v>
      </c>
      <c r="D564" s="57" t="s">
        <v>3165</v>
      </c>
      <c r="E564" s="102">
        <f>VLOOKUP(Z564&amp;"_"&amp;AA564,活动关卡!$A$88:$Z$111,5+5*AB564,FALSE)</f>
        <v>216</v>
      </c>
      <c r="F564" s="57">
        <v>1</v>
      </c>
      <c r="G564" s="57">
        <v>0</v>
      </c>
      <c r="H564" s="57">
        <v>0</v>
      </c>
      <c r="I564" s="57">
        <v>0</v>
      </c>
      <c r="Z564" s="110" t="str">
        <f t="shared" si="21"/>
        <v>5</v>
      </c>
      <c r="AA564" s="110" t="str">
        <f t="shared" si="22"/>
        <v>7</v>
      </c>
      <c r="AB564" s="110" t="str">
        <f t="shared" si="23"/>
        <v>3</v>
      </c>
    </row>
    <row r="565" spans="2:28" x14ac:dyDescent="0.2">
      <c r="B565" s="57" t="s">
        <v>2582</v>
      </c>
      <c r="D565" s="57" t="s">
        <v>3166</v>
      </c>
      <c r="E565" s="102">
        <f>VLOOKUP(Z565&amp;"_"&amp;AA565,活动关卡!$A$88:$Z$111,5+5*AB565,FALSE)</f>
        <v>864</v>
      </c>
      <c r="F565" s="57">
        <v>1</v>
      </c>
      <c r="G565" s="57">
        <v>0</v>
      </c>
      <c r="H565" s="57">
        <v>0</v>
      </c>
      <c r="I565" s="57">
        <v>0</v>
      </c>
      <c r="Z565" s="110" t="str">
        <f t="shared" si="21"/>
        <v>5</v>
      </c>
      <c r="AA565" s="110" t="str">
        <f t="shared" si="22"/>
        <v>7</v>
      </c>
      <c r="AB565" s="110" t="str">
        <f t="shared" si="23"/>
        <v>4</v>
      </c>
    </row>
    <row r="566" spans="2:28" x14ac:dyDescent="0.2">
      <c r="B566" s="57" t="s">
        <v>2583</v>
      </c>
      <c r="D566" s="57" t="s">
        <v>3167</v>
      </c>
      <c r="E566" s="102">
        <f>VLOOKUP(Z566&amp;"_"&amp;AA566,活动关卡!$A$88:$Z$111,5+5*AB566,FALSE)</f>
        <v>26777</v>
      </c>
      <c r="F566" s="57">
        <v>1</v>
      </c>
      <c r="G566" s="57">
        <v>0</v>
      </c>
      <c r="H566" s="57">
        <v>0</v>
      </c>
      <c r="I566" s="57">
        <v>0</v>
      </c>
      <c r="Z566" s="110" t="str">
        <f t="shared" si="21"/>
        <v>5</v>
      </c>
      <c r="AA566" s="110" t="str">
        <f t="shared" si="22"/>
        <v>8</v>
      </c>
      <c r="AB566" s="110" t="str">
        <f t="shared" si="23"/>
        <v>1</v>
      </c>
    </row>
    <row r="567" spans="2:28" x14ac:dyDescent="0.2">
      <c r="B567" s="57" t="s">
        <v>2584</v>
      </c>
      <c r="D567" s="57" t="s">
        <v>3168</v>
      </c>
      <c r="E567" s="102">
        <f>VLOOKUP(Z567&amp;"_"&amp;AA567,活动关卡!$A$88:$Z$111,5+5*AB567,FALSE)</f>
        <v>1339</v>
      </c>
      <c r="F567" s="57">
        <v>1</v>
      </c>
      <c r="G567" s="57">
        <v>0</v>
      </c>
      <c r="H567" s="57">
        <v>0</v>
      </c>
      <c r="I567" s="57">
        <v>0</v>
      </c>
      <c r="Z567" s="110" t="str">
        <f t="shared" si="21"/>
        <v>5</v>
      </c>
      <c r="AA567" s="110" t="str">
        <f t="shared" si="22"/>
        <v>8</v>
      </c>
      <c r="AB567" s="110" t="str">
        <f t="shared" si="23"/>
        <v>2</v>
      </c>
    </row>
    <row r="568" spans="2:28" x14ac:dyDescent="0.2">
      <c r="B568" s="57" t="s">
        <v>2585</v>
      </c>
      <c r="D568" s="57" t="s">
        <v>3169</v>
      </c>
      <c r="E568" s="102">
        <f>VLOOKUP(Z568&amp;"_"&amp;AA568,活动关卡!$A$88:$Z$111,5+5*AB568,FALSE)</f>
        <v>4017</v>
      </c>
      <c r="F568" s="57">
        <v>1</v>
      </c>
      <c r="G568" s="57">
        <v>0</v>
      </c>
      <c r="H568" s="57">
        <v>0</v>
      </c>
      <c r="I568" s="57">
        <v>0</v>
      </c>
      <c r="Z568" s="110" t="str">
        <f t="shared" si="21"/>
        <v>5</v>
      </c>
      <c r="AA568" s="110" t="str">
        <f t="shared" si="22"/>
        <v>8</v>
      </c>
      <c r="AB568" s="110" t="str">
        <f t="shared" si="23"/>
        <v>3</v>
      </c>
    </row>
    <row r="569" spans="2:28" x14ac:dyDescent="0.2">
      <c r="B569" s="57" t="s">
        <v>2586</v>
      </c>
      <c r="D569" s="57" t="s">
        <v>3170</v>
      </c>
      <c r="E569" s="102">
        <f>VLOOKUP(Z569&amp;"_"&amp;AA569,活动关卡!$A$88:$Z$111,5+5*AB569,FALSE)</f>
        <v>5355</v>
      </c>
      <c r="F569" s="57">
        <v>1</v>
      </c>
      <c r="G569" s="57">
        <v>0</v>
      </c>
      <c r="H569" s="57">
        <v>0</v>
      </c>
      <c r="I569" s="57">
        <v>0</v>
      </c>
      <c r="Z569" s="110" t="str">
        <f t="shared" si="21"/>
        <v>5</v>
      </c>
      <c r="AA569" s="110" t="str">
        <f t="shared" si="22"/>
        <v>8</v>
      </c>
      <c r="AB569" s="110" t="str">
        <f t="shared" si="23"/>
        <v>4</v>
      </c>
    </row>
    <row r="570" spans="2:28" x14ac:dyDescent="0.2">
      <c r="Z570" s="110" t="str">
        <f t="shared" si="21"/>
        <v/>
      </c>
      <c r="AA570" s="110" t="str">
        <f t="shared" si="22"/>
        <v/>
      </c>
      <c r="AB570" s="110" t="str">
        <f t="shared" si="23"/>
        <v/>
      </c>
    </row>
  </sheetData>
  <mergeCells count="12">
    <mergeCell ref="K3:O3"/>
    <mergeCell ref="P3:T3"/>
    <mergeCell ref="U3:Y3"/>
    <mergeCell ref="K1:O1"/>
    <mergeCell ref="P1:T1"/>
    <mergeCell ref="U1:Y1"/>
    <mergeCell ref="K2:L2"/>
    <mergeCell ref="M2:N2"/>
    <mergeCell ref="P2:Q2"/>
    <mergeCell ref="R2:S2"/>
    <mergeCell ref="U2:V2"/>
    <mergeCell ref="W2:X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039B-ECC6-4A3E-9FB7-35EBB25E7B2D}">
  <dimension ref="A1:AE487"/>
  <sheetViews>
    <sheetView topLeftCell="A49" zoomScaleNormal="100" workbookViewId="0">
      <selection activeCell="J70" sqref="J70"/>
    </sheetView>
  </sheetViews>
  <sheetFormatPr defaultColWidth="9" defaultRowHeight="14.25" x14ac:dyDescent="0.2"/>
  <cols>
    <col min="1" max="1" width="9" style="6" customWidth="1"/>
    <col min="2" max="3" width="9" style="6"/>
    <col min="4" max="4" width="9" style="6" bestFit="1" customWidth="1"/>
    <col min="5" max="5" width="15" style="6" customWidth="1"/>
    <col min="6" max="8" width="12.75" style="6" customWidth="1"/>
    <col min="9" max="9" width="15.375" style="6" customWidth="1"/>
    <col min="10" max="15" width="12.75" style="6" customWidth="1"/>
    <col min="16" max="20" width="9" style="6"/>
    <col min="21" max="21" width="14.875" style="6" customWidth="1"/>
    <col min="22" max="22" width="13" style="6" customWidth="1"/>
    <col min="23" max="24" width="9" style="6"/>
    <col min="25" max="25" width="9.375" style="6" customWidth="1"/>
    <col min="26" max="16384" width="9" style="6"/>
  </cols>
  <sheetData>
    <row r="1" spans="1:30" s="3" customFormat="1" ht="18" x14ac:dyDescent="0.25">
      <c r="A1" s="28" t="s">
        <v>1338</v>
      </c>
    </row>
    <row r="2" spans="1:30" s="4" customFormat="1" x14ac:dyDescent="0.2">
      <c r="A2" s="4" t="s">
        <v>1647</v>
      </c>
    </row>
    <row r="3" spans="1:30" s="137" customFormat="1" x14ac:dyDescent="0.2">
      <c r="A3" s="8" t="s">
        <v>1645</v>
      </c>
      <c r="B3" s="8" t="s">
        <v>1608</v>
      </c>
      <c r="C3" s="8" t="s">
        <v>1610</v>
      </c>
      <c r="D3" s="8" t="s">
        <v>1613</v>
      </c>
      <c r="E3" s="8" t="s">
        <v>1614</v>
      </c>
      <c r="F3" s="8" t="s">
        <v>1615</v>
      </c>
      <c r="G3" s="8" t="s">
        <v>1616</v>
      </c>
      <c r="H3" s="8" t="s">
        <v>1617</v>
      </c>
      <c r="I3" s="8" t="s">
        <v>1618</v>
      </c>
      <c r="J3" s="8" t="s">
        <v>1619</v>
      </c>
      <c r="K3" s="8" t="s">
        <v>1620</v>
      </c>
      <c r="L3" s="8" t="s">
        <v>1621</v>
      </c>
      <c r="M3" s="8" t="s">
        <v>1622</v>
      </c>
      <c r="N3" s="8" t="s">
        <v>1623</v>
      </c>
      <c r="O3" s="8" t="s">
        <v>1626</v>
      </c>
      <c r="P3" s="8" t="s">
        <v>1627</v>
      </c>
      <c r="Q3" s="8" t="s">
        <v>1628</v>
      </c>
      <c r="R3" s="8" t="s">
        <v>1629</v>
      </c>
      <c r="S3" s="8" t="s">
        <v>1630</v>
      </c>
      <c r="T3" s="8" t="s">
        <v>1631</v>
      </c>
      <c r="U3" s="8" t="s">
        <v>1632</v>
      </c>
      <c r="V3" s="8" t="s">
        <v>1633</v>
      </c>
      <c r="W3" s="8" t="s">
        <v>1636</v>
      </c>
      <c r="X3" s="8" t="s">
        <v>1637</v>
      </c>
      <c r="Y3" s="8" t="s">
        <v>1638</v>
      </c>
      <c r="Z3" s="8" t="s">
        <v>1639</v>
      </c>
      <c r="AA3" s="8" t="s">
        <v>1640</v>
      </c>
      <c r="AB3" s="8" t="s">
        <v>1641</v>
      </c>
      <c r="AC3" s="8" t="s">
        <v>1642</v>
      </c>
      <c r="AD3" s="8" t="s">
        <v>1339</v>
      </c>
    </row>
    <row r="4" spans="1:30" s="137" customFormat="1" x14ac:dyDescent="0.2">
      <c r="A4" s="8" t="s">
        <v>1612</v>
      </c>
      <c r="B4" s="8" t="s">
        <v>1609</v>
      </c>
      <c r="C4" s="8" t="s">
        <v>1624</v>
      </c>
      <c r="D4" s="8"/>
      <c r="E4" s="8"/>
      <c r="F4" s="8"/>
      <c r="G4" s="8"/>
      <c r="H4" s="8" t="s">
        <v>1634</v>
      </c>
      <c r="I4" s="8" t="s">
        <v>1625</v>
      </c>
      <c r="J4" s="8"/>
      <c r="K4" s="8"/>
      <c r="L4" s="8"/>
      <c r="M4" s="8"/>
      <c r="N4" s="8"/>
      <c r="O4" s="8" t="s">
        <v>1634</v>
      </c>
      <c r="P4" s="8" t="s">
        <v>1625</v>
      </c>
      <c r="Q4" s="8"/>
      <c r="R4" s="8"/>
      <c r="S4" s="8"/>
      <c r="T4" s="8"/>
      <c r="U4" s="8"/>
      <c r="V4" s="8" t="s">
        <v>1634</v>
      </c>
      <c r="W4" s="8" t="s">
        <v>1625</v>
      </c>
      <c r="X4" s="8"/>
      <c r="Y4" s="8"/>
      <c r="Z4" s="8"/>
      <c r="AA4" s="8"/>
      <c r="AB4" s="8"/>
      <c r="AC4" s="8" t="s">
        <v>1634</v>
      </c>
      <c r="AD4" s="8" t="s">
        <v>1635</v>
      </c>
    </row>
    <row r="5" spans="1:30" s="137" customFormat="1" x14ac:dyDescent="0.2">
      <c r="A5" s="8" t="s">
        <v>1611</v>
      </c>
      <c r="B5" s="8">
        <v>8</v>
      </c>
      <c r="C5" s="8">
        <v>1</v>
      </c>
      <c r="D5" s="8"/>
      <c r="E5" s="8">
        <v>1</v>
      </c>
      <c r="F5" s="8"/>
      <c r="G5" s="8">
        <v>1</v>
      </c>
      <c r="H5" s="8"/>
      <c r="I5" s="8"/>
      <c r="J5" s="8">
        <v>1</v>
      </c>
      <c r="K5" s="8"/>
      <c r="L5" s="8">
        <v>1</v>
      </c>
      <c r="M5" s="8"/>
      <c r="N5" s="8"/>
      <c r="O5" s="8"/>
      <c r="P5" s="8"/>
      <c r="Q5" s="8">
        <v>1</v>
      </c>
      <c r="R5" s="8"/>
      <c r="S5" s="8">
        <v>1</v>
      </c>
      <c r="T5" s="8"/>
      <c r="U5" s="8"/>
      <c r="V5" s="8"/>
      <c r="W5" s="8"/>
      <c r="X5" s="8">
        <v>1</v>
      </c>
      <c r="Y5" s="8"/>
      <c r="Z5" s="8">
        <v>1</v>
      </c>
      <c r="AA5" s="8"/>
      <c r="AB5" s="8"/>
      <c r="AC5" s="8"/>
      <c r="AD5" s="8" t="s">
        <v>1339</v>
      </c>
    </row>
    <row r="6" spans="1:30" s="137" customFormat="1" x14ac:dyDescent="0.2">
      <c r="A6" s="8" t="s">
        <v>1648</v>
      </c>
      <c r="B6" s="8">
        <v>1</v>
      </c>
      <c r="C6" s="8"/>
      <c r="D6" s="8">
        <v>1</v>
      </c>
      <c r="E6" s="8"/>
      <c r="F6" s="8">
        <v>1</v>
      </c>
      <c r="G6" s="8"/>
      <c r="H6" s="8"/>
      <c r="I6" s="8"/>
      <c r="J6" s="8"/>
      <c r="K6" s="8">
        <v>1</v>
      </c>
      <c r="L6" s="8"/>
      <c r="M6" s="8"/>
      <c r="N6" s="8"/>
      <c r="O6" s="8"/>
      <c r="P6" s="8"/>
      <c r="Q6" s="8"/>
      <c r="R6" s="8">
        <v>1</v>
      </c>
      <c r="S6" s="8"/>
      <c r="T6" s="8"/>
      <c r="U6" s="8"/>
      <c r="V6" s="8"/>
      <c r="W6" s="8"/>
      <c r="X6" s="8"/>
      <c r="Y6" s="8">
        <v>1</v>
      </c>
      <c r="Z6" s="8"/>
      <c r="AA6" s="8"/>
      <c r="AB6" s="8"/>
      <c r="AC6" s="8"/>
      <c r="AD6" s="8"/>
    </row>
    <row r="7" spans="1:30" s="137" customFormat="1" x14ac:dyDescent="0.2">
      <c r="A7" s="8" t="s">
        <v>1330</v>
      </c>
      <c r="B7" s="8" t="s">
        <v>1644</v>
      </c>
      <c r="C7" s="8"/>
      <c r="D7" s="8" t="s">
        <v>1644</v>
      </c>
      <c r="E7" s="8"/>
      <c r="F7" s="8" t="s">
        <v>1644</v>
      </c>
      <c r="G7" s="8"/>
      <c r="H7" s="8" t="s">
        <v>1643</v>
      </c>
      <c r="I7" s="8" t="s">
        <v>1644</v>
      </c>
      <c r="J7" s="8"/>
      <c r="K7" s="8" t="s">
        <v>1644</v>
      </c>
      <c r="L7" s="8"/>
      <c r="M7" s="8" t="s">
        <v>1644</v>
      </c>
      <c r="N7" s="8"/>
      <c r="O7" s="8" t="s">
        <v>1643</v>
      </c>
      <c r="P7" s="8" t="s">
        <v>1644</v>
      </c>
      <c r="Q7" s="8"/>
      <c r="R7" s="8" t="s">
        <v>1644</v>
      </c>
      <c r="S7" s="8"/>
      <c r="T7" s="8" t="s">
        <v>1644</v>
      </c>
      <c r="U7" s="8"/>
      <c r="V7" s="8" t="s">
        <v>1643</v>
      </c>
      <c r="W7" s="8" t="s">
        <v>1644</v>
      </c>
      <c r="X7" s="8"/>
      <c r="Y7" s="8" t="s">
        <v>1644</v>
      </c>
      <c r="Z7" s="8"/>
      <c r="AA7" s="8" t="s">
        <v>1644</v>
      </c>
      <c r="AB7" s="8"/>
      <c r="AC7" s="8" t="s">
        <v>1643</v>
      </c>
      <c r="AD7" s="8"/>
    </row>
    <row r="8" spans="1:30" s="137" customFormat="1" x14ac:dyDescent="0.2"/>
    <row r="9" spans="1:30" s="137" customFormat="1" x14ac:dyDescent="0.2">
      <c r="A9" s="137" t="s">
        <v>1714</v>
      </c>
      <c r="B9" s="137" t="s">
        <v>1717</v>
      </c>
      <c r="C9" s="137" t="s">
        <v>1718</v>
      </c>
      <c r="K9" s="141" t="s">
        <v>2032</v>
      </c>
      <c r="L9" s="141" t="s">
        <v>2034</v>
      </c>
      <c r="M9" s="141" t="s">
        <v>1729</v>
      </c>
      <c r="N9" s="141" t="s">
        <v>2052</v>
      </c>
      <c r="O9" s="141" t="s">
        <v>2066</v>
      </c>
      <c r="P9" s="141" t="s">
        <v>2054</v>
      </c>
      <c r="Q9" s="141" t="s">
        <v>2055</v>
      </c>
      <c r="R9" s="141" t="s">
        <v>2056</v>
      </c>
      <c r="S9" s="141" t="s">
        <v>2070</v>
      </c>
      <c r="T9" s="141" t="s">
        <v>2071</v>
      </c>
      <c r="U9" s="141" t="s">
        <v>2078</v>
      </c>
      <c r="V9" s="141" t="s">
        <v>2080</v>
      </c>
    </row>
    <row r="10" spans="1:30" s="137" customFormat="1" x14ac:dyDescent="0.2">
      <c r="A10" s="137" t="s">
        <v>1715</v>
      </c>
      <c r="B10" s="137">
        <v>20</v>
      </c>
      <c r="C10" s="137" t="s">
        <v>1452</v>
      </c>
      <c r="D10" s="137" t="s">
        <v>1453</v>
      </c>
      <c r="E10" s="155" t="s">
        <v>1458</v>
      </c>
      <c r="F10" s="137" t="s">
        <v>1719</v>
      </c>
      <c r="G10" s="155" t="s">
        <v>1720</v>
      </c>
      <c r="H10" s="137" t="s">
        <v>1721</v>
      </c>
      <c r="I10" s="137" t="s">
        <v>948</v>
      </c>
      <c r="J10" s="154" t="s">
        <v>1459</v>
      </c>
      <c r="K10" s="155" t="s">
        <v>2290</v>
      </c>
      <c r="L10" s="155" t="s">
        <v>2033</v>
      </c>
      <c r="M10" s="137" t="s">
        <v>2031</v>
      </c>
      <c r="N10" s="154" t="s">
        <v>2053</v>
      </c>
      <c r="O10" s="154" t="s">
        <v>2067</v>
      </c>
      <c r="P10" s="137" t="s">
        <v>1553</v>
      </c>
      <c r="Q10" s="155" t="s">
        <v>1502</v>
      </c>
      <c r="R10" s="154" t="s">
        <v>2030</v>
      </c>
      <c r="S10" s="155" t="s">
        <v>2069</v>
      </c>
      <c r="T10" s="137" t="s">
        <v>2072</v>
      </c>
      <c r="U10" s="137" t="s">
        <v>2077</v>
      </c>
      <c r="V10" s="155" t="s">
        <v>2079</v>
      </c>
    </row>
    <row r="11" spans="1:30" s="137" customFormat="1" x14ac:dyDescent="0.2">
      <c r="A11" s="137" t="s">
        <v>1716</v>
      </c>
      <c r="B11" s="137">
        <v>10</v>
      </c>
      <c r="C11" s="137" t="s">
        <v>1723</v>
      </c>
      <c r="D11" s="137" t="s">
        <v>1723</v>
      </c>
      <c r="E11" s="137" t="s">
        <v>378</v>
      </c>
      <c r="F11" s="137" t="s">
        <v>377</v>
      </c>
      <c r="G11" s="137" t="s">
        <v>656</v>
      </c>
      <c r="H11" s="137" t="s">
        <v>1723</v>
      </c>
      <c r="I11" s="137" t="s">
        <v>1723</v>
      </c>
      <c r="J11" s="137" t="s">
        <v>378</v>
      </c>
      <c r="K11" s="137" t="s">
        <v>377</v>
      </c>
      <c r="L11" s="137" t="s">
        <v>656</v>
      </c>
    </row>
    <row r="12" spans="1:30" s="137" customFormat="1" x14ac:dyDescent="0.2">
      <c r="A12" s="137" t="s">
        <v>1722</v>
      </c>
      <c r="B12" s="137">
        <v>20</v>
      </c>
      <c r="C12" s="137">
        <v>1</v>
      </c>
      <c r="D12" s="137">
        <v>1</v>
      </c>
      <c r="E12" s="137">
        <v>1</v>
      </c>
      <c r="F12" s="137">
        <v>1</v>
      </c>
      <c r="G12" s="137">
        <v>1</v>
      </c>
      <c r="H12" s="137">
        <v>2</v>
      </c>
      <c r="I12" s="137">
        <v>2</v>
      </c>
      <c r="J12" s="137">
        <v>2</v>
      </c>
      <c r="K12" s="137">
        <v>2</v>
      </c>
      <c r="L12" s="137">
        <v>2</v>
      </c>
      <c r="M12" s="137">
        <v>3</v>
      </c>
      <c r="N12" s="137">
        <v>3</v>
      </c>
      <c r="O12" s="137">
        <v>3</v>
      </c>
      <c r="P12" s="137">
        <v>3</v>
      </c>
      <c r="Q12" s="137">
        <v>3</v>
      </c>
      <c r="R12" s="137">
        <v>4</v>
      </c>
      <c r="S12" s="137">
        <v>4</v>
      </c>
      <c r="T12" s="137">
        <v>4</v>
      </c>
      <c r="U12" s="137">
        <v>4</v>
      </c>
      <c r="V12" s="137">
        <v>4</v>
      </c>
    </row>
    <row r="13" spans="1:30" s="137" customFormat="1" x14ac:dyDescent="0.2">
      <c r="A13" s="137" t="s">
        <v>1724</v>
      </c>
      <c r="B13" s="137">
        <v>7</v>
      </c>
      <c r="C13" s="137" t="s">
        <v>378</v>
      </c>
      <c r="D13" s="137" t="s">
        <v>377</v>
      </c>
      <c r="E13" s="137" t="s">
        <v>656</v>
      </c>
      <c r="F13" s="140" t="s">
        <v>948</v>
      </c>
      <c r="G13" s="140" t="s">
        <v>1725</v>
      </c>
      <c r="H13" s="140" t="s">
        <v>2064</v>
      </c>
      <c r="I13" s="140" t="s">
        <v>2065</v>
      </c>
      <c r="J13" s="140"/>
    </row>
    <row r="14" spans="1:30" s="137" customFormat="1" x14ac:dyDescent="0.2">
      <c r="A14" s="137" t="s">
        <v>1410</v>
      </c>
      <c r="B14" s="137">
        <v>6</v>
      </c>
      <c r="C14" s="140" t="s">
        <v>1726</v>
      </c>
      <c r="D14" s="140" t="s">
        <v>1727</v>
      </c>
      <c r="E14" s="140" t="s">
        <v>1728</v>
      </c>
      <c r="F14" s="140" t="s">
        <v>2062</v>
      </c>
      <c r="G14" s="140" t="s">
        <v>2068</v>
      </c>
      <c r="H14" s="140" t="s">
        <v>2061</v>
      </c>
    </row>
    <row r="15" spans="1:30" s="137" customFormat="1" x14ac:dyDescent="0.2">
      <c r="M15" s="137" t="s">
        <v>2036</v>
      </c>
      <c r="N15" s="137" t="s">
        <v>2035</v>
      </c>
      <c r="O15" s="137" t="s">
        <v>2037</v>
      </c>
      <c r="P15" s="137" t="s">
        <v>2038</v>
      </c>
      <c r="Q15" s="137" t="s">
        <v>2045</v>
      </c>
      <c r="R15" s="137" t="s">
        <v>2057</v>
      </c>
    </row>
    <row r="16" spans="1:30" s="137" customFormat="1" x14ac:dyDescent="0.2">
      <c r="M16" s="137" t="s">
        <v>2039</v>
      </c>
      <c r="N16" s="137" t="s">
        <v>2073</v>
      </c>
      <c r="Q16" s="137" t="s">
        <v>2046</v>
      </c>
      <c r="R16" s="137" t="s">
        <v>2060</v>
      </c>
    </row>
    <row r="17" spans="1:18" s="137" customFormat="1" x14ac:dyDescent="0.2">
      <c r="M17" s="137" t="s">
        <v>2040</v>
      </c>
      <c r="N17" s="137" t="s">
        <v>2047</v>
      </c>
      <c r="Q17" s="137" t="s">
        <v>2047</v>
      </c>
      <c r="R17" s="137" t="s">
        <v>2058</v>
      </c>
    </row>
    <row r="18" spans="1:18" s="137" customFormat="1" x14ac:dyDescent="0.2">
      <c r="M18" s="137" t="s">
        <v>2041</v>
      </c>
      <c r="N18" s="137" t="s">
        <v>2074</v>
      </c>
      <c r="Q18" s="137" t="s">
        <v>2048</v>
      </c>
      <c r="R18" s="137" t="s">
        <v>2059</v>
      </c>
    </row>
    <row r="19" spans="1:18" s="137" customFormat="1" x14ac:dyDescent="0.2">
      <c r="M19" s="137" t="s">
        <v>2042</v>
      </c>
      <c r="N19" s="137" t="s">
        <v>2075</v>
      </c>
      <c r="Q19" s="137" t="s">
        <v>2049</v>
      </c>
      <c r="R19" s="137" t="s">
        <v>2063</v>
      </c>
    </row>
    <row r="20" spans="1:18" s="137" customFormat="1" x14ac:dyDescent="0.2">
      <c r="M20" s="137" t="s">
        <v>2043</v>
      </c>
      <c r="N20" s="137" t="s">
        <v>2076</v>
      </c>
      <c r="Q20" s="137" t="s">
        <v>2050</v>
      </c>
    </row>
    <row r="21" spans="1:18" s="137" customFormat="1" x14ac:dyDescent="0.2">
      <c r="M21" s="137" t="s">
        <v>2044</v>
      </c>
      <c r="N21" s="6"/>
      <c r="O21" s="6"/>
      <c r="P21" s="6"/>
      <c r="Q21" s="137" t="s">
        <v>2051</v>
      </c>
    </row>
    <row r="23" spans="1:18" s="4" customFormat="1" x14ac:dyDescent="0.2">
      <c r="A23" s="4" t="s">
        <v>1646</v>
      </c>
    </row>
    <row r="24" spans="1:18" x14ac:dyDescent="0.2">
      <c r="A24" s="137" t="s">
        <v>1649</v>
      </c>
    </row>
    <row r="25" spans="1:18" x14ac:dyDescent="0.2">
      <c r="A25" s="8" t="s">
        <v>1654</v>
      </c>
      <c r="B25" s="174" t="s">
        <v>1658</v>
      </c>
      <c r="C25" s="175"/>
      <c r="D25" s="175"/>
      <c r="E25" s="175"/>
      <c r="F25" s="175"/>
      <c r="G25" s="176"/>
      <c r="H25" s="177" t="s">
        <v>1663</v>
      </c>
      <c r="I25" s="177"/>
      <c r="J25" s="177"/>
      <c r="K25" s="177"/>
    </row>
    <row r="26" spans="1:18" x14ac:dyDescent="0.2">
      <c r="A26" s="8" t="s">
        <v>1650</v>
      </c>
      <c r="B26" s="8" t="s">
        <v>1624</v>
      </c>
      <c r="C26" s="8" t="s">
        <v>1655</v>
      </c>
      <c r="D26" s="8" t="s">
        <v>1656</v>
      </c>
      <c r="E26" s="136"/>
      <c r="F26" s="136"/>
      <c r="G26" s="136"/>
      <c r="H26" s="8" t="s">
        <v>1664</v>
      </c>
      <c r="I26" s="8" t="s">
        <v>1665</v>
      </c>
      <c r="J26" s="8"/>
      <c r="K26" s="136"/>
    </row>
    <row r="27" spans="1:18" x14ac:dyDescent="0.2">
      <c r="A27" s="8" t="s">
        <v>1651</v>
      </c>
      <c r="B27" s="8" t="s">
        <v>936</v>
      </c>
      <c r="C27" s="8"/>
      <c r="D27" s="8"/>
      <c r="E27" s="136"/>
      <c r="F27" s="136"/>
      <c r="G27" s="136"/>
      <c r="H27" s="8" t="s">
        <v>1664</v>
      </c>
      <c r="I27" s="8" t="s">
        <v>1665</v>
      </c>
      <c r="J27" s="8"/>
      <c r="K27" s="136"/>
    </row>
    <row r="28" spans="1:18" x14ac:dyDescent="0.2">
      <c r="A28" s="8" t="s">
        <v>1652</v>
      </c>
      <c r="B28" s="8" t="s">
        <v>1410</v>
      </c>
      <c r="C28" s="8" t="s">
        <v>1657</v>
      </c>
      <c r="D28" s="138" t="s">
        <v>1660</v>
      </c>
      <c r="E28" s="138" t="s">
        <v>1668</v>
      </c>
      <c r="F28" s="136"/>
      <c r="G28" s="136"/>
      <c r="H28" s="8" t="s">
        <v>1664</v>
      </c>
      <c r="I28" s="8" t="s">
        <v>1665</v>
      </c>
      <c r="J28" s="138"/>
      <c r="K28" s="136"/>
    </row>
    <row r="29" spans="1:18" x14ac:dyDescent="0.2">
      <c r="A29" s="8" t="s">
        <v>1653</v>
      </c>
      <c r="B29" s="8" t="s">
        <v>1659</v>
      </c>
      <c r="C29" s="138" t="s">
        <v>1661</v>
      </c>
      <c r="D29" s="138" t="s">
        <v>1662</v>
      </c>
      <c r="E29" s="136"/>
      <c r="F29" s="136"/>
      <c r="G29" s="136"/>
      <c r="H29" s="8" t="s">
        <v>1666</v>
      </c>
      <c r="I29" s="8" t="s">
        <v>1667</v>
      </c>
      <c r="J29" s="138"/>
      <c r="K29" s="136"/>
    </row>
    <row r="31" spans="1:18" x14ac:dyDescent="0.2">
      <c r="A31" s="137" t="s">
        <v>1669</v>
      </c>
    </row>
    <row r="32" spans="1:18" x14ac:dyDescent="0.2">
      <c r="A32" s="8" t="s">
        <v>1607</v>
      </c>
      <c r="B32" s="8" t="s">
        <v>1431</v>
      </c>
      <c r="C32" s="136" t="s">
        <v>1670</v>
      </c>
      <c r="D32" s="136" t="s">
        <v>1330</v>
      </c>
    </row>
    <row r="33" spans="1:31" x14ac:dyDescent="0.2">
      <c r="A33" s="8" t="s">
        <v>1653</v>
      </c>
      <c r="B33" s="8" t="s">
        <v>1671</v>
      </c>
      <c r="C33" s="136" t="s">
        <v>1674</v>
      </c>
      <c r="D33" s="136" t="s">
        <v>1675</v>
      </c>
    </row>
    <row r="34" spans="1:31" x14ac:dyDescent="0.2">
      <c r="A34" s="8" t="s">
        <v>1673</v>
      </c>
      <c r="B34" s="8" t="s">
        <v>1672</v>
      </c>
      <c r="C34" s="136" t="s">
        <v>1676</v>
      </c>
      <c r="D34" s="136" t="s">
        <v>1677</v>
      </c>
    </row>
    <row r="35" spans="1:31" x14ac:dyDescent="0.2">
      <c r="A35" s="137"/>
      <c r="B35" s="137"/>
    </row>
    <row r="36" spans="1:31" x14ac:dyDescent="0.2">
      <c r="A36" s="137" t="s">
        <v>1704</v>
      </c>
      <c r="B36" s="137"/>
    </row>
    <row r="37" spans="1:31" x14ac:dyDescent="0.2">
      <c r="A37" s="137" t="s">
        <v>1705</v>
      </c>
      <c r="B37" s="137" t="s">
        <v>1707</v>
      </c>
      <c r="C37" s="137" t="s">
        <v>1708</v>
      </c>
      <c r="D37" s="137" t="s">
        <v>1706</v>
      </c>
      <c r="E37" s="137" t="s">
        <v>1711</v>
      </c>
      <c r="F37" s="137" t="s">
        <v>1712</v>
      </c>
    </row>
    <row r="38" spans="1:31" x14ac:dyDescent="0.2">
      <c r="A38" s="137" t="s">
        <v>1709</v>
      </c>
      <c r="B38" s="137">
        <v>120</v>
      </c>
      <c r="C38" s="137">
        <v>120</v>
      </c>
      <c r="D38" s="137" t="s">
        <v>1710</v>
      </c>
      <c r="E38" s="6">
        <v>30</v>
      </c>
      <c r="F38" s="137">
        <v>120</v>
      </c>
    </row>
    <row r="39" spans="1:31" x14ac:dyDescent="0.2">
      <c r="A39" s="137"/>
      <c r="B39" s="137"/>
    </row>
    <row r="40" spans="1:31" x14ac:dyDescent="0.2">
      <c r="A40" s="137"/>
      <c r="B40" s="137"/>
    </row>
    <row r="41" spans="1:31" x14ac:dyDescent="0.2">
      <c r="A41" s="137"/>
      <c r="B41" s="137"/>
    </row>
    <row r="43" spans="1:31" s="3" customFormat="1" ht="18" x14ac:dyDescent="0.25">
      <c r="A43" s="28" t="s">
        <v>10</v>
      </c>
    </row>
    <row r="44" spans="1:31" s="3" customFormat="1" ht="18" x14ac:dyDescent="0.25">
      <c r="A44" s="28"/>
    </row>
    <row r="45" spans="1:31" s="4" customFormat="1" x14ac:dyDescent="0.2">
      <c r="A45" s="4" t="s">
        <v>25</v>
      </c>
    </row>
    <row r="47" spans="1:31" s="3" customFormat="1" ht="15" thickBot="1" x14ac:dyDescent="0.25">
      <c r="A47" s="5" t="s">
        <v>56</v>
      </c>
      <c r="N47" s="3" t="s">
        <v>1308</v>
      </c>
      <c r="S47" s="3" t="s">
        <v>1315</v>
      </c>
      <c r="Z47" s="3" t="s">
        <v>1319</v>
      </c>
      <c r="AC47" s="3" t="s">
        <v>1320</v>
      </c>
      <c r="AE47" s="3" t="s">
        <v>1330</v>
      </c>
    </row>
    <row r="48" spans="1:31" x14ac:dyDescent="0.2">
      <c r="A48" s="37"/>
      <c r="B48" s="29" t="s">
        <v>32</v>
      </c>
      <c r="C48" s="30" t="s">
        <v>27</v>
      </c>
      <c r="D48" s="34" t="s">
        <v>28</v>
      </c>
      <c r="J48" s="6" t="s">
        <v>1336</v>
      </c>
      <c r="N48" s="6" t="s">
        <v>1309</v>
      </c>
      <c r="O48" s="6" t="s">
        <v>1310</v>
      </c>
      <c r="P48" s="6" t="s">
        <v>1311</v>
      </c>
      <c r="Q48" s="6" t="s">
        <v>1312</v>
      </c>
      <c r="S48" s="6" t="s">
        <v>1316</v>
      </c>
      <c r="T48" s="6" t="s">
        <v>1321</v>
      </c>
      <c r="U48" s="6" t="s">
        <v>61</v>
      </c>
      <c r="Z48" s="6" t="s">
        <v>1322</v>
      </c>
      <c r="AE48" s="6" t="s">
        <v>1331</v>
      </c>
    </row>
    <row r="49" spans="1:31" x14ac:dyDescent="0.2">
      <c r="A49" s="38" t="s">
        <v>29</v>
      </c>
      <c r="B49" s="31">
        <v>0.1</v>
      </c>
      <c r="C49" s="7">
        <v>5</v>
      </c>
      <c r="D49" s="35">
        <v>3</v>
      </c>
      <c r="J49" s="6" t="s">
        <v>1337</v>
      </c>
      <c r="N49" s="6" t="s">
        <v>1313</v>
      </c>
      <c r="O49" s="6" t="s">
        <v>1310</v>
      </c>
      <c r="P49" s="6" t="s">
        <v>1311</v>
      </c>
      <c r="Q49" s="6" t="s">
        <v>1312</v>
      </c>
      <c r="S49" s="6" t="s">
        <v>1317</v>
      </c>
      <c r="T49" s="6" t="s">
        <v>1321</v>
      </c>
      <c r="U49" s="6" t="s">
        <v>61</v>
      </c>
      <c r="AE49" s="6" t="s">
        <v>1331</v>
      </c>
    </row>
    <row r="50" spans="1:31" x14ac:dyDescent="0.2">
      <c r="A50" s="38" t="s">
        <v>30</v>
      </c>
      <c r="B50" s="31">
        <v>0.1</v>
      </c>
      <c r="C50" s="7">
        <v>10</v>
      </c>
      <c r="D50" s="35">
        <v>5</v>
      </c>
      <c r="N50" s="6" t="s">
        <v>1314</v>
      </c>
      <c r="O50" s="6" t="s">
        <v>1310</v>
      </c>
      <c r="P50" s="6" t="s">
        <v>1311</v>
      </c>
      <c r="Q50" s="6" t="s">
        <v>1312</v>
      </c>
      <c r="S50" s="6" t="s">
        <v>1318</v>
      </c>
      <c r="T50" s="6" t="s">
        <v>1321</v>
      </c>
      <c r="U50" s="6" t="s">
        <v>61</v>
      </c>
      <c r="AE50" s="6" t="s">
        <v>1331</v>
      </c>
    </row>
    <row r="51" spans="1:31" ht="15" thickBot="1" x14ac:dyDescent="0.25">
      <c r="A51" s="39" t="s">
        <v>31</v>
      </c>
      <c r="B51" s="32">
        <v>0.1</v>
      </c>
      <c r="C51" s="33">
        <v>20</v>
      </c>
      <c r="D51" s="36">
        <v>5</v>
      </c>
    </row>
    <row r="52" spans="1:31" x14ac:dyDescent="0.2">
      <c r="N52" s="3" t="s">
        <v>1333</v>
      </c>
      <c r="S52" s="3" t="s">
        <v>1323</v>
      </c>
    </row>
    <row r="53" spans="1:31" x14ac:dyDescent="0.2">
      <c r="A53" s="5" t="s">
        <v>664</v>
      </c>
      <c r="B53" s="3"/>
      <c r="C53" s="3"/>
      <c r="D53" s="3"/>
      <c r="N53" s="6" t="s">
        <v>1334</v>
      </c>
      <c r="S53" s="6" t="s">
        <v>1324</v>
      </c>
      <c r="T53" s="6" t="s">
        <v>1327</v>
      </c>
    </row>
    <row r="54" spans="1:31" x14ac:dyDescent="0.2">
      <c r="A54" s="2"/>
      <c r="B54" s="2" t="s">
        <v>53</v>
      </c>
      <c r="C54" s="2" t="s">
        <v>54</v>
      </c>
      <c r="D54" s="2" t="s">
        <v>55</v>
      </c>
      <c r="S54" s="125" t="s">
        <v>1325</v>
      </c>
      <c r="T54" s="125" t="s">
        <v>1328</v>
      </c>
      <c r="U54" s="125"/>
      <c r="V54" s="125"/>
      <c r="W54" s="125"/>
      <c r="X54" s="125"/>
      <c r="Z54" s="6" t="s">
        <v>1332</v>
      </c>
    </row>
    <row r="55" spans="1:31" x14ac:dyDescent="0.2">
      <c r="A55" s="2" t="s">
        <v>57</v>
      </c>
      <c r="B55" s="7">
        <v>1</v>
      </c>
      <c r="C55" s="80">
        <f>B55*3</f>
        <v>3</v>
      </c>
      <c r="D55" s="80">
        <f>C55*8</f>
        <v>24</v>
      </c>
      <c r="S55" s="6" t="s">
        <v>1326</v>
      </c>
      <c r="T55" s="6" t="s">
        <v>1329</v>
      </c>
      <c r="Z55" s="6" t="s">
        <v>1335</v>
      </c>
    </row>
    <row r="57" spans="1:31" s="4" customFormat="1" x14ac:dyDescent="0.2">
      <c r="A57" s="4" t="s">
        <v>18</v>
      </c>
    </row>
    <row r="58" spans="1:31" x14ac:dyDescent="0.2">
      <c r="A58" s="8"/>
      <c r="B58" s="8" t="s">
        <v>58</v>
      </c>
      <c r="C58" s="8" t="s">
        <v>59</v>
      </c>
      <c r="D58" s="8" t="s">
        <v>24</v>
      </c>
      <c r="E58" s="8" t="s">
        <v>1285</v>
      </c>
      <c r="G58" s="3"/>
    </row>
    <row r="59" spans="1:31" x14ac:dyDescent="0.2">
      <c r="A59" s="8" t="s">
        <v>48</v>
      </c>
      <c r="B59" s="9">
        <v>1</v>
      </c>
      <c r="C59" s="9">
        <v>1</v>
      </c>
      <c r="D59" s="7" t="s">
        <v>51</v>
      </c>
      <c r="E59" s="7" t="s">
        <v>51</v>
      </c>
      <c r="G59" s="3"/>
    </row>
    <row r="60" spans="1:31" x14ac:dyDescent="0.2">
      <c r="A60" s="8" t="s">
        <v>33</v>
      </c>
      <c r="B60" s="9">
        <v>2</v>
      </c>
      <c r="C60" s="9">
        <v>2</v>
      </c>
      <c r="D60" s="7" t="s">
        <v>49</v>
      </c>
      <c r="E60" s="7" t="s">
        <v>1292</v>
      </c>
      <c r="G60" s="3"/>
    </row>
    <row r="61" spans="1:31" x14ac:dyDescent="0.2">
      <c r="A61" s="8" t="s">
        <v>34</v>
      </c>
      <c r="B61" s="9">
        <v>2</v>
      </c>
      <c r="C61" s="9">
        <v>2</v>
      </c>
      <c r="D61" s="7" t="s">
        <v>49</v>
      </c>
      <c r="E61" s="7" t="s">
        <v>1286</v>
      </c>
      <c r="G61" s="3"/>
    </row>
    <row r="62" spans="1:31" x14ac:dyDescent="0.2">
      <c r="A62" s="8" t="s">
        <v>35</v>
      </c>
      <c r="B62" s="9">
        <v>4</v>
      </c>
      <c r="C62" s="9">
        <v>0.5</v>
      </c>
      <c r="D62" s="7" t="s">
        <v>43</v>
      </c>
      <c r="E62" s="7" t="s">
        <v>1287</v>
      </c>
      <c r="G62" s="3"/>
    </row>
    <row r="63" spans="1:31" x14ac:dyDescent="0.2">
      <c r="A63" s="8" t="s">
        <v>36</v>
      </c>
      <c r="B63" s="9">
        <v>4</v>
      </c>
      <c r="C63" s="9">
        <v>0.5</v>
      </c>
      <c r="D63" s="7" t="s">
        <v>44</v>
      </c>
      <c r="E63" s="7" t="s">
        <v>1288</v>
      </c>
      <c r="G63" s="3"/>
    </row>
    <row r="64" spans="1:31" x14ac:dyDescent="0.2">
      <c r="A64" s="8" t="s">
        <v>37</v>
      </c>
      <c r="B64" s="9">
        <v>2</v>
      </c>
      <c r="C64" s="9">
        <v>0</v>
      </c>
      <c r="D64" s="7" t="s">
        <v>50</v>
      </c>
      <c r="E64" s="7" t="s">
        <v>1306</v>
      </c>
      <c r="G64" s="3"/>
    </row>
    <row r="65" spans="1:13" x14ac:dyDescent="0.2">
      <c r="A65" s="8" t="s">
        <v>38</v>
      </c>
      <c r="B65" s="9">
        <v>4</v>
      </c>
      <c r="C65" s="9">
        <v>0.5</v>
      </c>
      <c r="D65" s="7" t="s">
        <v>95</v>
      </c>
      <c r="E65" s="7" t="s">
        <v>1307</v>
      </c>
      <c r="G65" s="3"/>
    </row>
    <row r="66" spans="1:13" x14ac:dyDescent="0.2">
      <c r="A66" s="8" t="s">
        <v>39</v>
      </c>
      <c r="B66" s="9">
        <v>1</v>
      </c>
      <c r="C66" s="9">
        <v>0.25</v>
      </c>
      <c r="D66" s="7" t="s">
        <v>41</v>
      </c>
      <c r="E66" s="7" t="s">
        <v>1289</v>
      </c>
      <c r="G66" s="3"/>
    </row>
    <row r="67" spans="1:13" x14ac:dyDescent="0.2">
      <c r="A67" s="8" t="s">
        <v>40</v>
      </c>
      <c r="B67" s="9">
        <v>2</v>
      </c>
      <c r="C67" s="9">
        <v>0.5</v>
      </c>
      <c r="D67" s="7" t="s">
        <v>42</v>
      </c>
      <c r="E67" s="7" t="s">
        <v>1290</v>
      </c>
      <c r="G67" s="3"/>
    </row>
    <row r="68" spans="1:13" x14ac:dyDescent="0.2">
      <c r="A68" s="8" t="s">
        <v>1501</v>
      </c>
      <c r="B68" s="9">
        <v>4</v>
      </c>
      <c r="C68" s="9">
        <v>0.25</v>
      </c>
      <c r="D68" s="7" t="s">
        <v>1280</v>
      </c>
      <c r="E68" s="7" t="s">
        <v>1713</v>
      </c>
      <c r="G68" s="3"/>
    </row>
    <row r="69" spans="1:13" x14ac:dyDescent="0.2">
      <c r="A69" s="8" t="s">
        <v>1553</v>
      </c>
      <c r="B69" s="9">
        <v>2</v>
      </c>
      <c r="C69" s="9">
        <v>0.5</v>
      </c>
      <c r="D69" s="7" t="s">
        <v>1503</v>
      </c>
      <c r="E69" s="7" t="s">
        <v>388</v>
      </c>
      <c r="G69" s="3"/>
    </row>
    <row r="70" spans="1:13" x14ac:dyDescent="0.2">
      <c r="A70" s="8" t="s">
        <v>1502</v>
      </c>
      <c r="B70" s="9">
        <v>0.25</v>
      </c>
      <c r="C70" s="9">
        <v>0.25</v>
      </c>
      <c r="D70" s="7" t="s">
        <v>939</v>
      </c>
      <c r="E70" s="7" t="s">
        <v>1524</v>
      </c>
      <c r="G70" s="3"/>
    </row>
    <row r="71" spans="1:13" x14ac:dyDescent="0.2">
      <c r="A71" s="8" t="s">
        <v>3181</v>
      </c>
      <c r="B71" s="9">
        <v>4</v>
      </c>
      <c r="C71" s="9">
        <v>0.5</v>
      </c>
      <c r="D71" s="7" t="s">
        <v>2102</v>
      </c>
      <c r="E71" s="7" t="s">
        <v>2103</v>
      </c>
      <c r="G71" s="3"/>
    </row>
    <row r="72" spans="1:13" x14ac:dyDescent="0.2">
      <c r="A72" s="8" t="s">
        <v>3179</v>
      </c>
      <c r="B72" s="9">
        <v>4</v>
      </c>
      <c r="C72" s="9">
        <v>0.5</v>
      </c>
      <c r="D72" s="7" t="s">
        <v>2104</v>
      </c>
      <c r="E72" s="7" t="s">
        <v>2106</v>
      </c>
      <c r="G72" s="3"/>
    </row>
    <row r="73" spans="1:13" x14ac:dyDescent="0.2">
      <c r="A73" s="8" t="s">
        <v>3216</v>
      </c>
      <c r="B73" s="9">
        <v>4</v>
      </c>
      <c r="C73" s="9">
        <v>0.5</v>
      </c>
      <c r="D73" s="7" t="s">
        <v>3175</v>
      </c>
      <c r="E73" s="7" t="s">
        <v>2108</v>
      </c>
      <c r="G73" s="3"/>
    </row>
    <row r="74" spans="1:13" x14ac:dyDescent="0.2">
      <c r="A74" s="8" t="s">
        <v>3185</v>
      </c>
      <c r="B74" s="9">
        <v>2</v>
      </c>
      <c r="C74" s="9">
        <v>2</v>
      </c>
      <c r="D74" s="7" t="s">
        <v>2105</v>
      </c>
      <c r="E74" s="7" t="s">
        <v>2107</v>
      </c>
      <c r="G74" s="3"/>
    </row>
    <row r="75" spans="1:13" x14ac:dyDescent="0.2">
      <c r="A75" s="8"/>
      <c r="B75" s="9"/>
      <c r="C75" s="9"/>
      <c r="D75" s="7"/>
      <c r="E75" s="7"/>
      <c r="G75" s="3"/>
    </row>
    <row r="76" spans="1:13" x14ac:dyDescent="0.2">
      <c r="D76" s="3"/>
      <c r="E76" s="3"/>
      <c r="F76" s="3"/>
      <c r="G76" s="3"/>
      <c r="M76" s="114"/>
    </row>
    <row r="77" spans="1:13" x14ac:dyDescent="0.2">
      <c r="A77" s="8"/>
      <c r="B77" s="8" t="s">
        <v>52</v>
      </c>
      <c r="C77" s="8" t="s">
        <v>379</v>
      </c>
      <c r="E77" s="3"/>
      <c r="F77" s="3"/>
      <c r="G77" s="3"/>
      <c r="M77" s="3"/>
    </row>
    <row r="78" spans="1:13" x14ac:dyDescent="0.2">
      <c r="A78" s="8" t="s">
        <v>45</v>
      </c>
      <c r="B78" s="10">
        <v>1</v>
      </c>
      <c r="C78" s="11">
        <f>B78*1</f>
        <v>1</v>
      </c>
      <c r="E78" s="3"/>
      <c r="F78" s="3"/>
      <c r="G78" s="3"/>
      <c r="M78" s="114"/>
    </row>
    <row r="79" spans="1:13" x14ac:dyDescent="0.2">
      <c r="A79" s="8" t="s">
        <v>46</v>
      </c>
      <c r="B79" s="10">
        <v>1.5</v>
      </c>
      <c r="C79" s="11">
        <f>B79*3</f>
        <v>4.5</v>
      </c>
      <c r="E79" s="3"/>
      <c r="F79" s="3"/>
      <c r="G79" s="3"/>
    </row>
    <row r="80" spans="1:13" x14ac:dyDescent="0.2">
      <c r="A80" s="8" t="s">
        <v>47</v>
      </c>
      <c r="B80" s="10">
        <v>2</v>
      </c>
      <c r="C80" s="11">
        <f>B80*9</f>
        <v>18</v>
      </c>
      <c r="E80" s="3"/>
      <c r="F80" s="3"/>
      <c r="G80" s="3"/>
    </row>
    <row r="82" spans="1:9" s="4" customFormat="1" x14ac:dyDescent="0.2">
      <c r="A82" s="4" t="s">
        <v>26</v>
      </c>
    </row>
    <row r="83" spans="1:9" x14ac:dyDescent="0.2">
      <c r="A83" s="5" t="s">
        <v>390</v>
      </c>
    </row>
    <row r="84" spans="1:9" x14ac:dyDescent="0.2">
      <c r="A84" s="83" t="s">
        <v>405</v>
      </c>
      <c r="B84" s="83" t="s">
        <v>406</v>
      </c>
      <c r="C84" s="83" t="s">
        <v>408</v>
      </c>
      <c r="D84" s="83" t="s">
        <v>407</v>
      </c>
      <c r="E84" s="8" t="s">
        <v>427</v>
      </c>
      <c r="F84" s="8" t="s">
        <v>429</v>
      </c>
      <c r="G84" s="8" t="s">
        <v>430</v>
      </c>
      <c r="H84" s="8" t="s">
        <v>564</v>
      </c>
      <c r="I84" s="8" t="s">
        <v>3171</v>
      </c>
    </row>
    <row r="85" spans="1:9" x14ac:dyDescent="0.2">
      <c r="A85" s="2">
        <v>1</v>
      </c>
      <c r="B85" s="89" t="s">
        <v>573</v>
      </c>
      <c r="C85" s="89" t="s">
        <v>572</v>
      </c>
      <c r="D85" s="2" t="s">
        <v>410</v>
      </c>
      <c r="E85" s="7">
        <v>0.25</v>
      </c>
      <c r="F85" s="7">
        <v>0.25</v>
      </c>
      <c r="G85" s="7">
        <v>3</v>
      </c>
      <c r="H85" s="7">
        <v>0.5</v>
      </c>
      <c r="I85" s="7"/>
    </row>
    <row r="86" spans="1:9" x14ac:dyDescent="0.2">
      <c r="A86" s="2">
        <v>2</v>
      </c>
      <c r="B86" s="89" t="s">
        <v>574</v>
      </c>
      <c r="C86" s="89" t="s">
        <v>411</v>
      </c>
      <c r="D86" s="2" t="s">
        <v>410</v>
      </c>
      <c r="E86" s="7">
        <v>1</v>
      </c>
      <c r="F86" s="7">
        <v>1</v>
      </c>
      <c r="G86" s="7">
        <v>3</v>
      </c>
      <c r="H86" s="7">
        <v>0.8</v>
      </c>
      <c r="I86" s="7"/>
    </row>
    <row r="87" spans="1:9" x14ac:dyDescent="0.2">
      <c r="A87" s="2">
        <v>3</v>
      </c>
      <c r="B87" s="89" t="s">
        <v>575</v>
      </c>
      <c r="C87" s="89" t="s">
        <v>412</v>
      </c>
      <c r="D87" s="2" t="s">
        <v>410</v>
      </c>
      <c r="E87" s="7">
        <v>20</v>
      </c>
      <c r="F87" s="7">
        <v>20</v>
      </c>
      <c r="G87" s="7">
        <v>1.25</v>
      </c>
      <c r="H87" s="7">
        <v>1.8</v>
      </c>
      <c r="I87" s="7"/>
    </row>
    <row r="88" spans="1:9" x14ac:dyDescent="0.2">
      <c r="A88" s="2">
        <v>4</v>
      </c>
      <c r="B88" s="89" t="s">
        <v>576</v>
      </c>
      <c r="C88" s="89" t="s">
        <v>413</v>
      </c>
      <c r="D88" s="2" t="s">
        <v>410</v>
      </c>
      <c r="E88" s="7">
        <v>0.25</v>
      </c>
      <c r="F88" s="7">
        <v>0.25</v>
      </c>
      <c r="G88" s="7">
        <v>3</v>
      </c>
      <c r="H88" s="7">
        <v>0.5</v>
      </c>
      <c r="I88" s="7"/>
    </row>
    <row r="89" spans="1:9" x14ac:dyDescent="0.2">
      <c r="A89" s="2">
        <v>5</v>
      </c>
      <c r="B89" s="89" t="s">
        <v>577</v>
      </c>
      <c r="C89" s="89" t="s">
        <v>414</v>
      </c>
      <c r="D89" s="2" t="s">
        <v>410</v>
      </c>
      <c r="E89" s="7">
        <v>0.5</v>
      </c>
      <c r="F89" s="7">
        <v>0.25</v>
      </c>
      <c r="G89" s="7">
        <v>3</v>
      </c>
      <c r="H89" s="7">
        <v>0.5</v>
      </c>
      <c r="I89" s="7"/>
    </row>
    <row r="90" spans="1:9" x14ac:dyDescent="0.2">
      <c r="A90" s="2">
        <v>6</v>
      </c>
      <c r="B90" s="89" t="s">
        <v>578</v>
      </c>
      <c r="C90" s="89" t="s">
        <v>415</v>
      </c>
      <c r="D90" s="2" t="s">
        <v>384</v>
      </c>
      <c r="E90" s="7">
        <v>0.5</v>
      </c>
      <c r="F90" s="7">
        <v>0.5</v>
      </c>
      <c r="G90" s="7">
        <v>4.5</v>
      </c>
      <c r="H90" s="7">
        <v>1</v>
      </c>
      <c r="I90" s="7"/>
    </row>
    <row r="91" spans="1:9" x14ac:dyDescent="0.2">
      <c r="A91" s="2">
        <v>7</v>
      </c>
      <c r="B91" s="89" t="s">
        <v>579</v>
      </c>
      <c r="C91" s="89" t="s">
        <v>416</v>
      </c>
      <c r="D91" s="2" t="s">
        <v>384</v>
      </c>
      <c r="E91" s="7">
        <v>1</v>
      </c>
      <c r="F91" s="7">
        <v>0.5</v>
      </c>
      <c r="G91" s="7">
        <v>4.5</v>
      </c>
      <c r="H91" s="7">
        <v>1</v>
      </c>
      <c r="I91" s="7"/>
    </row>
    <row r="92" spans="1:9" x14ac:dyDescent="0.2">
      <c r="A92" s="2">
        <v>8</v>
      </c>
      <c r="B92" s="89" t="s">
        <v>580</v>
      </c>
      <c r="C92" s="89" t="s">
        <v>417</v>
      </c>
      <c r="D92" s="2" t="s">
        <v>384</v>
      </c>
      <c r="E92" s="7">
        <v>10</v>
      </c>
      <c r="F92" s="7">
        <v>10</v>
      </c>
      <c r="G92" s="7">
        <v>1.25</v>
      </c>
      <c r="H92" s="7">
        <v>1.5</v>
      </c>
      <c r="I92" s="7"/>
    </row>
    <row r="93" spans="1:9" x14ac:dyDescent="0.2">
      <c r="A93" s="2">
        <v>9</v>
      </c>
      <c r="B93" s="89" t="s">
        <v>581</v>
      </c>
      <c r="C93" s="89" t="s">
        <v>418</v>
      </c>
      <c r="D93" s="2" t="s">
        <v>387</v>
      </c>
      <c r="E93" s="7">
        <v>1.5</v>
      </c>
      <c r="F93" s="7">
        <v>1</v>
      </c>
      <c r="G93" s="7">
        <v>3</v>
      </c>
      <c r="H93" s="7">
        <v>1</v>
      </c>
      <c r="I93" s="7" t="s">
        <v>3172</v>
      </c>
    </row>
    <row r="94" spans="1:9" x14ac:dyDescent="0.2">
      <c r="A94" s="2">
        <v>10</v>
      </c>
      <c r="B94" s="89" t="s">
        <v>582</v>
      </c>
      <c r="C94" s="89" t="s">
        <v>419</v>
      </c>
      <c r="D94" s="2" t="s">
        <v>387</v>
      </c>
      <c r="E94" s="7">
        <v>3</v>
      </c>
      <c r="F94" s="7">
        <v>1</v>
      </c>
      <c r="G94" s="7">
        <v>3</v>
      </c>
      <c r="H94" s="7">
        <v>1.2</v>
      </c>
      <c r="I94" s="7" t="s">
        <v>3172</v>
      </c>
    </row>
    <row r="95" spans="1:9" x14ac:dyDescent="0.2">
      <c r="A95" s="2">
        <v>11</v>
      </c>
      <c r="B95" s="89" t="s">
        <v>583</v>
      </c>
      <c r="C95" s="89" t="s">
        <v>420</v>
      </c>
      <c r="D95" s="2" t="s">
        <v>387</v>
      </c>
      <c r="E95" s="7">
        <v>20</v>
      </c>
      <c r="F95" s="7">
        <v>20</v>
      </c>
      <c r="G95" s="7">
        <v>1.25</v>
      </c>
      <c r="H95" s="7">
        <v>2</v>
      </c>
      <c r="I95" s="7" t="s">
        <v>3172</v>
      </c>
    </row>
    <row r="96" spans="1:9" x14ac:dyDescent="0.2">
      <c r="A96" s="2">
        <v>12</v>
      </c>
      <c r="B96" s="89" t="s">
        <v>584</v>
      </c>
      <c r="C96" s="89" t="s">
        <v>421</v>
      </c>
      <c r="D96" s="2" t="s">
        <v>409</v>
      </c>
      <c r="E96" s="7">
        <v>0.5</v>
      </c>
      <c r="F96" s="7">
        <v>0.5</v>
      </c>
      <c r="G96" s="7">
        <v>3</v>
      </c>
      <c r="H96" s="7">
        <v>1</v>
      </c>
      <c r="I96" s="7" t="s">
        <v>3173</v>
      </c>
    </row>
    <row r="97" spans="1:9" x14ac:dyDescent="0.2">
      <c r="A97" s="2">
        <v>13</v>
      </c>
      <c r="B97" s="89" t="s">
        <v>585</v>
      </c>
      <c r="C97" s="89" t="s">
        <v>422</v>
      </c>
      <c r="D97" s="2" t="s">
        <v>409</v>
      </c>
      <c r="E97" s="7">
        <v>1</v>
      </c>
      <c r="F97" s="7">
        <v>0.5</v>
      </c>
      <c r="G97" s="7">
        <v>3</v>
      </c>
      <c r="H97" s="7">
        <v>1</v>
      </c>
      <c r="I97" s="7" t="s">
        <v>3173</v>
      </c>
    </row>
    <row r="98" spans="1:9" x14ac:dyDescent="0.2">
      <c r="A98" s="2">
        <v>14</v>
      </c>
      <c r="B98" s="89" t="s">
        <v>586</v>
      </c>
      <c r="C98" s="89" t="s">
        <v>423</v>
      </c>
      <c r="D98" s="2" t="s">
        <v>409</v>
      </c>
      <c r="E98" s="7">
        <v>20</v>
      </c>
      <c r="F98" s="7">
        <v>10</v>
      </c>
      <c r="G98" s="7">
        <v>1.25</v>
      </c>
      <c r="H98" s="7">
        <v>2.5</v>
      </c>
      <c r="I98" s="7" t="s">
        <v>3173</v>
      </c>
    </row>
    <row r="99" spans="1:9" x14ac:dyDescent="0.2">
      <c r="A99" s="2">
        <v>15</v>
      </c>
      <c r="B99" s="89" t="s">
        <v>587</v>
      </c>
      <c r="C99" s="89" t="s">
        <v>424</v>
      </c>
      <c r="D99" s="2" t="s">
        <v>410</v>
      </c>
      <c r="E99" s="7">
        <v>1</v>
      </c>
      <c r="F99" s="7">
        <v>1</v>
      </c>
      <c r="G99" s="7">
        <v>3</v>
      </c>
      <c r="H99" s="7">
        <v>1.25</v>
      </c>
      <c r="I99" s="7"/>
    </row>
    <row r="100" spans="1:9" x14ac:dyDescent="0.2">
      <c r="A100" s="2">
        <v>16</v>
      </c>
      <c r="B100" s="89" t="s">
        <v>588</v>
      </c>
      <c r="C100" s="89" t="s">
        <v>425</v>
      </c>
      <c r="D100" s="2" t="s">
        <v>388</v>
      </c>
      <c r="E100" s="7">
        <v>2</v>
      </c>
      <c r="F100" s="7">
        <v>1</v>
      </c>
      <c r="G100" s="7">
        <v>3</v>
      </c>
      <c r="H100" s="7">
        <v>1.3</v>
      </c>
      <c r="I100" s="7" t="s">
        <v>3174</v>
      </c>
    </row>
    <row r="101" spans="1:9" x14ac:dyDescent="0.2">
      <c r="A101" s="2">
        <v>17</v>
      </c>
      <c r="B101" s="89" t="s">
        <v>589</v>
      </c>
      <c r="C101" s="89" t="s">
        <v>426</v>
      </c>
      <c r="D101" s="2" t="s">
        <v>388</v>
      </c>
      <c r="E101" s="7">
        <v>20</v>
      </c>
      <c r="F101" s="7">
        <v>20</v>
      </c>
      <c r="G101" s="7">
        <v>1.25</v>
      </c>
      <c r="H101" s="7">
        <v>2.5</v>
      </c>
      <c r="I101" s="7" t="s">
        <v>3174</v>
      </c>
    </row>
    <row r="102" spans="1:9" x14ac:dyDescent="0.2">
      <c r="A102" s="2">
        <v>18</v>
      </c>
      <c r="B102" s="89" t="s">
        <v>940</v>
      </c>
      <c r="C102" s="89" t="s">
        <v>945</v>
      </c>
      <c r="D102" s="2" t="s">
        <v>948</v>
      </c>
      <c r="E102" s="7">
        <v>1</v>
      </c>
      <c r="F102" s="7">
        <v>1</v>
      </c>
      <c r="G102" s="7">
        <v>3</v>
      </c>
      <c r="H102" s="7">
        <v>1</v>
      </c>
      <c r="I102" s="7"/>
    </row>
    <row r="103" spans="1:9" x14ac:dyDescent="0.2">
      <c r="A103" s="2">
        <v>19</v>
      </c>
      <c r="B103" s="89" t="s">
        <v>941</v>
      </c>
      <c r="C103" s="89" t="s">
        <v>946</v>
      </c>
      <c r="D103" s="2" t="s">
        <v>948</v>
      </c>
      <c r="E103" s="7">
        <v>2</v>
      </c>
      <c r="F103" s="7">
        <v>1</v>
      </c>
      <c r="G103" s="7">
        <v>3</v>
      </c>
      <c r="H103" s="7">
        <v>1.2</v>
      </c>
      <c r="I103" s="7"/>
    </row>
    <row r="104" spans="1:9" x14ac:dyDescent="0.2">
      <c r="A104" s="2">
        <v>20</v>
      </c>
      <c r="B104" s="89" t="s">
        <v>943</v>
      </c>
      <c r="C104" s="89" t="s">
        <v>947</v>
      </c>
      <c r="D104" s="2" t="s">
        <v>948</v>
      </c>
      <c r="E104" s="7">
        <v>4</v>
      </c>
      <c r="F104" s="7">
        <v>1</v>
      </c>
      <c r="G104" s="7">
        <v>3</v>
      </c>
      <c r="H104" s="7">
        <v>1.8</v>
      </c>
      <c r="I104" s="7"/>
    </row>
    <row r="105" spans="1:9" x14ac:dyDescent="0.2">
      <c r="A105" s="2">
        <v>21</v>
      </c>
      <c r="B105" s="89" t="s">
        <v>2188</v>
      </c>
      <c r="C105" s="89" t="s">
        <v>2191</v>
      </c>
      <c r="D105" s="2" t="s">
        <v>2200</v>
      </c>
      <c r="E105" s="7">
        <v>10</v>
      </c>
      <c r="F105" s="7">
        <v>10</v>
      </c>
      <c r="G105" s="7">
        <v>1.25</v>
      </c>
      <c r="H105" s="7">
        <v>1.25</v>
      </c>
      <c r="I105" s="7"/>
    </row>
    <row r="106" spans="1:9" x14ac:dyDescent="0.2">
      <c r="A106" s="2">
        <v>22</v>
      </c>
      <c r="B106" s="89" t="s">
        <v>2189</v>
      </c>
      <c r="C106" s="89" t="s">
        <v>2192</v>
      </c>
      <c r="D106" s="2" t="s">
        <v>2200</v>
      </c>
      <c r="E106" s="7">
        <v>15</v>
      </c>
      <c r="F106" s="7">
        <v>15</v>
      </c>
      <c r="G106" s="7">
        <v>1.25</v>
      </c>
      <c r="H106" s="7">
        <v>1.5</v>
      </c>
      <c r="I106" s="7"/>
    </row>
    <row r="107" spans="1:9" x14ac:dyDescent="0.2">
      <c r="A107" s="2">
        <v>23</v>
      </c>
      <c r="B107" s="89" t="s">
        <v>2190</v>
      </c>
      <c r="C107" s="89" t="s">
        <v>2193</v>
      </c>
      <c r="D107" s="2" t="s">
        <v>2200</v>
      </c>
      <c r="E107" s="7">
        <v>20</v>
      </c>
      <c r="F107" s="7">
        <v>20</v>
      </c>
      <c r="G107" s="7">
        <v>1.25</v>
      </c>
      <c r="H107" s="7">
        <v>2.5</v>
      </c>
      <c r="I107" s="7"/>
    </row>
    <row r="108" spans="1:9" x14ac:dyDescent="0.2">
      <c r="A108" s="2">
        <v>21</v>
      </c>
      <c r="B108" s="89" t="s">
        <v>2179</v>
      </c>
      <c r="C108" s="89" t="s">
        <v>2194</v>
      </c>
      <c r="D108" s="2" t="s">
        <v>2201</v>
      </c>
      <c r="E108" s="7">
        <v>3</v>
      </c>
      <c r="F108" s="7">
        <v>1</v>
      </c>
      <c r="G108" s="7">
        <v>3</v>
      </c>
      <c r="H108" s="7">
        <v>1</v>
      </c>
      <c r="I108" s="7"/>
    </row>
    <row r="109" spans="1:9" x14ac:dyDescent="0.2">
      <c r="A109" s="2">
        <v>22</v>
      </c>
      <c r="B109" s="89" t="s">
        <v>2180</v>
      </c>
      <c r="C109" s="89" t="s">
        <v>2195</v>
      </c>
      <c r="D109" s="2" t="s">
        <v>2201</v>
      </c>
      <c r="E109" s="7">
        <v>6</v>
      </c>
      <c r="F109" s="7">
        <v>1</v>
      </c>
      <c r="G109" s="7">
        <v>3</v>
      </c>
      <c r="H109" s="7">
        <v>1.2</v>
      </c>
      <c r="I109" s="7"/>
    </row>
    <row r="110" spans="1:9" x14ac:dyDescent="0.2">
      <c r="A110" s="2">
        <v>23</v>
      </c>
      <c r="B110" s="89" t="s">
        <v>2181</v>
      </c>
      <c r="C110" s="89" t="s">
        <v>2196</v>
      </c>
      <c r="D110" s="2" t="s">
        <v>2201</v>
      </c>
      <c r="E110" s="7">
        <v>12</v>
      </c>
      <c r="F110" s="7">
        <v>1</v>
      </c>
      <c r="G110" s="7">
        <v>3</v>
      </c>
      <c r="H110" s="7">
        <v>1.8</v>
      </c>
      <c r="I110" s="7"/>
    </row>
    <row r="111" spans="1:9" x14ac:dyDescent="0.2">
      <c r="A111" s="2">
        <v>21</v>
      </c>
      <c r="B111" s="89" t="s">
        <v>2182</v>
      </c>
      <c r="C111" s="89" t="s">
        <v>2197</v>
      </c>
      <c r="D111" s="2" t="s">
        <v>2202</v>
      </c>
      <c r="E111" s="7">
        <v>1</v>
      </c>
      <c r="F111" s="7">
        <v>1</v>
      </c>
      <c r="G111" s="7">
        <v>1.5</v>
      </c>
      <c r="H111" s="7">
        <v>1</v>
      </c>
      <c r="I111" s="7"/>
    </row>
    <row r="112" spans="1:9" x14ac:dyDescent="0.2">
      <c r="A112" s="2">
        <v>22</v>
      </c>
      <c r="B112" s="89" t="s">
        <v>2183</v>
      </c>
      <c r="C112" s="89" t="s">
        <v>2198</v>
      </c>
      <c r="D112" s="2" t="s">
        <v>2202</v>
      </c>
      <c r="E112" s="7">
        <v>2</v>
      </c>
      <c r="F112" s="7">
        <v>1</v>
      </c>
      <c r="G112" s="7">
        <v>1.5</v>
      </c>
      <c r="H112" s="7">
        <v>1.2</v>
      </c>
      <c r="I112" s="7"/>
    </row>
    <row r="113" spans="1:9" x14ac:dyDescent="0.2">
      <c r="A113" s="2">
        <v>23</v>
      </c>
      <c r="B113" s="89" t="s">
        <v>2184</v>
      </c>
      <c r="C113" s="89" t="s">
        <v>2199</v>
      </c>
      <c r="D113" s="2" t="s">
        <v>2202</v>
      </c>
      <c r="E113" s="7">
        <v>4</v>
      </c>
      <c r="F113" s="7">
        <v>1</v>
      </c>
      <c r="G113" s="7">
        <v>1.5</v>
      </c>
      <c r="H113" s="7">
        <v>1.8</v>
      </c>
      <c r="I113" s="7"/>
    </row>
    <row r="117" spans="1:9" ht="18" x14ac:dyDescent="0.25">
      <c r="A117" s="28" t="s">
        <v>16</v>
      </c>
    </row>
    <row r="118" spans="1:9" s="4" customFormat="1" x14ac:dyDescent="0.2">
      <c r="A118" s="4" t="s">
        <v>17</v>
      </c>
    </row>
    <row r="119" spans="1:9" x14ac:dyDescent="0.2">
      <c r="A119" s="8" t="s">
        <v>634</v>
      </c>
    </row>
    <row r="120" spans="1:9" x14ac:dyDescent="0.2">
      <c r="A120" s="7" t="s">
        <v>635</v>
      </c>
    </row>
    <row r="122" spans="1:9" x14ac:dyDescent="0.2">
      <c r="A122" s="5" t="s">
        <v>389</v>
      </c>
      <c r="E122" s="5"/>
    </row>
    <row r="123" spans="1:9" x14ac:dyDescent="0.2">
      <c r="A123" s="8" t="s">
        <v>380</v>
      </c>
      <c r="B123" s="8" t="s">
        <v>381</v>
      </c>
      <c r="C123" s="8" t="s">
        <v>391</v>
      </c>
      <c r="D123" s="174" t="s">
        <v>26</v>
      </c>
      <c r="E123" s="175"/>
      <c r="F123" s="175"/>
      <c r="G123" s="176"/>
    </row>
    <row r="124" spans="1:9" x14ac:dyDescent="0.2">
      <c r="A124" s="2">
        <v>1</v>
      </c>
      <c r="B124" s="82">
        <v>3</v>
      </c>
      <c r="C124" s="82" t="s">
        <v>1374</v>
      </c>
      <c r="D124" s="82" t="s">
        <v>590</v>
      </c>
      <c r="E124" s="82"/>
      <c r="F124" s="82"/>
      <c r="G124" s="82"/>
    </row>
    <row r="125" spans="1:9" x14ac:dyDescent="0.2">
      <c r="A125" s="2">
        <v>2</v>
      </c>
      <c r="B125" s="82">
        <v>1.25</v>
      </c>
      <c r="C125" s="82" t="s">
        <v>1375</v>
      </c>
      <c r="D125" s="82" t="s">
        <v>590</v>
      </c>
      <c r="E125" s="82"/>
      <c r="F125" s="82"/>
      <c r="G125" s="82"/>
    </row>
    <row r="126" spans="1:9" x14ac:dyDescent="0.2">
      <c r="A126" s="2">
        <v>3</v>
      </c>
      <c r="B126" s="82">
        <v>2.2000000000000002</v>
      </c>
      <c r="C126" s="82" t="s">
        <v>49</v>
      </c>
      <c r="D126" s="82" t="s">
        <v>590</v>
      </c>
      <c r="E126" s="82" t="s">
        <v>603</v>
      </c>
      <c r="F126" s="82" t="s">
        <v>594</v>
      </c>
      <c r="G126" s="82"/>
    </row>
    <row r="128" spans="1:9" s="4" customFormat="1" x14ac:dyDescent="0.2">
      <c r="A128" s="4" t="s">
        <v>12</v>
      </c>
    </row>
    <row r="129" spans="1:26" x14ac:dyDescent="0.2">
      <c r="A129" s="5" t="s">
        <v>636</v>
      </c>
      <c r="E129" s="5"/>
    </row>
    <row r="130" spans="1:26" x14ac:dyDescent="0.2">
      <c r="A130" s="8" t="s">
        <v>62</v>
      </c>
      <c r="B130" s="8" t="s">
        <v>381</v>
      </c>
      <c r="C130" s="8" t="s">
        <v>391</v>
      </c>
      <c r="D130" s="174" t="s">
        <v>634</v>
      </c>
      <c r="E130" s="175"/>
      <c r="F130" s="175"/>
      <c r="G130" s="175"/>
      <c r="H130" s="175"/>
      <c r="I130" s="175"/>
      <c r="J130" s="175"/>
      <c r="K130" s="176"/>
      <c r="L130" s="8" t="s">
        <v>637</v>
      </c>
      <c r="M130" s="8" t="s">
        <v>638</v>
      </c>
      <c r="N130" s="8" t="s">
        <v>639</v>
      </c>
      <c r="O130" s="8" t="s">
        <v>640</v>
      </c>
      <c r="P130" s="8" t="s">
        <v>641</v>
      </c>
    </row>
    <row r="131" spans="1:26" x14ac:dyDescent="0.2">
      <c r="A131" s="2">
        <v>1</v>
      </c>
      <c r="B131" s="82" t="s">
        <v>1730</v>
      </c>
      <c r="C131" s="82"/>
      <c r="D131" s="7" t="s">
        <v>157</v>
      </c>
      <c r="E131" s="7" t="s">
        <v>635</v>
      </c>
      <c r="F131" s="135" t="s">
        <v>644</v>
      </c>
      <c r="G131" s="82" t="s">
        <v>642</v>
      </c>
      <c r="H131" s="7"/>
      <c r="I131" s="7"/>
      <c r="J131" s="7"/>
      <c r="K131" s="7"/>
      <c r="L131" s="82" t="s">
        <v>30</v>
      </c>
      <c r="M131" s="82" t="s">
        <v>393</v>
      </c>
      <c r="N131" s="82" t="s">
        <v>645</v>
      </c>
      <c r="O131" s="82" t="s">
        <v>646</v>
      </c>
      <c r="P131" s="82" t="s">
        <v>647</v>
      </c>
      <c r="Q131" s="113" t="s">
        <v>907</v>
      </c>
    </row>
    <row r="132" spans="1:26" x14ac:dyDescent="0.2">
      <c r="A132" s="2">
        <v>2</v>
      </c>
      <c r="B132" s="82" t="s">
        <v>1730</v>
      </c>
      <c r="C132" s="82"/>
      <c r="D132" s="7" t="s">
        <v>157</v>
      </c>
      <c r="E132" s="7" t="s">
        <v>635</v>
      </c>
      <c r="F132" s="7" t="s">
        <v>644</v>
      </c>
      <c r="G132" s="82" t="s">
        <v>642</v>
      </c>
      <c r="H132" s="7" t="s">
        <v>176</v>
      </c>
      <c r="I132" s="7"/>
      <c r="J132" s="7"/>
      <c r="K132" s="7"/>
      <c r="L132" s="82" t="s">
        <v>49</v>
      </c>
      <c r="M132" s="82" t="s">
        <v>648</v>
      </c>
      <c r="N132" s="82" t="s">
        <v>649</v>
      </c>
      <c r="O132" s="82" t="s">
        <v>645</v>
      </c>
      <c r="P132" s="82" t="s">
        <v>647</v>
      </c>
      <c r="Q132" s="113" t="s">
        <v>908</v>
      </c>
    </row>
    <row r="133" spans="1:26" x14ac:dyDescent="0.2">
      <c r="A133" s="2">
        <v>3</v>
      </c>
      <c r="B133" s="82" t="s">
        <v>1731</v>
      </c>
      <c r="C133" s="82"/>
      <c r="D133" s="7" t="s">
        <v>157</v>
      </c>
      <c r="E133" s="7" t="s">
        <v>635</v>
      </c>
      <c r="F133" s="7" t="s">
        <v>644</v>
      </c>
      <c r="G133" s="82" t="s">
        <v>642</v>
      </c>
      <c r="H133" s="7" t="s">
        <v>176</v>
      </c>
      <c r="I133" s="134" t="s">
        <v>253</v>
      </c>
      <c r="J133" s="7"/>
      <c r="K133" s="7"/>
      <c r="L133" s="82" t="s">
        <v>378</v>
      </c>
      <c r="M133" s="82" t="s">
        <v>650</v>
      </c>
      <c r="N133" s="82" t="s">
        <v>651</v>
      </c>
      <c r="O133" s="82" t="s">
        <v>661</v>
      </c>
      <c r="P133" s="82" t="s">
        <v>645</v>
      </c>
      <c r="Q133" s="113" t="s">
        <v>909</v>
      </c>
    </row>
    <row r="134" spans="1:26" x14ac:dyDescent="0.2">
      <c r="A134" s="2">
        <v>4</v>
      </c>
      <c r="B134" s="82" t="s">
        <v>1732</v>
      </c>
      <c r="C134" s="82"/>
      <c r="D134" s="7" t="s">
        <v>157</v>
      </c>
      <c r="E134" s="7" t="s">
        <v>635</v>
      </c>
      <c r="F134" s="7" t="s">
        <v>644</v>
      </c>
      <c r="G134" s="82" t="s">
        <v>642</v>
      </c>
      <c r="H134" s="7" t="s">
        <v>176</v>
      </c>
      <c r="I134" s="82" t="s">
        <v>253</v>
      </c>
      <c r="J134" s="82" t="s">
        <v>252</v>
      </c>
      <c r="K134" s="82"/>
      <c r="L134" s="82" t="s">
        <v>377</v>
      </c>
      <c r="M134" s="82" t="s">
        <v>655</v>
      </c>
      <c r="N134" s="82" t="s">
        <v>652</v>
      </c>
      <c r="O134" s="82" t="s">
        <v>653</v>
      </c>
      <c r="P134" s="82" t="s">
        <v>654</v>
      </c>
      <c r="Q134" s="113" t="s">
        <v>910</v>
      </c>
    </row>
    <row r="135" spans="1:26" x14ac:dyDescent="0.2">
      <c r="A135" s="2">
        <v>5</v>
      </c>
      <c r="B135" s="82" t="s">
        <v>1733</v>
      </c>
      <c r="C135" s="82"/>
      <c r="D135" s="7" t="s">
        <v>157</v>
      </c>
      <c r="E135" s="7" t="s">
        <v>635</v>
      </c>
      <c r="F135" s="7" t="s">
        <v>644</v>
      </c>
      <c r="G135" s="82" t="s">
        <v>642</v>
      </c>
      <c r="H135" s="7" t="s">
        <v>176</v>
      </c>
      <c r="I135" s="82" t="s">
        <v>253</v>
      </c>
      <c r="J135" s="82" t="s">
        <v>252</v>
      </c>
      <c r="K135" s="82" t="s">
        <v>643</v>
      </c>
      <c r="L135" s="82" t="s">
        <v>656</v>
      </c>
      <c r="M135" s="82" t="s">
        <v>657</v>
      </c>
      <c r="N135" s="82" t="s">
        <v>658</v>
      </c>
      <c r="O135" s="82" t="s">
        <v>659</v>
      </c>
      <c r="P135" s="82" t="s">
        <v>660</v>
      </c>
      <c r="Q135" s="113" t="s">
        <v>911</v>
      </c>
    </row>
    <row r="136" spans="1:26" x14ac:dyDescent="0.2">
      <c r="A136" s="2">
        <v>6</v>
      </c>
      <c r="B136" s="144" t="s">
        <v>1735</v>
      </c>
      <c r="C136" s="144"/>
      <c r="D136" s="144"/>
      <c r="E136" s="144"/>
      <c r="F136" s="144"/>
      <c r="G136" s="144"/>
      <c r="H136" s="144"/>
      <c r="I136" s="144"/>
      <c r="J136" s="144"/>
      <c r="K136" s="144"/>
      <c r="L136" s="144"/>
      <c r="M136" s="144"/>
      <c r="N136" s="144"/>
      <c r="O136" s="144"/>
      <c r="P136" s="144"/>
      <c r="Q136" s="145"/>
    </row>
    <row r="137" spans="1:26" x14ac:dyDescent="0.2">
      <c r="A137" s="2">
        <v>7</v>
      </c>
      <c r="B137" s="144" t="s">
        <v>1735</v>
      </c>
      <c r="C137" s="144"/>
      <c r="D137" s="144"/>
      <c r="E137" s="144"/>
      <c r="F137" s="144"/>
      <c r="G137" s="144"/>
      <c r="H137" s="144"/>
      <c r="I137" s="144"/>
      <c r="J137" s="144"/>
      <c r="K137" s="144"/>
      <c r="L137" s="144"/>
      <c r="M137" s="144"/>
      <c r="N137" s="144"/>
      <c r="O137" s="144"/>
      <c r="P137" s="144"/>
      <c r="Q137" s="145"/>
    </row>
    <row r="138" spans="1:26" x14ac:dyDescent="0.2">
      <c r="A138" s="2">
        <v>8</v>
      </c>
      <c r="B138" s="144" t="s">
        <v>1734</v>
      </c>
      <c r="C138" s="144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5"/>
    </row>
    <row r="139" spans="1:26" x14ac:dyDescent="0.2">
      <c r="A139" s="2">
        <v>9</v>
      </c>
      <c r="B139" s="144" t="s">
        <v>1734</v>
      </c>
      <c r="C139" s="144"/>
      <c r="D139" s="144"/>
      <c r="E139" s="144"/>
      <c r="F139" s="144"/>
      <c r="G139" s="144"/>
      <c r="H139" s="144"/>
      <c r="I139" s="144"/>
      <c r="J139" s="144"/>
      <c r="K139" s="144"/>
      <c r="L139" s="144"/>
      <c r="M139" s="144"/>
      <c r="N139" s="144"/>
      <c r="O139" s="144"/>
      <c r="P139" s="144"/>
      <c r="Q139" s="145"/>
    </row>
    <row r="140" spans="1:26" x14ac:dyDescent="0.2">
      <c r="A140" s="2">
        <v>10</v>
      </c>
      <c r="B140" s="144" t="s">
        <v>1736</v>
      </c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5"/>
    </row>
    <row r="142" spans="1:26" x14ac:dyDescent="0.2">
      <c r="A142" s="5" t="s">
        <v>389</v>
      </c>
      <c r="E142" s="5"/>
    </row>
    <row r="143" spans="1:26" x14ac:dyDescent="0.2">
      <c r="A143" s="8" t="s">
        <v>665</v>
      </c>
      <c r="B143" s="8" t="s">
        <v>62</v>
      </c>
      <c r="C143" s="8" t="s">
        <v>380</v>
      </c>
      <c r="D143" s="8" t="s">
        <v>381</v>
      </c>
      <c r="E143" s="8" t="s">
        <v>391</v>
      </c>
      <c r="F143" s="8" t="s">
        <v>662</v>
      </c>
      <c r="G143" s="174" t="s">
        <v>26</v>
      </c>
      <c r="H143" s="175"/>
      <c r="I143" s="175"/>
      <c r="J143" s="176"/>
      <c r="K143" s="174" t="s">
        <v>663</v>
      </c>
      <c r="L143" s="175"/>
      <c r="M143" s="175"/>
      <c r="N143" s="176"/>
      <c r="Q143" s="68"/>
      <c r="T143" s="6" t="s">
        <v>62</v>
      </c>
      <c r="U143" s="6" t="s">
        <v>1309</v>
      </c>
      <c r="V143" s="6" t="s">
        <v>1321</v>
      </c>
      <c r="W143" s="6" t="s">
        <v>380</v>
      </c>
      <c r="X143" s="6" t="s">
        <v>1354</v>
      </c>
      <c r="Y143" s="6" t="s">
        <v>1355</v>
      </c>
      <c r="Z143" s="6" t="s">
        <v>26</v>
      </c>
    </row>
    <row r="144" spans="1:26" x14ac:dyDescent="0.2">
      <c r="A144" s="2" t="str">
        <f t="shared" ref="A144:A168" si="0">B144&amp;"_"&amp;C144</f>
        <v>1_1</v>
      </c>
      <c r="B144" s="2">
        <v>1</v>
      </c>
      <c r="C144" s="2">
        <v>1</v>
      </c>
      <c r="D144" s="82">
        <v>1</v>
      </c>
      <c r="E144" s="7"/>
      <c r="F144" s="7">
        <v>10</v>
      </c>
      <c r="G144" s="7" t="s">
        <v>590</v>
      </c>
      <c r="H144" s="7"/>
      <c r="I144" s="7"/>
      <c r="J144" s="7"/>
      <c r="K144" s="7">
        <v>2</v>
      </c>
      <c r="L144" s="7"/>
      <c r="M144" s="7"/>
      <c r="N144" s="7"/>
      <c r="T144" s="6">
        <v>1</v>
      </c>
      <c r="U144" s="6" t="s">
        <v>1340</v>
      </c>
      <c r="V144" s="6" t="s">
        <v>1341</v>
      </c>
      <c r="W144" s="6">
        <v>3</v>
      </c>
      <c r="X144" s="6">
        <v>2</v>
      </c>
      <c r="Y144" s="6" t="s">
        <v>1356</v>
      </c>
      <c r="Z144" s="6" t="s">
        <v>1359</v>
      </c>
    </row>
    <row r="145" spans="1:26" x14ac:dyDescent="0.2">
      <c r="A145" s="2" t="str">
        <f t="shared" si="0"/>
        <v>1_2</v>
      </c>
      <c r="B145" s="2">
        <v>1</v>
      </c>
      <c r="C145" s="2">
        <v>2</v>
      </c>
      <c r="D145" s="82">
        <v>1.8</v>
      </c>
      <c r="E145" s="7"/>
      <c r="F145" s="7">
        <v>12.5</v>
      </c>
      <c r="G145" s="7" t="s">
        <v>590</v>
      </c>
      <c r="H145" s="7"/>
      <c r="I145" s="7"/>
      <c r="J145" s="7"/>
      <c r="K145" s="7">
        <v>0.5</v>
      </c>
      <c r="L145" s="7"/>
      <c r="M145" s="7"/>
      <c r="N145" s="7"/>
      <c r="T145" s="6">
        <v>2</v>
      </c>
      <c r="U145" s="6" t="s">
        <v>1342</v>
      </c>
      <c r="V145" s="6" t="s">
        <v>1357</v>
      </c>
      <c r="W145" s="6">
        <v>3</v>
      </c>
      <c r="X145" s="6">
        <v>3</v>
      </c>
      <c r="Y145" s="6" t="s">
        <v>1358</v>
      </c>
      <c r="Z145" s="6" t="s">
        <v>1360</v>
      </c>
    </row>
    <row r="146" spans="1:26" x14ac:dyDescent="0.2">
      <c r="A146" s="2" t="str">
        <f t="shared" si="0"/>
        <v>1_3</v>
      </c>
      <c r="B146" s="2">
        <v>1</v>
      </c>
      <c r="C146" s="2">
        <v>3</v>
      </c>
      <c r="D146" s="82">
        <v>2.2999999999999998</v>
      </c>
      <c r="E146" s="7"/>
      <c r="F146" s="7">
        <v>15</v>
      </c>
      <c r="G146" s="7" t="s">
        <v>590</v>
      </c>
      <c r="H146" s="7" t="s">
        <v>591</v>
      </c>
      <c r="I146" s="7"/>
      <c r="J146" s="7"/>
      <c r="K146" s="7">
        <v>0.5</v>
      </c>
      <c r="L146" s="7">
        <v>3</v>
      </c>
      <c r="M146" s="7"/>
      <c r="N146" s="7"/>
      <c r="P146" s="6">
        <v>1.3</v>
      </c>
      <c r="T146" s="6">
        <v>3</v>
      </c>
      <c r="U146" s="3" t="s">
        <v>1347</v>
      </c>
      <c r="V146" s="3" t="s">
        <v>1349</v>
      </c>
      <c r="W146" s="6">
        <v>3</v>
      </c>
      <c r="X146" s="6">
        <v>3</v>
      </c>
      <c r="Y146" s="6" t="s">
        <v>1361</v>
      </c>
      <c r="Z146" s="6" t="s">
        <v>1360</v>
      </c>
    </row>
    <row r="147" spans="1:26" x14ac:dyDescent="0.2">
      <c r="A147" s="133" t="str">
        <f t="shared" si="0"/>
        <v>1_4</v>
      </c>
      <c r="B147" s="133">
        <v>1</v>
      </c>
      <c r="C147" s="133">
        <v>4</v>
      </c>
      <c r="D147" s="82">
        <v>3.9000000000000004</v>
      </c>
      <c r="E147" s="135"/>
      <c r="F147" s="135">
        <v>17.5</v>
      </c>
      <c r="G147" s="135" t="s">
        <v>590</v>
      </c>
      <c r="H147" s="135" t="s">
        <v>591</v>
      </c>
      <c r="I147" s="135"/>
      <c r="J147" s="135"/>
      <c r="K147" s="135">
        <v>0.3</v>
      </c>
      <c r="L147" s="135">
        <v>1.5</v>
      </c>
      <c r="M147" s="135"/>
      <c r="N147" s="135"/>
      <c r="T147" s="6">
        <v>4</v>
      </c>
      <c r="U147" s="6" t="s">
        <v>1346</v>
      </c>
      <c r="V147" s="6" t="s">
        <v>1344</v>
      </c>
      <c r="W147" s="6">
        <v>5</v>
      </c>
      <c r="X147" s="6">
        <v>4</v>
      </c>
      <c r="Y147" s="6" t="s">
        <v>1362</v>
      </c>
      <c r="Z147" s="6" t="s">
        <v>1363</v>
      </c>
    </row>
    <row r="148" spans="1:26" x14ac:dyDescent="0.2">
      <c r="A148" s="133" t="str">
        <f t="shared" si="0"/>
        <v>1_5</v>
      </c>
      <c r="B148" s="133">
        <v>1</v>
      </c>
      <c r="C148" s="133">
        <v>5</v>
      </c>
      <c r="D148" s="82">
        <v>5.8500000000000005</v>
      </c>
      <c r="E148" s="135"/>
      <c r="F148" s="135">
        <v>20</v>
      </c>
      <c r="G148" s="135" t="s">
        <v>590</v>
      </c>
      <c r="H148" s="135" t="s">
        <v>591</v>
      </c>
      <c r="I148" s="135"/>
      <c r="J148" s="135"/>
      <c r="K148" s="135">
        <v>0.3</v>
      </c>
      <c r="L148" s="135">
        <v>0.75</v>
      </c>
      <c r="M148" s="135"/>
      <c r="N148" s="135"/>
      <c r="T148" s="6">
        <v>5</v>
      </c>
      <c r="U148" s="3" t="s">
        <v>1347</v>
      </c>
      <c r="V148" s="3" t="s">
        <v>1348</v>
      </c>
      <c r="W148" s="6">
        <v>5</v>
      </c>
      <c r="X148" s="6">
        <v>4</v>
      </c>
      <c r="Y148" s="6" t="s">
        <v>1364</v>
      </c>
      <c r="Z148" s="6" t="s">
        <v>1363</v>
      </c>
    </row>
    <row r="149" spans="1:26" x14ac:dyDescent="0.2">
      <c r="A149" s="2" t="str">
        <f t="shared" si="0"/>
        <v>2_1</v>
      </c>
      <c r="B149" s="2">
        <v>2</v>
      </c>
      <c r="C149" s="2">
        <v>1</v>
      </c>
      <c r="D149" s="82">
        <v>1</v>
      </c>
      <c r="E149" s="7" t="s">
        <v>382</v>
      </c>
      <c r="F149" s="7">
        <v>10</v>
      </c>
      <c r="G149" s="7" t="s">
        <v>594</v>
      </c>
      <c r="H149" s="7"/>
      <c r="I149" s="7"/>
      <c r="J149" s="7"/>
      <c r="K149" s="7">
        <v>2</v>
      </c>
      <c r="L149" s="7"/>
      <c r="M149" s="7"/>
      <c r="N149" s="7"/>
      <c r="T149" s="6">
        <v>6</v>
      </c>
      <c r="U149" s="6" t="s">
        <v>1346</v>
      </c>
      <c r="V149" s="6" t="s">
        <v>1343</v>
      </c>
      <c r="W149" s="6">
        <v>5</v>
      </c>
      <c r="X149" s="6">
        <v>5</v>
      </c>
      <c r="Y149" s="6" t="s">
        <v>1365</v>
      </c>
      <c r="Z149" s="6" t="s">
        <v>1366</v>
      </c>
    </row>
    <row r="150" spans="1:26" x14ac:dyDescent="0.2">
      <c r="A150" s="2" t="str">
        <f t="shared" si="0"/>
        <v>2_2</v>
      </c>
      <c r="B150" s="2">
        <v>2</v>
      </c>
      <c r="C150" s="2">
        <v>2</v>
      </c>
      <c r="D150" s="82">
        <v>3.6</v>
      </c>
      <c r="E150" s="7"/>
      <c r="F150" s="7">
        <v>12.5</v>
      </c>
      <c r="G150" s="7" t="s">
        <v>594</v>
      </c>
      <c r="H150" s="7" t="s">
        <v>591</v>
      </c>
      <c r="I150" s="7"/>
      <c r="J150" s="7"/>
      <c r="K150" s="7">
        <v>2</v>
      </c>
      <c r="L150" s="7">
        <v>2</v>
      </c>
      <c r="M150" s="7"/>
      <c r="N150" s="7"/>
      <c r="Q150" s="6">
        <v>0.75</v>
      </c>
      <c r="T150" s="6">
        <v>7</v>
      </c>
      <c r="U150" s="3" t="s">
        <v>1347</v>
      </c>
      <c r="V150" s="3" t="s">
        <v>1350</v>
      </c>
      <c r="W150" s="6">
        <v>5</v>
      </c>
      <c r="X150" s="6">
        <v>5</v>
      </c>
      <c r="Y150" s="6" t="s">
        <v>1367</v>
      </c>
      <c r="Z150" s="6" t="s">
        <v>1368</v>
      </c>
    </row>
    <row r="151" spans="1:26" x14ac:dyDescent="0.2">
      <c r="A151" s="2" t="str">
        <f t="shared" si="0"/>
        <v>2_3</v>
      </c>
      <c r="B151" s="2">
        <v>2</v>
      </c>
      <c r="C151" s="2">
        <v>3</v>
      </c>
      <c r="D151" s="82">
        <v>3.6</v>
      </c>
      <c r="E151" s="7"/>
      <c r="F151" s="7">
        <v>15</v>
      </c>
      <c r="G151" s="7" t="s">
        <v>594</v>
      </c>
      <c r="H151" s="7" t="s">
        <v>592</v>
      </c>
      <c r="I151" s="7"/>
      <c r="J151" s="7"/>
      <c r="K151" s="7">
        <v>1</v>
      </c>
      <c r="L151" s="7">
        <v>1</v>
      </c>
      <c r="M151" s="7"/>
      <c r="N151" s="7"/>
      <c r="T151" s="6">
        <v>8</v>
      </c>
      <c r="U151" s="6" t="s">
        <v>1346</v>
      </c>
      <c r="V151" s="6" t="s">
        <v>1345</v>
      </c>
      <c r="W151" s="6">
        <v>5</v>
      </c>
      <c r="X151" s="6">
        <v>6</v>
      </c>
      <c r="Y151" s="6" t="s">
        <v>1369</v>
      </c>
      <c r="Z151" s="6" t="s">
        <v>1370</v>
      </c>
    </row>
    <row r="152" spans="1:26" x14ac:dyDescent="0.2">
      <c r="A152" s="133" t="str">
        <f t="shared" si="0"/>
        <v>2_4</v>
      </c>
      <c r="B152" s="133">
        <v>2</v>
      </c>
      <c r="C152" s="133">
        <v>4</v>
      </c>
      <c r="D152" s="82">
        <v>5.02734375</v>
      </c>
      <c r="E152" s="135"/>
      <c r="F152" s="135">
        <v>17.5</v>
      </c>
      <c r="G152" s="135" t="s">
        <v>594</v>
      </c>
      <c r="H152" s="135" t="s">
        <v>592</v>
      </c>
      <c r="I152" s="135" t="s">
        <v>591</v>
      </c>
      <c r="J152" s="135"/>
      <c r="K152" s="135">
        <v>1</v>
      </c>
      <c r="L152" s="135">
        <v>0.4</v>
      </c>
      <c r="M152" s="135">
        <v>0.5</v>
      </c>
      <c r="N152" s="135"/>
      <c r="T152" s="6">
        <v>9</v>
      </c>
      <c r="U152" s="126" t="s">
        <v>1351</v>
      </c>
      <c r="V152" s="126" t="s">
        <v>1352</v>
      </c>
      <c r="W152" s="6">
        <v>8</v>
      </c>
      <c r="X152" s="6">
        <v>8</v>
      </c>
      <c r="Y152" s="6" t="s">
        <v>1371</v>
      </c>
      <c r="Z152" s="6" t="s">
        <v>1372</v>
      </c>
    </row>
    <row r="153" spans="1:26" x14ac:dyDescent="0.2">
      <c r="A153" s="133" t="str">
        <f t="shared" si="0"/>
        <v>2_5</v>
      </c>
      <c r="B153" s="133">
        <v>2</v>
      </c>
      <c r="C153" s="133">
        <v>5</v>
      </c>
      <c r="D153" s="82">
        <v>9.75</v>
      </c>
      <c r="E153" s="135"/>
      <c r="F153" s="135">
        <v>20</v>
      </c>
      <c r="G153" s="135" t="s">
        <v>594</v>
      </c>
      <c r="H153" s="135" t="s">
        <v>592</v>
      </c>
      <c r="I153" s="135" t="s">
        <v>591</v>
      </c>
      <c r="J153" s="135"/>
      <c r="K153" s="135">
        <v>0.3</v>
      </c>
      <c r="L153" s="135">
        <v>0.2</v>
      </c>
      <c r="M153" s="135">
        <v>0.5</v>
      </c>
      <c r="N153" s="135"/>
      <c r="T153" s="6">
        <v>10</v>
      </c>
      <c r="U153" s="126" t="s">
        <v>1351</v>
      </c>
      <c r="V153" s="126" t="s">
        <v>1353</v>
      </c>
      <c r="W153" s="6">
        <v>8</v>
      </c>
      <c r="X153" s="6">
        <v>8</v>
      </c>
      <c r="Y153" s="6" t="s">
        <v>1371</v>
      </c>
      <c r="Z153" s="6" t="s">
        <v>1373</v>
      </c>
    </row>
    <row r="154" spans="1:26" x14ac:dyDescent="0.2">
      <c r="A154" s="2" t="str">
        <f t="shared" si="0"/>
        <v>3_1</v>
      </c>
      <c r="B154" s="2">
        <v>3</v>
      </c>
      <c r="C154" s="2">
        <v>1</v>
      </c>
      <c r="D154" s="82">
        <v>1.21875</v>
      </c>
      <c r="E154" s="7" t="s">
        <v>666</v>
      </c>
      <c r="F154" s="7">
        <v>10</v>
      </c>
      <c r="G154" s="7" t="s">
        <v>597</v>
      </c>
      <c r="H154" s="7"/>
      <c r="I154" s="7"/>
      <c r="J154" s="7"/>
      <c r="K154" s="7">
        <v>2</v>
      </c>
      <c r="L154" s="7"/>
      <c r="M154" s="7"/>
      <c r="N154" s="7"/>
      <c r="U154" s="126"/>
    </row>
    <row r="155" spans="1:26" x14ac:dyDescent="0.2">
      <c r="A155" s="2" t="str">
        <f t="shared" si="0"/>
        <v>3_2</v>
      </c>
      <c r="B155" s="2">
        <v>3</v>
      </c>
      <c r="C155" s="2">
        <v>2</v>
      </c>
      <c r="D155" s="82">
        <v>1.8</v>
      </c>
      <c r="E155" s="7"/>
      <c r="F155" s="7">
        <v>12.5</v>
      </c>
      <c r="G155" s="7" t="s">
        <v>597</v>
      </c>
      <c r="H155" s="7" t="s">
        <v>591</v>
      </c>
      <c r="I155" s="7"/>
      <c r="J155" s="7"/>
      <c r="K155" s="7">
        <v>2</v>
      </c>
      <c r="L155" s="7">
        <v>2</v>
      </c>
      <c r="M155" s="7"/>
      <c r="N155" s="7"/>
    </row>
    <row r="156" spans="1:26" x14ac:dyDescent="0.2">
      <c r="A156" s="2" t="str">
        <f t="shared" si="0"/>
        <v>3_3</v>
      </c>
      <c r="B156" s="2">
        <v>3</v>
      </c>
      <c r="C156" s="2">
        <v>3</v>
      </c>
      <c r="D156" s="82">
        <v>4.5</v>
      </c>
      <c r="E156" s="7"/>
      <c r="F156" s="7">
        <v>15</v>
      </c>
      <c r="G156" s="7" t="s">
        <v>597</v>
      </c>
      <c r="H156" s="7" t="s">
        <v>592</v>
      </c>
      <c r="I156" s="7"/>
      <c r="J156" s="7"/>
      <c r="K156" s="7">
        <v>2</v>
      </c>
      <c r="L156" s="7">
        <v>1</v>
      </c>
      <c r="M156" s="7"/>
      <c r="N156" s="7"/>
    </row>
    <row r="157" spans="1:26" s="127" customFormat="1" x14ac:dyDescent="0.2">
      <c r="A157" s="133" t="str">
        <f t="shared" si="0"/>
        <v>3_4</v>
      </c>
      <c r="B157" s="133">
        <v>3</v>
      </c>
      <c r="C157" s="133">
        <v>4</v>
      </c>
      <c r="D157" s="134">
        <v>2.25</v>
      </c>
      <c r="E157" s="135"/>
      <c r="F157" s="135">
        <v>17.5</v>
      </c>
      <c r="G157" s="135" t="s">
        <v>597</v>
      </c>
      <c r="H157" s="135" t="s">
        <v>592</v>
      </c>
      <c r="I157" s="135" t="s">
        <v>594</v>
      </c>
      <c r="J157" s="135"/>
      <c r="K157" s="135">
        <v>2</v>
      </c>
      <c r="L157" s="135">
        <v>0.3</v>
      </c>
      <c r="M157" s="135">
        <v>1</v>
      </c>
      <c r="N157" s="135"/>
    </row>
    <row r="158" spans="1:26" s="127" customFormat="1" x14ac:dyDescent="0.2">
      <c r="A158" s="133" t="str">
        <f t="shared" si="0"/>
        <v>3_5</v>
      </c>
      <c r="B158" s="133">
        <v>3</v>
      </c>
      <c r="C158" s="133">
        <v>5</v>
      </c>
      <c r="D158" s="134">
        <v>3.75</v>
      </c>
      <c r="E158" s="135"/>
      <c r="F158" s="135">
        <v>20</v>
      </c>
      <c r="G158" s="135" t="s">
        <v>597</v>
      </c>
      <c r="H158" s="135" t="s">
        <v>591</v>
      </c>
      <c r="I158" s="135" t="s">
        <v>594</v>
      </c>
      <c r="J158" s="135"/>
      <c r="K158" s="135">
        <v>1.5</v>
      </c>
      <c r="L158" s="135">
        <v>1</v>
      </c>
      <c r="M158" s="135">
        <v>0.3</v>
      </c>
      <c r="N158" s="135"/>
    </row>
    <row r="159" spans="1:26" x14ac:dyDescent="0.2">
      <c r="A159" s="2" t="str">
        <f t="shared" si="0"/>
        <v>4_1</v>
      </c>
      <c r="B159" s="2">
        <v>4</v>
      </c>
      <c r="C159" s="2">
        <v>1</v>
      </c>
      <c r="D159" s="82">
        <v>2.5</v>
      </c>
      <c r="E159" s="7" t="s">
        <v>394</v>
      </c>
      <c r="F159" s="7">
        <v>10</v>
      </c>
      <c r="G159" s="7" t="s">
        <v>600</v>
      </c>
      <c r="H159" s="7"/>
      <c r="I159" s="7"/>
      <c r="J159" s="7"/>
      <c r="K159" s="7">
        <v>1.5</v>
      </c>
      <c r="L159" s="7"/>
      <c r="M159" s="7"/>
      <c r="N159" s="7"/>
    </row>
    <row r="160" spans="1:26" x14ac:dyDescent="0.2">
      <c r="A160" s="2" t="str">
        <f t="shared" si="0"/>
        <v>4_2</v>
      </c>
      <c r="B160" s="2">
        <v>4</v>
      </c>
      <c r="C160" s="2">
        <v>2</v>
      </c>
      <c r="D160" s="82">
        <v>7.5</v>
      </c>
      <c r="E160" s="7"/>
      <c r="F160" s="7">
        <v>12.5</v>
      </c>
      <c r="G160" s="7" t="s">
        <v>600</v>
      </c>
      <c r="H160" s="7" t="s">
        <v>591</v>
      </c>
      <c r="I160" s="7"/>
      <c r="J160" s="7"/>
      <c r="K160" s="7">
        <v>1.5</v>
      </c>
      <c r="L160" s="7">
        <v>0.5</v>
      </c>
      <c r="M160" s="7"/>
      <c r="N160" s="7"/>
    </row>
    <row r="161" spans="1:15" x14ac:dyDescent="0.2">
      <c r="A161" s="2" t="str">
        <f t="shared" si="0"/>
        <v>4_3</v>
      </c>
      <c r="B161" s="2">
        <v>4</v>
      </c>
      <c r="C161" s="2">
        <v>3</v>
      </c>
      <c r="D161" s="82">
        <v>13.5</v>
      </c>
      <c r="E161" s="7"/>
      <c r="F161" s="7">
        <v>15</v>
      </c>
      <c r="G161" s="7" t="s">
        <v>600</v>
      </c>
      <c r="H161" s="7" t="s">
        <v>592</v>
      </c>
      <c r="I161" s="7"/>
      <c r="J161" s="7"/>
      <c r="K161" s="7">
        <v>1.5</v>
      </c>
      <c r="L161" s="7">
        <v>0.2</v>
      </c>
      <c r="M161" s="7"/>
      <c r="N161" s="7"/>
    </row>
    <row r="162" spans="1:15" s="127" customFormat="1" x14ac:dyDescent="0.2">
      <c r="A162" s="133" t="str">
        <f t="shared" si="0"/>
        <v>4_4</v>
      </c>
      <c r="B162" s="133">
        <v>4</v>
      </c>
      <c r="C162" s="133">
        <v>4</v>
      </c>
      <c r="D162" s="134">
        <v>3</v>
      </c>
      <c r="E162" s="135"/>
      <c r="F162" s="135">
        <v>17.5</v>
      </c>
      <c r="G162" s="135" t="s">
        <v>600</v>
      </c>
      <c r="H162" s="135" t="s">
        <v>594</v>
      </c>
      <c r="I162" s="135"/>
      <c r="J162" s="135"/>
      <c r="K162" s="135">
        <v>1.5</v>
      </c>
      <c r="L162" s="135">
        <v>0.4</v>
      </c>
      <c r="M162" s="135"/>
      <c r="N162" s="135"/>
    </row>
    <row r="163" spans="1:15" s="127" customFormat="1" x14ac:dyDescent="0.2">
      <c r="A163" s="133" t="str">
        <f t="shared" si="0"/>
        <v>4_5</v>
      </c>
      <c r="B163" s="133">
        <v>4</v>
      </c>
      <c r="C163" s="133">
        <v>5</v>
      </c>
      <c r="D163" s="134">
        <v>3</v>
      </c>
      <c r="E163" s="135"/>
      <c r="F163" s="135">
        <v>20</v>
      </c>
      <c r="G163" s="135" t="s">
        <v>600</v>
      </c>
      <c r="H163" s="135" t="s">
        <v>597</v>
      </c>
      <c r="I163" s="135"/>
      <c r="J163" s="135"/>
      <c r="K163" s="135">
        <v>0.5</v>
      </c>
      <c r="L163" s="135">
        <v>2</v>
      </c>
      <c r="M163" s="135"/>
      <c r="N163" s="135"/>
    </row>
    <row r="164" spans="1:15" x14ac:dyDescent="0.2">
      <c r="A164" s="2" t="str">
        <f t="shared" si="0"/>
        <v>5_1</v>
      </c>
      <c r="B164" s="2">
        <v>5</v>
      </c>
      <c r="C164" s="2">
        <v>1</v>
      </c>
      <c r="D164" s="82">
        <v>4.8</v>
      </c>
      <c r="E164" s="7" t="s">
        <v>667</v>
      </c>
      <c r="F164" s="7">
        <v>10</v>
      </c>
      <c r="G164" s="7" t="s">
        <v>604</v>
      </c>
      <c r="H164" s="7"/>
      <c r="I164" s="7"/>
      <c r="J164" s="7"/>
      <c r="K164" s="7">
        <v>1.5</v>
      </c>
      <c r="L164" s="7"/>
      <c r="M164" s="7"/>
      <c r="N164" s="7"/>
    </row>
    <row r="165" spans="1:15" x14ac:dyDescent="0.2">
      <c r="A165" s="2" t="str">
        <f t="shared" si="0"/>
        <v>5_2</v>
      </c>
      <c r="B165" s="2">
        <v>5</v>
      </c>
      <c r="C165" s="2">
        <v>2</v>
      </c>
      <c r="D165" s="82">
        <v>7.5</v>
      </c>
      <c r="E165" s="7"/>
      <c r="F165" s="7">
        <v>12.5</v>
      </c>
      <c r="G165" s="7" t="s">
        <v>604</v>
      </c>
      <c r="H165" s="7" t="s">
        <v>592</v>
      </c>
      <c r="I165" s="7"/>
      <c r="J165" s="7"/>
      <c r="K165" s="7">
        <v>1.5</v>
      </c>
      <c r="L165" s="7">
        <v>0.2</v>
      </c>
      <c r="M165" s="7"/>
      <c r="N165" s="7"/>
    </row>
    <row r="166" spans="1:15" x14ac:dyDescent="0.2">
      <c r="A166" s="2" t="str">
        <f t="shared" si="0"/>
        <v>5_3</v>
      </c>
      <c r="B166" s="2">
        <v>5</v>
      </c>
      <c r="C166" s="2">
        <v>3</v>
      </c>
      <c r="D166" s="82">
        <v>13.5</v>
      </c>
      <c r="E166" s="7"/>
      <c r="F166" s="7">
        <v>15</v>
      </c>
      <c r="G166" s="7" t="s">
        <v>604</v>
      </c>
      <c r="H166" s="7" t="s">
        <v>594</v>
      </c>
      <c r="I166" s="7" t="s">
        <v>600</v>
      </c>
      <c r="J166" s="7"/>
      <c r="K166" s="7">
        <v>1.5</v>
      </c>
      <c r="L166" s="7">
        <v>0.4</v>
      </c>
      <c r="M166" s="7">
        <v>1.5</v>
      </c>
      <c r="N166" s="7"/>
    </row>
    <row r="167" spans="1:15" s="127" customFormat="1" x14ac:dyDescent="0.2">
      <c r="A167" s="133" t="str">
        <f t="shared" si="0"/>
        <v>5_4</v>
      </c>
      <c r="B167" s="133">
        <v>5</v>
      </c>
      <c r="C167" s="133">
        <v>4</v>
      </c>
      <c r="D167" s="134">
        <v>6</v>
      </c>
      <c r="E167" s="135"/>
      <c r="F167" s="135">
        <v>17.5</v>
      </c>
      <c r="G167" s="135" t="s">
        <v>604</v>
      </c>
      <c r="H167" s="135" t="s">
        <v>600</v>
      </c>
      <c r="I167" s="135"/>
      <c r="J167" s="135"/>
      <c r="K167" s="135">
        <v>1.5</v>
      </c>
      <c r="L167" s="135">
        <v>0.5</v>
      </c>
      <c r="M167" s="135"/>
      <c r="N167" s="135"/>
    </row>
    <row r="168" spans="1:15" s="127" customFormat="1" ht="15" thickBot="1" x14ac:dyDescent="0.25">
      <c r="A168" s="142" t="str">
        <f t="shared" si="0"/>
        <v>5_5</v>
      </c>
      <c r="B168" s="142">
        <v>5</v>
      </c>
      <c r="C168" s="142">
        <v>5</v>
      </c>
      <c r="D168" s="134">
        <v>6</v>
      </c>
      <c r="E168" s="143"/>
      <c r="F168" s="143">
        <v>20</v>
      </c>
      <c r="G168" s="143" t="s">
        <v>604</v>
      </c>
      <c r="H168" s="143" t="s">
        <v>600</v>
      </c>
      <c r="I168" s="143" t="s">
        <v>597</v>
      </c>
      <c r="J168" s="143" t="s">
        <v>605</v>
      </c>
      <c r="K168" s="143">
        <v>1.5</v>
      </c>
      <c r="L168" s="143">
        <v>0.5</v>
      </c>
      <c r="M168" s="143">
        <v>2</v>
      </c>
      <c r="N168" s="143">
        <v>0</v>
      </c>
    </row>
    <row r="169" spans="1:15" x14ac:dyDescent="0.2">
      <c r="A169" s="117" t="str">
        <f t="shared" ref="A169:A193" si="1">B169&amp;"_"&amp;C169</f>
        <v>6_1</v>
      </c>
      <c r="B169" s="117">
        <f>B144+5</f>
        <v>6</v>
      </c>
      <c r="C169" s="117">
        <v>1</v>
      </c>
      <c r="D169" s="82">
        <v>6</v>
      </c>
      <c r="E169" s="115" t="s">
        <v>1278</v>
      </c>
      <c r="F169" s="115">
        <v>10</v>
      </c>
      <c r="G169" s="115" t="s">
        <v>590</v>
      </c>
      <c r="H169" s="115" t="s">
        <v>940</v>
      </c>
      <c r="I169" s="115"/>
      <c r="J169" s="115"/>
      <c r="K169" s="115">
        <v>1</v>
      </c>
      <c r="L169" s="115">
        <v>0</v>
      </c>
      <c r="M169" s="115"/>
      <c r="N169" s="115"/>
      <c r="O169" s="6">
        <v>0.5</v>
      </c>
    </row>
    <row r="170" spans="1:15" x14ac:dyDescent="0.2">
      <c r="A170" s="2" t="str">
        <f t="shared" si="1"/>
        <v>6_2</v>
      </c>
      <c r="B170" s="2">
        <f t="shared" ref="B170:B193" si="2">B145+5</f>
        <v>6</v>
      </c>
      <c r="C170" s="2">
        <v>2</v>
      </c>
      <c r="D170" s="82">
        <v>9</v>
      </c>
      <c r="E170" s="115" t="s">
        <v>1278</v>
      </c>
      <c r="F170" s="7">
        <v>12.5</v>
      </c>
      <c r="G170" s="7" t="s">
        <v>590</v>
      </c>
      <c r="H170" s="115" t="s">
        <v>940</v>
      </c>
      <c r="I170" s="7"/>
      <c r="J170" s="7"/>
      <c r="K170" s="7">
        <v>0.5</v>
      </c>
      <c r="L170" s="7">
        <v>4</v>
      </c>
      <c r="M170" s="7"/>
      <c r="N170" s="7"/>
    </row>
    <row r="171" spans="1:15" x14ac:dyDescent="0.2">
      <c r="A171" s="2" t="str">
        <f t="shared" si="1"/>
        <v>6_3</v>
      </c>
      <c r="B171" s="2">
        <f t="shared" si="2"/>
        <v>6</v>
      </c>
      <c r="C171" s="2">
        <v>3</v>
      </c>
      <c r="D171" s="82">
        <v>15</v>
      </c>
      <c r="E171" s="115" t="s">
        <v>1278</v>
      </c>
      <c r="F171" s="7">
        <v>15</v>
      </c>
      <c r="G171" s="7" t="s">
        <v>590</v>
      </c>
      <c r="H171" s="7" t="s">
        <v>591</v>
      </c>
      <c r="I171" s="115" t="s">
        <v>940</v>
      </c>
      <c r="J171" s="7"/>
      <c r="K171" s="7">
        <v>0.5</v>
      </c>
      <c r="L171" s="7">
        <v>1.5</v>
      </c>
      <c r="M171" s="7">
        <v>4</v>
      </c>
      <c r="N171" s="7"/>
    </row>
    <row r="172" spans="1:15" x14ac:dyDescent="0.2">
      <c r="A172" s="2" t="str">
        <f t="shared" si="1"/>
        <v>6_4</v>
      </c>
      <c r="B172" s="2">
        <f t="shared" si="2"/>
        <v>6</v>
      </c>
      <c r="C172" s="2">
        <v>4</v>
      </c>
      <c r="D172" s="82">
        <v>21</v>
      </c>
      <c r="E172" s="115" t="s">
        <v>1278</v>
      </c>
      <c r="F172" s="7">
        <v>17.5</v>
      </c>
      <c r="G172" s="7" t="s">
        <v>590</v>
      </c>
      <c r="H172" s="7" t="s">
        <v>591</v>
      </c>
      <c r="I172" s="115" t="s">
        <v>940</v>
      </c>
      <c r="J172" s="7"/>
      <c r="K172" s="7">
        <v>0.3</v>
      </c>
      <c r="L172" s="7">
        <v>1.5</v>
      </c>
      <c r="M172" s="7">
        <v>4</v>
      </c>
      <c r="N172" s="7"/>
    </row>
    <row r="173" spans="1:15" x14ac:dyDescent="0.2">
      <c r="A173" s="2" t="str">
        <f t="shared" si="1"/>
        <v>6_5</v>
      </c>
      <c r="B173" s="2">
        <f t="shared" si="2"/>
        <v>6</v>
      </c>
      <c r="C173" s="2">
        <v>5</v>
      </c>
      <c r="D173" s="82">
        <v>28</v>
      </c>
      <c r="E173" s="115" t="s">
        <v>1278</v>
      </c>
      <c r="F173" s="7">
        <v>20</v>
      </c>
      <c r="G173" s="7" t="s">
        <v>590</v>
      </c>
      <c r="H173" s="7" t="s">
        <v>591</v>
      </c>
      <c r="I173" s="115" t="s">
        <v>940</v>
      </c>
      <c r="J173" s="7"/>
      <c r="K173" s="7">
        <v>0.3</v>
      </c>
      <c r="L173" s="7">
        <v>0.75</v>
      </c>
      <c r="M173" s="7">
        <v>2</v>
      </c>
      <c r="N173" s="7"/>
    </row>
    <row r="174" spans="1:15" x14ac:dyDescent="0.2">
      <c r="A174" s="2" t="str">
        <f t="shared" si="1"/>
        <v>7_1</v>
      </c>
      <c r="B174" s="2">
        <f t="shared" si="2"/>
        <v>7</v>
      </c>
      <c r="C174" s="2">
        <v>1</v>
      </c>
      <c r="D174" s="82">
        <f>D169*1.1</f>
        <v>6.6000000000000005</v>
      </c>
      <c r="E174" s="115" t="s">
        <v>1278</v>
      </c>
      <c r="F174" s="7">
        <v>10</v>
      </c>
      <c r="G174" s="7" t="s">
        <v>594</v>
      </c>
      <c r="H174" s="115" t="s">
        <v>940</v>
      </c>
      <c r="I174" s="7"/>
      <c r="J174" s="7"/>
      <c r="K174" s="7">
        <v>1</v>
      </c>
      <c r="L174" s="7">
        <v>0</v>
      </c>
      <c r="M174" s="7"/>
      <c r="N174" s="7"/>
    </row>
    <row r="175" spans="1:15" x14ac:dyDescent="0.2">
      <c r="A175" s="2" t="str">
        <f t="shared" si="1"/>
        <v>7_2</v>
      </c>
      <c r="B175" s="2">
        <f t="shared" si="2"/>
        <v>7</v>
      </c>
      <c r="C175" s="2">
        <v>2</v>
      </c>
      <c r="D175" s="82">
        <f t="shared" ref="D175:D193" si="3">D170*1.1</f>
        <v>9.9</v>
      </c>
      <c r="E175" s="115" t="s">
        <v>1278</v>
      </c>
      <c r="F175" s="7">
        <v>12.5</v>
      </c>
      <c r="G175" s="7" t="s">
        <v>594</v>
      </c>
      <c r="H175" s="7" t="s">
        <v>591</v>
      </c>
      <c r="I175" s="115" t="s">
        <v>940</v>
      </c>
      <c r="J175" s="7"/>
      <c r="K175" s="7">
        <v>1</v>
      </c>
      <c r="L175" s="7">
        <v>0.5</v>
      </c>
      <c r="M175" s="7">
        <v>4</v>
      </c>
      <c r="N175" s="7"/>
    </row>
    <row r="176" spans="1:15" x14ac:dyDescent="0.2">
      <c r="A176" s="2" t="str">
        <f t="shared" si="1"/>
        <v>7_3</v>
      </c>
      <c r="B176" s="2">
        <f t="shared" si="2"/>
        <v>7</v>
      </c>
      <c r="C176" s="2">
        <v>3</v>
      </c>
      <c r="D176" s="82">
        <f t="shared" si="3"/>
        <v>16.5</v>
      </c>
      <c r="E176" s="115" t="s">
        <v>1278</v>
      </c>
      <c r="F176" s="7">
        <v>15</v>
      </c>
      <c r="G176" s="7" t="s">
        <v>594</v>
      </c>
      <c r="H176" s="7" t="s">
        <v>592</v>
      </c>
      <c r="I176" s="115" t="s">
        <v>940</v>
      </c>
      <c r="J176" s="7"/>
      <c r="K176" s="7">
        <v>1</v>
      </c>
      <c r="L176" s="7">
        <v>0.2</v>
      </c>
      <c r="M176" s="7">
        <v>4</v>
      </c>
      <c r="N176" s="7"/>
    </row>
    <row r="177" spans="1:14" x14ac:dyDescent="0.2">
      <c r="A177" s="2" t="str">
        <f t="shared" si="1"/>
        <v>7_4</v>
      </c>
      <c r="B177" s="2">
        <f t="shared" si="2"/>
        <v>7</v>
      </c>
      <c r="C177" s="2">
        <v>4</v>
      </c>
      <c r="D177" s="82">
        <f t="shared" si="3"/>
        <v>23.1</v>
      </c>
      <c r="E177" s="115" t="s">
        <v>1278</v>
      </c>
      <c r="F177" s="7">
        <v>17.5</v>
      </c>
      <c r="G177" s="7" t="s">
        <v>594</v>
      </c>
      <c r="H177" s="7" t="s">
        <v>592</v>
      </c>
      <c r="I177" s="7" t="s">
        <v>591</v>
      </c>
      <c r="J177" s="115" t="s">
        <v>940</v>
      </c>
      <c r="K177" s="7">
        <v>1</v>
      </c>
      <c r="L177" s="7">
        <v>0.4</v>
      </c>
      <c r="M177" s="7">
        <v>0.5</v>
      </c>
      <c r="N177" s="7">
        <v>4</v>
      </c>
    </row>
    <row r="178" spans="1:14" x14ac:dyDescent="0.2">
      <c r="A178" s="2" t="str">
        <f t="shared" si="1"/>
        <v>7_5</v>
      </c>
      <c r="B178" s="2">
        <f t="shared" si="2"/>
        <v>7</v>
      </c>
      <c r="C178" s="2">
        <v>5</v>
      </c>
      <c r="D178" s="82">
        <f t="shared" si="3"/>
        <v>30.800000000000004</v>
      </c>
      <c r="E178" s="115" t="s">
        <v>1278</v>
      </c>
      <c r="F178" s="7">
        <v>20</v>
      </c>
      <c r="G178" s="7" t="s">
        <v>594</v>
      </c>
      <c r="H178" s="7" t="s">
        <v>592</v>
      </c>
      <c r="I178" s="7" t="s">
        <v>591</v>
      </c>
      <c r="J178" s="115" t="s">
        <v>940</v>
      </c>
      <c r="K178" s="7">
        <v>0.3</v>
      </c>
      <c r="L178" s="7">
        <v>0.2</v>
      </c>
      <c r="M178" s="7">
        <v>0.5</v>
      </c>
      <c r="N178" s="7">
        <v>2</v>
      </c>
    </row>
    <row r="179" spans="1:14" x14ac:dyDescent="0.2">
      <c r="A179" s="2" t="str">
        <f t="shared" si="1"/>
        <v>8_1</v>
      </c>
      <c r="B179" s="2">
        <f t="shared" si="2"/>
        <v>8</v>
      </c>
      <c r="C179" s="2">
        <v>1</v>
      </c>
      <c r="D179" s="82">
        <v>6</v>
      </c>
      <c r="E179" s="115" t="s">
        <v>1278</v>
      </c>
      <c r="F179" s="7">
        <v>10</v>
      </c>
      <c r="G179" s="7" t="s">
        <v>597</v>
      </c>
      <c r="H179" s="115" t="s">
        <v>942</v>
      </c>
      <c r="I179" s="7"/>
      <c r="J179" s="7"/>
      <c r="K179" s="7">
        <v>2</v>
      </c>
      <c r="L179" s="7">
        <v>0</v>
      </c>
      <c r="M179" s="7"/>
      <c r="N179" s="7"/>
    </row>
    <row r="180" spans="1:14" x14ac:dyDescent="0.2">
      <c r="A180" s="2" t="str">
        <f t="shared" si="1"/>
        <v>8_2</v>
      </c>
      <c r="B180" s="2">
        <f t="shared" si="2"/>
        <v>8</v>
      </c>
      <c r="C180" s="2">
        <v>2</v>
      </c>
      <c r="D180" s="82">
        <v>9</v>
      </c>
      <c r="E180" s="115" t="s">
        <v>1278</v>
      </c>
      <c r="F180" s="7">
        <v>12.5</v>
      </c>
      <c r="G180" s="7" t="s">
        <v>597</v>
      </c>
      <c r="H180" s="7" t="s">
        <v>591</v>
      </c>
      <c r="I180" s="115" t="s">
        <v>942</v>
      </c>
      <c r="J180" s="7"/>
      <c r="K180" s="7">
        <v>2</v>
      </c>
      <c r="L180" s="7">
        <v>1</v>
      </c>
      <c r="M180" s="7">
        <v>4</v>
      </c>
      <c r="N180" s="7"/>
    </row>
    <row r="181" spans="1:14" x14ac:dyDescent="0.2">
      <c r="A181" s="2" t="str">
        <f t="shared" si="1"/>
        <v>8_3</v>
      </c>
      <c r="B181" s="2">
        <f t="shared" si="2"/>
        <v>8</v>
      </c>
      <c r="C181" s="2">
        <v>3</v>
      </c>
      <c r="D181" s="82">
        <v>15</v>
      </c>
      <c r="E181" s="115" t="s">
        <v>1278</v>
      </c>
      <c r="F181" s="7">
        <v>15</v>
      </c>
      <c r="G181" s="7" t="s">
        <v>597</v>
      </c>
      <c r="H181" s="7" t="s">
        <v>592</v>
      </c>
      <c r="I181" s="115" t="s">
        <v>942</v>
      </c>
      <c r="J181" s="7"/>
      <c r="K181" s="7">
        <v>2</v>
      </c>
      <c r="L181" s="7">
        <v>0.3</v>
      </c>
      <c r="M181" s="7">
        <v>4</v>
      </c>
      <c r="N181" s="7"/>
    </row>
    <row r="182" spans="1:14" x14ac:dyDescent="0.2">
      <c r="A182" s="2" t="str">
        <f t="shared" si="1"/>
        <v>8_4</v>
      </c>
      <c r="B182" s="2">
        <f t="shared" si="2"/>
        <v>8</v>
      </c>
      <c r="C182" s="2">
        <v>4</v>
      </c>
      <c r="D182" s="82">
        <v>18</v>
      </c>
      <c r="E182" s="115" t="s">
        <v>1278</v>
      </c>
      <c r="F182" s="7">
        <v>17.5</v>
      </c>
      <c r="G182" s="7" t="s">
        <v>597</v>
      </c>
      <c r="H182" s="7" t="s">
        <v>592</v>
      </c>
      <c r="I182" s="7" t="s">
        <v>594</v>
      </c>
      <c r="J182" s="115" t="s">
        <v>942</v>
      </c>
      <c r="K182" s="7">
        <v>2</v>
      </c>
      <c r="L182" s="7">
        <v>0.3</v>
      </c>
      <c r="M182" s="7">
        <v>1</v>
      </c>
      <c r="N182" s="7">
        <v>4</v>
      </c>
    </row>
    <row r="183" spans="1:14" x14ac:dyDescent="0.2">
      <c r="A183" s="2" t="str">
        <f t="shared" si="1"/>
        <v>8_5</v>
      </c>
      <c r="B183" s="2">
        <f t="shared" si="2"/>
        <v>8</v>
      </c>
      <c r="C183" s="2">
        <v>5</v>
      </c>
      <c r="D183" s="82">
        <v>24</v>
      </c>
      <c r="E183" s="115" t="s">
        <v>1278</v>
      </c>
      <c r="F183" s="7">
        <v>20</v>
      </c>
      <c r="G183" s="7" t="s">
        <v>597</v>
      </c>
      <c r="H183" s="7" t="s">
        <v>591</v>
      </c>
      <c r="I183" s="7" t="s">
        <v>594</v>
      </c>
      <c r="J183" s="115" t="s">
        <v>942</v>
      </c>
      <c r="K183" s="7">
        <v>1</v>
      </c>
      <c r="L183" s="7">
        <v>1</v>
      </c>
      <c r="M183" s="7">
        <v>0.3</v>
      </c>
      <c r="N183" s="7">
        <v>2</v>
      </c>
    </row>
    <row r="184" spans="1:14" x14ac:dyDescent="0.2">
      <c r="A184" s="2" t="str">
        <f t="shared" si="1"/>
        <v>9_1</v>
      </c>
      <c r="B184" s="2">
        <f t="shared" si="2"/>
        <v>9</v>
      </c>
      <c r="C184" s="2">
        <v>1</v>
      </c>
      <c r="D184" s="82">
        <f t="shared" si="3"/>
        <v>6.6000000000000005</v>
      </c>
      <c r="E184" s="115" t="s">
        <v>1278</v>
      </c>
      <c r="F184" s="7">
        <v>10</v>
      </c>
      <c r="G184" s="7" t="s">
        <v>600</v>
      </c>
      <c r="H184" s="115" t="s">
        <v>942</v>
      </c>
      <c r="I184" s="7"/>
      <c r="J184" s="7"/>
      <c r="K184" s="7">
        <v>1.5</v>
      </c>
      <c r="L184" s="7">
        <v>0</v>
      </c>
      <c r="M184" s="7"/>
      <c r="N184" s="7"/>
    </row>
    <row r="185" spans="1:14" x14ac:dyDescent="0.2">
      <c r="A185" s="2" t="str">
        <f t="shared" si="1"/>
        <v>9_2</v>
      </c>
      <c r="B185" s="2">
        <f t="shared" si="2"/>
        <v>9</v>
      </c>
      <c r="C185" s="2">
        <v>2</v>
      </c>
      <c r="D185" s="82">
        <f t="shared" si="3"/>
        <v>9.9</v>
      </c>
      <c r="E185" s="115" t="s">
        <v>1278</v>
      </c>
      <c r="F185" s="7">
        <v>12.5</v>
      </c>
      <c r="G185" s="7" t="s">
        <v>600</v>
      </c>
      <c r="H185" s="7" t="s">
        <v>591</v>
      </c>
      <c r="I185" s="115" t="s">
        <v>942</v>
      </c>
      <c r="J185" s="7"/>
      <c r="K185" s="7">
        <v>1.5</v>
      </c>
      <c r="L185" s="7">
        <v>0.5</v>
      </c>
      <c r="M185" s="7">
        <v>4</v>
      </c>
      <c r="N185" s="7"/>
    </row>
    <row r="186" spans="1:14" x14ac:dyDescent="0.2">
      <c r="A186" s="2" t="str">
        <f t="shared" si="1"/>
        <v>9_3</v>
      </c>
      <c r="B186" s="2">
        <f t="shared" si="2"/>
        <v>9</v>
      </c>
      <c r="C186" s="2">
        <v>3</v>
      </c>
      <c r="D186" s="82">
        <f t="shared" si="3"/>
        <v>16.5</v>
      </c>
      <c r="E186" s="115" t="s">
        <v>1278</v>
      </c>
      <c r="F186" s="7">
        <v>15</v>
      </c>
      <c r="G186" s="7" t="s">
        <v>600</v>
      </c>
      <c r="H186" s="7" t="s">
        <v>592</v>
      </c>
      <c r="I186" s="115" t="s">
        <v>942</v>
      </c>
      <c r="J186" s="7"/>
      <c r="K186" s="7">
        <v>1.5</v>
      </c>
      <c r="L186" s="7">
        <v>0.2</v>
      </c>
      <c r="M186" s="7">
        <v>4</v>
      </c>
      <c r="N186" s="7"/>
    </row>
    <row r="187" spans="1:14" x14ac:dyDescent="0.2">
      <c r="A187" s="2" t="str">
        <f t="shared" si="1"/>
        <v>9_4</v>
      </c>
      <c r="B187" s="2">
        <f t="shared" si="2"/>
        <v>9</v>
      </c>
      <c r="C187" s="2">
        <v>4</v>
      </c>
      <c r="D187" s="82">
        <f t="shared" si="3"/>
        <v>19.8</v>
      </c>
      <c r="E187" s="115" t="s">
        <v>1278</v>
      </c>
      <c r="F187" s="7">
        <v>17.5</v>
      </c>
      <c r="G187" s="7" t="s">
        <v>600</v>
      </c>
      <c r="H187" s="7" t="s">
        <v>594</v>
      </c>
      <c r="I187" s="115" t="s">
        <v>942</v>
      </c>
      <c r="J187" s="7"/>
      <c r="K187" s="7">
        <v>1.5</v>
      </c>
      <c r="L187" s="7">
        <v>0.4</v>
      </c>
      <c r="M187" s="7">
        <v>4</v>
      </c>
      <c r="N187" s="7"/>
    </row>
    <row r="188" spans="1:14" x14ac:dyDescent="0.2">
      <c r="A188" s="2" t="str">
        <f t="shared" si="1"/>
        <v>9_5</v>
      </c>
      <c r="B188" s="2">
        <f t="shared" si="2"/>
        <v>9</v>
      </c>
      <c r="C188" s="2">
        <v>5</v>
      </c>
      <c r="D188" s="82">
        <f t="shared" si="3"/>
        <v>26.400000000000002</v>
      </c>
      <c r="E188" s="115" t="s">
        <v>1278</v>
      </c>
      <c r="F188" s="7">
        <v>20</v>
      </c>
      <c r="G188" s="7" t="s">
        <v>600</v>
      </c>
      <c r="H188" s="7" t="s">
        <v>597</v>
      </c>
      <c r="I188" s="115" t="s">
        <v>942</v>
      </c>
      <c r="J188" s="7"/>
      <c r="K188" s="7">
        <v>0.5</v>
      </c>
      <c r="L188" s="7">
        <v>2</v>
      </c>
      <c r="M188" s="7">
        <v>2</v>
      </c>
      <c r="N188" s="7"/>
    </row>
    <row r="189" spans="1:14" x14ac:dyDescent="0.2">
      <c r="A189" s="2" t="str">
        <f t="shared" si="1"/>
        <v>10_1</v>
      </c>
      <c r="B189" s="2">
        <f t="shared" si="2"/>
        <v>10</v>
      </c>
      <c r="C189" s="2">
        <v>1</v>
      </c>
      <c r="D189" s="82">
        <f t="shared" si="3"/>
        <v>7.2600000000000016</v>
      </c>
      <c r="E189" s="115" t="s">
        <v>1278</v>
      </c>
      <c r="F189" s="7">
        <v>10</v>
      </c>
      <c r="G189" s="7" t="s">
        <v>604</v>
      </c>
      <c r="H189" s="115" t="s">
        <v>944</v>
      </c>
      <c r="I189" s="7"/>
      <c r="J189" s="7"/>
      <c r="K189" s="7">
        <v>1.5</v>
      </c>
      <c r="L189" s="7">
        <v>0</v>
      </c>
      <c r="M189" s="7"/>
      <c r="N189" s="7"/>
    </row>
    <row r="190" spans="1:14" x14ac:dyDescent="0.2">
      <c r="A190" s="2" t="str">
        <f t="shared" si="1"/>
        <v>10_2</v>
      </c>
      <c r="B190" s="2">
        <f t="shared" si="2"/>
        <v>10</v>
      </c>
      <c r="C190" s="2">
        <v>2</v>
      </c>
      <c r="D190" s="82">
        <f t="shared" si="3"/>
        <v>10.89</v>
      </c>
      <c r="E190" s="115" t="s">
        <v>1278</v>
      </c>
      <c r="F190" s="7">
        <v>12.5</v>
      </c>
      <c r="G190" s="7" t="s">
        <v>604</v>
      </c>
      <c r="H190" s="7" t="s">
        <v>592</v>
      </c>
      <c r="I190" s="115" t="s">
        <v>944</v>
      </c>
      <c r="J190" s="7"/>
      <c r="K190" s="7">
        <v>1.5</v>
      </c>
      <c r="L190" s="7">
        <v>0.2</v>
      </c>
      <c r="M190" s="7">
        <v>4</v>
      </c>
      <c r="N190" s="7"/>
    </row>
    <row r="191" spans="1:14" x14ac:dyDescent="0.2">
      <c r="A191" s="2" t="str">
        <f t="shared" si="1"/>
        <v>10_3</v>
      </c>
      <c r="B191" s="2">
        <f t="shared" si="2"/>
        <v>10</v>
      </c>
      <c r="C191" s="2">
        <v>3</v>
      </c>
      <c r="D191" s="82">
        <f t="shared" si="3"/>
        <v>18.150000000000002</v>
      </c>
      <c r="E191" s="115" t="s">
        <v>1278</v>
      </c>
      <c r="F191" s="7">
        <v>15</v>
      </c>
      <c r="G191" s="7" t="s">
        <v>604</v>
      </c>
      <c r="H191" s="7" t="s">
        <v>594</v>
      </c>
      <c r="I191" s="7" t="s">
        <v>600</v>
      </c>
      <c r="J191" s="115" t="s">
        <v>944</v>
      </c>
      <c r="K191" s="7">
        <v>1.5</v>
      </c>
      <c r="L191" s="7">
        <v>0.4</v>
      </c>
      <c r="M191" s="7">
        <v>1.5</v>
      </c>
      <c r="N191" s="7">
        <v>4</v>
      </c>
    </row>
    <row r="192" spans="1:14" x14ac:dyDescent="0.2">
      <c r="A192" s="2" t="str">
        <f t="shared" si="1"/>
        <v>10_4</v>
      </c>
      <c r="B192" s="2">
        <f t="shared" si="2"/>
        <v>10</v>
      </c>
      <c r="C192" s="2">
        <v>4</v>
      </c>
      <c r="D192" s="82">
        <f t="shared" si="3"/>
        <v>21.78</v>
      </c>
      <c r="E192" s="115" t="s">
        <v>1278</v>
      </c>
      <c r="F192" s="7">
        <v>17.5</v>
      </c>
      <c r="G192" s="7" t="s">
        <v>604</v>
      </c>
      <c r="H192" s="7" t="s">
        <v>600</v>
      </c>
      <c r="I192" s="115" t="s">
        <v>944</v>
      </c>
      <c r="J192" s="7"/>
      <c r="K192" s="7">
        <v>1.5</v>
      </c>
      <c r="L192" s="7">
        <v>0.5</v>
      </c>
      <c r="M192" s="7">
        <v>4</v>
      </c>
      <c r="N192" s="7"/>
    </row>
    <row r="193" spans="1:14" x14ac:dyDescent="0.2">
      <c r="A193" s="2" t="str">
        <f t="shared" si="1"/>
        <v>10_5</v>
      </c>
      <c r="B193" s="2">
        <f t="shared" si="2"/>
        <v>10</v>
      </c>
      <c r="C193" s="2">
        <v>5</v>
      </c>
      <c r="D193" s="82">
        <f t="shared" si="3"/>
        <v>29.040000000000006</v>
      </c>
      <c r="E193" s="115" t="s">
        <v>1278</v>
      </c>
      <c r="F193" s="7">
        <v>20</v>
      </c>
      <c r="G193" s="7" t="s">
        <v>604</v>
      </c>
      <c r="H193" s="7" t="s">
        <v>600</v>
      </c>
      <c r="I193" s="7" t="s">
        <v>597</v>
      </c>
      <c r="J193" s="115" t="s">
        <v>944</v>
      </c>
      <c r="K193" s="7">
        <v>1.5</v>
      </c>
      <c r="L193" s="7">
        <v>0.5</v>
      </c>
      <c r="M193" s="7">
        <v>2</v>
      </c>
      <c r="N193" s="7">
        <v>2</v>
      </c>
    </row>
    <row r="199" spans="1:14" s="4" customFormat="1" x14ac:dyDescent="0.2">
      <c r="A199" s="4" t="s">
        <v>13</v>
      </c>
    </row>
    <row r="200" spans="1:14" x14ac:dyDescent="0.2">
      <c r="A200" s="5" t="s">
        <v>389</v>
      </c>
      <c r="E200" s="5"/>
    </row>
    <row r="201" spans="1:14" x14ac:dyDescent="0.2">
      <c r="A201" s="8" t="s">
        <v>380</v>
      </c>
      <c r="B201" s="8" t="s">
        <v>381</v>
      </c>
      <c r="C201" s="8" t="s">
        <v>391</v>
      </c>
      <c r="D201" s="174" t="s">
        <v>392</v>
      </c>
      <c r="E201" s="175"/>
      <c r="F201" s="175"/>
      <c r="G201" s="176"/>
      <c r="H201" s="137" t="s">
        <v>1939</v>
      </c>
      <c r="L201" s="137" t="s">
        <v>1925</v>
      </c>
      <c r="M201" s="137" t="s">
        <v>1926</v>
      </c>
      <c r="N201" s="137" t="s">
        <v>380</v>
      </c>
    </row>
    <row r="202" spans="1:14" x14ac:dyDescent="0.2">
      <c r="A202" s="2">
        <v>1</v>
      </c>
      <c r="B202" s="82">
        <v>2.5</v>
      </c>
      <c r="C202" s="82"/>
      <c r="D202" s="82" t="s">
        <v>590</v>
      </c>
      <c r="E202" s="82"/>
      <c r="F202" s="82"/>
      <c r="G202" s="82"/>
      <c r="H202" s="6" t="s">
        <v>45</v>
      </c>
      <c r="L202" s="137">
        <v>4</v>
      </c>
      <c r="M202" s="137">
        <v>15</v>
      </c>
      <c r="N202" s="137" t="s">
        <v>1934</v>
      </c>
    </row>
    <row r="203" spans="1:14" x14ac:dyDescent="0.2">
      <c r="A203" s="2">
        <v>2</v>
      </c>
      <c r="B203" s="80">
        <f>B202+$L$202</f>
        <v>6.5</v>
      </c>
      <c r="C203" s="7"/>
      <c r="D203" s="82" t="s">
        <v>590</v>
      </c>
      <c r="E203" s="82" t="s">
        <v>591</v>
      </c>
      <c r="F203" s="82"/>
      <c r="G203" s="82"/>
      <c r="H203" s="6" t="s">
        <v>45</v>
      </c>
      <c r="L203" s="137">
        <v>2.5</v>
      </c>
      <c r="M203" s="137">
        <v>40</v>
      </c>
      <c r="N203" s="150" t="s">
        <v>1935</v>
      </c>
    </row>
    <row r="204" spans="1:14" x14ac:dyDescent="0.2">
      <c r="A204" s="2">
        <v>3</v>
      </c>
      <c r="B204" s="80">
        <f>B203+$L$202</f>
        <v>10.5</v>
      </c>
      <c r="C204" s="7" t="s">
        <v>393</v>
      </c>
      <c r="D204" s="82" t="s">
        <v>591</v>
      </c>
      <c r="E204" s="82" t="s">
        <v>592</v>
      </c>
      <c r="F204" s="82"/>
      <c r="G204" s="82"/>
      <c r="H204" s="6" t="s">
        <v>45</v>
      </c>
      <c r="L204" s="137">
        <v>7.5</v>
      </c>
      <c r="M204" s="137">
        <v>5</v>
      </c>
      <c r="N204" s="137" t="s">
        <v>1936</v>
      </c>
    </row>
    <row r="205" spans="1:14" x14ac:dyDescent="0.2">
      <c r="A205" s="2">
        <v>4</v>
      </c>
      <c r="B205" s="80">
        <f>B204+$M$202</f>
        <v>25.5</v>
      </c>
      <c r="C205" s="7" t="s">
        <v>383</v>
      </c>
      <c r="D205" s="82" t="s">
        <v>593</v>
      </c>
      <c r="E205" s="82" t="s">
        <v>592</v>
      </c>
      <c r="F205" s="82"/>
      <c r="G205" s="82"/>
      <c r="H205" s="6" t="s">
        <v>1940</v>
      </c>
      <c r="L205" s="137">
        <v>10</v>
      </c>
      <c r="M205" s="137">
        <v>40</v>
      </c>
      <c r="N205" s="137" t="s">
        <v>1937</v>
      </c>
    </row>
    <row r="206" spans="1:14" x14ac:dyDescent="0.2">
      <c r="A206" s="2">
        <v>5</v>
      </c>
      <c r="B206" s="82">
        <v>15</v>
      </c>
      <c r="C206" s="7"/>
      <c r="D206" s="82" t="s">
        <v>591</v>
      </c>
      <c r="E206" s="82" t="s">
        <v>594</v>
      </c>
      <c r="F206" s="82"/>
      <c r="G206" s="82"/>
      <c r="H206" s="6" t="s">
        <v>1940</v>
      </c>
      <c r="L206" s="137">
        <v>10</v>
      </c>
      <c r="M206" s="137">
        <v>40</v>
      </c>
      <c r="N206" s="137" t="s">
        <v>1938</v>
      </c>
    </row>
    <row r="207" spans="1:14" x14ac:dyDescent="0.2">
      <c r="A207" s="2">
        <v>6</v>
      </c>
      <c r="B207" s="80">
        <f>B206+$L$203</f>
        <v>17.5</v>
      </c>
      <c r="C207" s="7"/>
      <c r="D207" s="82" t="s">
        <v>591</v>
      </c>
      <c r="E207" s="82" t="s">
        <v>594</v>
      </c>
      <c r="F207" s="82"/>
      <c r="G207" s="82"/>
      <c r="H207" s="6" t="s">
        <v>1940</v>
      </c>
      <c r="L207" s="137"/>
      <c r="M207" s="137"/>
      <c r="N207" s="137"/>
    </row>
    <row r="208" spans="1:14" x14ac:dyDescent="0.2">
      <c r="A208" s="2">
        <v>7</v>
      </c>
      <c r="B208" s="80">
        <f>B207+$L$203</f>
        <v>20</v>
      </c>
      <c r="C208" s="7"/>
      <c r="D208" s="82" t="s">
        <v>590</v>
      </c>
      <c r="E208" s="82" t="s">
        <v>594</v>
      </c>
      <c r="F208" s="82"/>
      <c r="G208" s="82"/>
      <c r="H208" s="6" t="s">
        <v>1940</v>
      </c>
      <c r="L208" s="137"/>
      <c r="M208" s="137"/>
      <c r="N208" s="137"/>
    </row>
    <row r="209" spans="1:14" x14ac:dyDescent="0.2">
      <c r="A209" s="2">
        <v>8</v>
      </c>
      <c r="B209" s="80">
        <f>B208+$M$203</f>
        <v>60</v>
      </c>
      <c r="C209" s="7" t="s">
        <v>383</v>
      </c>
      <c r="D209" s="82" t="s">
        <v>595</v>
      </c>
      <c r="E209" s="82" t="s">
        <v>596</v>
      </c>
      <c r="F209" s="82"/>
      <c r="G209" s="82"/>
      <c r="H209" s="6" t="s">
        <v>1941</v>
      </c>
      <c r="L209" s="137"/>
      <c r="M209" s="137"/>
      <c r="N209" s="137"/>
    </row>
    <row r="210" spans="1:14" x14ac:dyDescent="0.2">
      <c r="A210" s="2">
        <v>9</v>
      </c>
      <c r="B210" s="82">
        <v>30</v>
      </c>
      <c r="C210" s="7" t="s">
        <v>385</v>
      </c>
      <c r="D210" s="82" t="s">
        <v>591</v>
      </c>
      <c r="E210" s="82" t="s">
        <v>597</v>
      </c>
      <c r="F210" s="82"/>
      <c r="G210" s="82"/>
      <c r="H210" s="6" t="s">
        <v>1941</v>
      </c>
      <c r="L210" s="137"/>
      <c r="M210" s="137"/>
      <c r="N210" s="137"/>
    </row>
    <row r="211" spans="1:14" x14ac:dyDescent="0.2">
      <c r="A211" s="2">
        <v>10</v>
      </c>
      <c r="B211" s="80">
        <f>B210+$L$204</f>
        <v>37.5</v>
      </c>
      <c r="C211" s="7"/>
      <c r="D211" s="82" t="s">
        <v>591</v>
      </c>
      <c r="E211" s="82" t="s">
        <v>597</v>
      </c>
      <c r="F211" s="82"/>
      <c r="G211" s="82"/>
      <c r="H211" s="6" t="s">
        <v>1941</v>
      </c>
      <c r="L211" s="137"/>
      <c r="M211" s="137"/>
      <c r="N211" s="137"/>
    </row>
    <row r="212" spans="1:14" x14ac:dyDescent="0.2">
      <c r="A212" s="2">
        <v>11</v>
      </c>
      <c r="B212" s="80">
        <f>B211+$L$204</f>
        <v>45</v>
      </c>
      <c r="C212" s="7"/>
      <c r="D212" s="82" t="s">
        <v>597</v>
      </c>
      <c r="E212" s="82" t="s">
        <v>598</v>
      </c>
      <c r="F212" s="82"/>
      <c r="G212" s="82"/>
      <c r="H212" s="6" t="s">
        <v>1941</v>
      </c>
      <c r="L212" s="137"/>
      <c r="M212" s="137"/>
      <c r="N212" s="137"/>
    </row>
    <row r="213" spans="1:14" x14ac:dyDescent="0.2">
      <c r="A213" s="2">
        <v>12</v>
      </c>
      <c r="B213" s="80">
        <f>B212+$M$204</f>
        <v>50</v>
      </c>
      <c r="C213" s="7" t="s">
        <v>383</v>
      </c>
      <c r="D213" s="82" t="s">
        <v>591</v>
      </c>
      <c r="E213" s="82" t="s">
        <v>597</v>
      </c>
      <c r="F213" s="82" t="s">
        <v>599</v>
      </c>
      <c r="G213" s="82"/>
      <c r="H213" s="6" t="s">
        <v>1944</v>
      </c>
      <c r="L213" s="137"/>
      <c r="M213" s="137"/>
      <c r="N213" s="137"/>
    </row>
    <row r="214" spans="1:14" x14ac:dyDescent="0.2">
      <c r="A214" s="2">
        <v>13</v>
      </c>
      <c r="B214" s="82">
        <v>70</v>
      </c>
      <c r="C214" s="7" t="s">
        <v>394</v>
      </c>
      <c r="D214" s="82" t="s">
        <v>600</v>
      </c>
      <c r="E214" s="82"/>
      <c r="F214" s="82"/>
      <c r="G214" s="82"/>
      <c r="H214" s="6" t="s">
        <v>1944</v>
      </c>
      <c r="L214" s="137"/>
      <c r="M214" s="137"/>
      <c r="N214" s="137"/>
    </row>
    <row r="215" spans="1:14" x14ac:dyDescent="0.2">
      <c r="A215" s="2">
        <v>14</v>
      </c>
      <c r="B215" s="80">
        <f>B214+$L$205</f>
        <v>80</v>
      </c>
      <c r="C215" s="7"/>
      <c r="D215" s="82" t="s">
        <v>600</v>
      </c>
      <c r="E215" s="82" t="s">
        <v>598</v>
      </c>
      <c r="F215" s="82"/>
      <c r="G215" s="82"/>
      <c r="H215" s="6" t="s">
        <v>1944</v>
      </c>
      <c r="L215" s="137"/>
      <c r="M215" s="137"/>
      <c r="N215" s="137"/>
    </row>
    <row r="216" spans="1:14" x14ac:dyDescent="0.2">
      <c r="A216" s="2">
        <v>15</v>
      </c>
      <c r="B216" s="80">
        <f>B215+$L$205</f>
        <v>90</v>
      </c>
      <c r="C216" s="7"/>
      <c r="D216" s="82" t="s">
        <v>600</v>
      </c>
      <c r="E216" s="82" t="s">
        <v>601</v>
      </c>
      <c r="F216" s="82"/>
      <c r="G216" s="82"/>
      <c r="H216" s="6" t="s">
        <v>1944</v>
      </c>
      <c r="L216" s="137"/>
      <c r="M216" s="137"/>
      <c r="N216" s="137"/>
    </row>
    <row r="217" spans="1:14" x14ac:dyDescent="0.2">
      <c r="A217" s="2">
        <v>16</v>
      </c>
      <c r="B217" s="80">
        <f>B216+$M$205</f>
        <v>130</v>
      </c>
      <c r="C217" s="7" t="s">
        <v>383</v>
      </c>
      <c r="D217" s="82" t="s">
        <v>591</v>
      </c>
      <c r="E217" s="82" t="s">
        <v>602</v>
      </c>
      <c r="F217" s="82"/>
      <c r="G217" s="82"/>
      <c r="H217" s="6" t="s">
        <v>1942</v>
      </c>
      <c r="L217" s="137"/>
      <c r="M217" s="137"/>
      <c r="N217" s="137"/>
    </row>
    <row r="218" spans="1:14" x14ac:dyDescent="0.2">
      <c r="A218" s="2">
        <v>17</v>
      </c>
      <c r="B218" s="82">
        <v>100</v>
      </c>
      <c r="C218" s="7" t="s">
        <v>386</v>
      </c>
      <c r="D218" s="82" t="s">
        <v>603</v>
      </c>
      <c r="E218" s="82" t="s">
        <v>604</v>
      </c>
      <c r="F218" s="82"/>
      <c r="G218" s="82"/>
      <c r="H218" s="6" t="s">
        <v>1942</v>
      </c>
      <c r="L218" s="137"/>
      <c r="M218" s="137"/>
      <c r="N218" s="137"/>
    </row>
    <row r="219" spans="1:14" x14ac:dyDescent="0.2">
      <c r="A219" s="2">
        <v>18</v>
      </c>
      <c r="B219" s="80">
        <f>B218+$L$206</f>
        <v>110</v>
      </c>
      <c r="C219" s="7"/>
      <c r="D219" s="82" t="s">
        <v>604</v>
      </c>
      <c r="E219" s="82" t="s">
        <v>598</v>
      </c>
      <c r="F219" s="82"/>
      <c r="G219" s="82"/>
      <c r="H219" s="6" t="s">
        <v>1942</v>
      </c>
      <c r="L219" s="137"/>
      <c r="M219" s="137"/>
      <c r="N219" s="137"/>
    </row>
    <row r="220" spans="1:14" x14ac:dyDescent="0.2">
      <c r="A220" s="2">
        <v>19</v>
      </c>
      <c r="B220" s="80">
        <f>B219+$L$206</f>
        <v>120</v>
      </c>
      <c r="C220" s="7"/>
      <c r="D220" s="82" t="s">
        <v>604</v>
      </c>
      <c r="E220" s="82" t="s">
        <v>598</v>
      </c>
      <c r="F220" s="82" t="s">
        <v>601</v>
      </c>
      <c r="G220" s="82"/>
      <c r="H220" s="6" t="s">
        <v>1942</v>
      </c>
    </row>
    <row r="221" spans="1:14" x14ac:dyDescent="0.2">
      <c r="A221" s="2">
        <v>20</v>
      </c>
      <c r="B221" s="80">
        <f>B220+$M$206</f>
        <v>160</v>
      </c>
      <c r="C221" s="7" t="s">
        <v>383</v>
      </c>
      <c r="D221" s="82" t="s">
        <v>604</v>
      </c>
      <c r="E221" s="82" t="s">
        <v>606</v>
      </c>
      <c r="F221" s="82" t="s">
        <v>601</v>
      </c>
      <c r="G221" s="82" t="s">
        <v>605</v>
      </c>
      <c r="H221" s="6" t="s">
        <v>1943</v>
      </c>
    </row>
    <row r="222" spans="1:14" x14ac:dyDescent="0.2">
      <c r="A222" s="2" t="s">
        <v>1279</v>
      </c>
      <c r="B222" s="120">
        <v>1.5</v>
      </c>
      <c r="C222" s="7"/>
      <c r="D222" s="82"/>
      <c r="E222" s="82"/>
      <c r="F222" s="82"/>
      <c r="G222" s="82"/>
    </row>
    <row r="225" spans="1:16" s="4" customFormat="1" x14ac:dyDescent="0.2">
      <c r="A225" s="4" t="s">
        <v>1761</v>
      </c>
    </row>
    <row r="226" spans="1:16" x14ac:dyDescent="0.2">
      <c r="A226" s="5" t="s">
        <v>389</v>
      </c>
      <c r="E226" s="5"/>
      <c r="L226" s="6" t="s">
        <v>1925</v>
      </c>
      <c r="M226" s="6" t="s">
        <v>1926</v>
      </c>
      <c r="N226" s="6" t="s">
        <v>380</v>
      </c>
    </row>
    <row r="227" spans="1:16" x14ac:dyDescent="0.2">
      <c r="A227" s="8" t="s">
        <v>380</v>
      </c>
      <c r="B227" s="8" t="s">
        <v>381</v>
      </c>
      <c r="C227" s="8" t="s">
        <v>391</v>
      </c>
      <c r="D227" s="174" t="s">
        <v>26</v>
      </c>
      <c r="E227" s="175"/>
      <c r="F227" s="175"/>
      <c r="G227" s="176"/>
      <c r="H227" s="174" t="s">
        <v>404</v>
      </c>
      <c r="I227" s="175"/>
      <c r="J227" s="175"/>
      <c r="K227" s="176"/>
      <c r="L227" s="6">
        <v>2.7</v>
      </c>
      <c r="M227" s="6">
        <v>30</v>
      </c>
      <c r="N227" s="6" t="s">
        <v>1927</v>
      </c>
    </row>
    <row r="228" spans="1:16" x14ac:dyDescent="0.2">
      <c r="A228" s="2">
        <v>1</v>
      </c>
      <c r="B228" s="82">
        <v>5</v>
      </c>
      <c r="C228" s="82"/>
      <c r="D228" s="82" t="s">
        <v>590</v>
      </c>
      <c r="E228" s="82"/>
      <c r="F228" s="82"/>
      <c r="G228" s="82"/>
      <c r="H228" s="7">
        <v>0.75</v>
      </c>
      <c r="I228" s="7"/>
      <c r="J228" s="7"/>
      <c r="K228" s="7"/>
      <c r="L228" s="6">
        <v>2.5</v>
      </c>
      <c r="M228" s="6">
        <v>20</v>
      </c>
      <c r="N228" s="149" t="s">
        <v>1928</v>
      </c>
    </row>
    <row r="229" spans="1:16" x14ac:dyDescent="0.2">
      <c r="A229" s="2">
        <v>2</v>
      </c>
      <c r="B229" s="80">
        <f>IF(C229="BOSS",B228+$M$227,B228+$L$227)</f>
        <v>7.7</v>
      </c>
      <c r="C229" s="7"/>
      <c r="D229" s="82" t="s">
        <v>590</v>
      </c>
      <c r="E229" s="82" t="s">
        <v>591</v>
      </c>
      <c r="F229" s="82"/>
      <c r="G229" s="82"/>
      <c r="H229" s="7">
        <v>0.75</v>
      </c>
      <c r="I229" s="7">
        <v>1.5</v>
      </c>
      <c r="J229" s="7"/>
      <c r="K229" s="7"/>
      <c r="L229" s="6">
        <v>5</v>
      </c>
      <c r="M229" s="6">
        <v>20</v>
      </c>
      <c r="N229" s="6" t="s">
        <v>1929</v>
      </c>
    </row>
    <row r="230" spans="1:16" x14ac:dyDescent="0.2">
      <c r="A230" s="2">
        <v>3</v>
      </c>
      <c r="B230" s="80">
        <f t="shared" ref="B230:B232" si="4">IF(C230="BOSS",B229+$M$227,B229+$L$227)</f>
        <v>10.4</v>
      </c>
      <c r="C230" s="7" t="s">
        <v>393</v>
      </c>
      <c r="D230" s="82" t="s">
        <v>591</v>
      </c>
      <c r="E230" s="82" t="s">
        <v>592</v>
      </c>
      <c r="F230" s="82"/>
      <c r="G230" s="82"/>
      <c r="H230" s="7">
        <v>1.5</v>
      </c>
      <c r="I230" s="7">
        <v>0.2</v>
      </c>
      <c r="J230" s="7"/>
      <c r="K230" s="7"/>
      <c r="L230" s="6">
        <v>10</v>
      </c>
      <c r="M230" s="6">
        <v>40</v>
      </c>
      <c r="N230" s="6" t="s">
        <v>1930</v>
      </c>
    </row>
    <row r="231" spans="1:16" x14ac:dyDescent="0.2">
      <c r="A231" s="2">
        <v>4</v>
      </c>
      <c r="B231" s="80">
        <f t="shared" si="4"/>
        <v>13.100000000000001</v>
      </c>
      <c r="C231" s="7"/>
      <c r="D231" s="82" t="s">
        <v>590</v>
      </c>
      <c r="E231" s="82" t="s">
        <v>594</v>
      </c>
      <c r="F231" s="82"/>
      <c r="G231" s="82"/>
      <c r="H231" s="7">
        <v>0.75</v>
      </c>
      <c r="I231" s="7">
        <v>1</v>
      </c>
      <c r="J231" s="7"/>
      <c r="K231" s="7"/>
    </row>
    <row r="232" spans="1:16" s="3" customFormat="1" x14ac:dyDescent="0.2">
      <c r="A232" s="147">
        <v>5</v>
      </c>
      <c r="B232" s="80">
        <f t="shared" si="4"/>
        <v>43.1</v>
      </c>
      <c r="C232" s="139" t="s">
        <v>383</v>
      </c>
      <c r="D232" s="148" t="s">
        <v>593</v>
      </c>
      <c r="E232" s="148" t="s">
        <v>592</v>
      </c>
      <c r="F232" s="148"/>
      <c r="G232" s="148"/>
      <c r="H232" s="139">
        <v>0</v>
      </c>
      <c r="I232" s="139">
        <v>0.4</v>
      </c>
      <c r="J232" s="139"/>
      <c r="K232" s="139"/>
    </row>
    <row r="233" spans="1:16" x14ac:dyDescent="0.2">
      <c r="A233" s="2">
        <v>6</v>
      </c>
      <c r="B233" s="82">
        <v>15</v>
      </c>
      <c r="C233" s="7"/>
      <c r="D233" s="82" t="s">
        <v>591</v>
      </c>
      <c r="E233" s="82" t="s">
        <v>594</v>
      </c>
      <c r="F233" s="82"/>
      <c r="G233" s="82"/>
      <c r="H233" s="7">
        <v>0.75</v>
      </c>
      <c r="I233" s="7">
        <v>0.75</v>
      </c>
      <c r="J233" s="7"/>
      <c r="K233" s="7"/>
      <c r="N233" s="6" t="s">
        <v>380</v>
      </c>
    </row>
    <row r="234" spans="1:16" x14ac:dyDescent="0.2">
      <c r="A234" s="2">
        <v>7</v>
      </c>
      <c r="B234" s="80">
        <f t="shared" ref="B234:B237" si="5">IF(C234="BOSS",B233+$M$228,B233+$L$228)</f>
        <v>17.5</v>
      </c>
      <c r="C234" s="7"/>
      <c r="D234" s="82" t="s">
        <v>591</v>
      </c>
      <c r="E234" s="82" t="s">
        <v>594</v>
      </c>
      <c r="F234" s="82"/>
      <c r="G234" s="82"/>
      <c r="H234" s="7">
        <v>0.5</v>
      </c>
      <c r="I234" s="7">
        <v>0.75</v>
      </c>
      <c r="J234" s="7"/>
      <c r="K234" s="7"/>
      <c r="N234" s="6">
        <v>20</v>
      </c>
      <c r="O234" s="6">
        <f>B247</f>
        <v>130</v>
      </c>
      <c r="P234" s="6">
        <v>1.3</v>
      </c>
    </row>
    <row r="235" spans="1:16" x14ac:dyDescent="0.2">
      <c r="A235" s="2">
        <v>8</v>
      </c>
      <c r="B235" s="80">
        <f t="shared" si="5"/>
        <v>20</v>
      </c>
      <c r="C235" s="7"/>
      <c r="D235" s="82" t="s">
        <v>591</v>
      </c>
      <c r="E235" s="82" t="s">
        <v>597</v>
      </c>
      <c r="F235" s="82"/>
      <c r="G235" s="82"/>
      <c r="H235" s="7">
        <v>1</v>
      </c>
      <c r="I235" s="7">
        <v>3</v>
      </c>
      <c r="J235" s="7"/>
      <c r="K235" s="7"/>
      <c r="N235" s="6">
        <v>21</v>
      </c>
      <c r="O235" s="6">
        <f>O234*$P$234</f>
        <v>169</v>
      </c>
    </row>
    <row r="236" spans="1:16" x14ac:dyDescent="0.2">
      <c r="A236" s="2">
        <v>9</v>
      </c>
      <c r="B236" s="80">
        <f t="shared" si="5"/>
        <v>22.5</v>
      </c>
      <c r="C236" s="7" t="s">
        <v>385</v>
      </c>
      <c r="D236" s="82" t="s">
        <v>591</v>
      </c>
      <c r="E236" s="82" t="s">
        <v>597</v>
      </c>
      <c r="F236" s="82"/>
      <c r="G236" s="82"/>
      <c r="H236" s="7">
        <v>0.2</v>
      </c>
      <c r="I236" s="7">
        <v>3</v>
      </c>
      <c r="J236" s="7"/>
      <c r="K236" s="7"/>
      <c r="N236" s="6">
        <v>22</v>
      </c>
      <c r="O236" s="6">
        <f t="shared" ref="O236:O248" si="6">O235*$P$234</f>
        <v>219.70000000000002</v>
      </c>
    </row>
    <row r="237" spans="1:16" s="3" customFormat="1" x14ac:dyDescent="0.2">
      <c r="A237" s="147">
        <v>10</v>
      </c>
      <c r="B237" s="80">
        <f t="shared" si="5"/>
        <v>42.5</v>
      </c>
      <c r="C237" s="139" t="s">
        <v>383</v>
      </c>
      <c r="D237" s="82" t="s">
        <v>597</v>
      </c>
      <c r="E237" s="148" t="s">
        <v>596</v>
      </c>
      <c r="F237" s="148"/>
      <c r="G237" s="148"/>
      <c r="H237" s="139">
        <v>3</v>
      </c>
      <c r="I237" s="139">
        <v>0</v>
      </c>
      <c r="J237" s="139"/>
      <c r="K237" s="139"/>
      <c r="N237" s="6">
        <v>23</v>
      </c>
      <c r="O237" s="6">
        <f t="shared" si="6"/>
        <v>285.61</v>
      </c>
    </row>
    <row r="238" spans="1:16" x14ac:dyDescent="0.2">
      <c r="A238" s="2">
        <v>11</v>
      </c>
      <c r="B238" s="82">
        <v>40</v>
      </c>
      <c r="C238" s="7"/>
      <c r="D238" s="82" t="s">
        <v>597</v>
      </c>
      <c r="E238" s="82" t="s">
        <v>598</v>
      </c>
      <c r="F238" s="82"/>
      <c r="G238" s="82"/>
      <c r="H238" s="7">
        <v>2</v>
      </c>
      <c r="I238" s="7">
        <v>0</v>
      </c>
      <c r="J238" s="7"/>
      <c r="K238" s="7"/>
      <c r="N238" s="6">
        <v>24</v>
      </c>
      <c r="O238" s="6">
        <f t="shared" si="6"/>
        <v>371.29300000000001</v>
      </c>
    </row>
    <row r="239" spans="1:16" x14ac:dyDescent="0.2">
      <c r="A239" s="2">
        <v>12</v>
      </c>
      <c r="B239" s="80">
        <f t="shared" ref="B239:B242" si="7">IF(C239="BOSS",B238+$M$229,B238+$L$229)</f>
        <v>45</v>
      </c>
      <c r="C239" s="7" t="s">
        <v>394</v>
      </c>
      <c r="D239" s="82" t="s">
        <v>600</v>
      </c>
      <c r="E239" s="82"/>
      <c r="F239" s="82"/>
      <c r="G239" s="82"/>
      <c r="H239" s="7">
        <v>1.5</v>
      </c>
      <c r="I239" s="7"/>
      <c r="J239" s="7"/>
      <c r="K239" s="7"/>
      <c r="N239" s="6">
        <v>25</v>
      </c>
      <c r="O239" s="6">
        <f t="shared" si="6"/>
        <v>482.68090000000001</v>
      </c>
    </row>
    <row r="240" spans="1:16" x14ac:dyDescent="0.2">
      <c r="A240" s="2">
        <v>13</v>
      </c>
      <c r="B240" s="80">
        <f t="shared" si="7"/>
        <v>50</v>
      </c>
      <c r="C240" s="7"/>
      <c r="D240" s="82" t="s">
        <v>600</v>
      </c>
      <c r="E240" s="82" t="s">
        <v>598</v>
      </c>
      <c r="F240" s="82"/>
      <c r="G240" s="82"/>
      <c r="H240" s="7">
        <v>1.5</v>
      </c>
      <c r="I240" s="7">
        <v>1.5</v>
      </c>
      <c r="J240" s="7"/>
      <c r="K240" s="7"/>
      <c r="N240" s="6">
        <v>26</v>
      </c>
      <c r="O240" s="6">
        <f t="shared" si="6"/>
        <v>627.48517000000004</v>
      </c>
    </row>
    <row r="241" spans="1:18" x14ac:dyDescent="0.2">
      <c r="A241" s="2">
        <v>14</v>
      </c>
      <c r="B241" s="80">
        <f t="shared" si="7"/>
        <v>55</v>
      </c>
      <c r="C241" s="7"/>
      <c r="D241" s="82" t="s">
        <v>600</v>
      </c>
      <c r="E241" s="82" t="s">
        <v>601</v>
      </c>
      <c r="F241" s="82"/>
      <c r="G241" s="82"/>
      <c r="H241" s="7">
        <v>0.75</v>
      </c>
      <c r="I241" s="7">
        <v>3</v>
      </c>
      <c r="J241" s="7"/>
      <c r="K241" s="7"/>
      <c r="N241" s="6">
        <v>27</v>
      </c>
      <c r="O241" s="6">
        <f t="shared" si="6"/>
        <v>815.73072100000013</v>
      </c>
    </row>
    <row r="242" spans="1:18" s="3" customFormat="1" x14ac:dyDescent="0.2">
      <c r="A242" s="147">
        <v>15</v>
      </c>
      <c r="B242" s="80">
        <f t="shared" si="7"/>
        <v>75</v>
      </c>
      <c r="C242" s="139" t="s">
        <v>383</v>
      </c>
      <c r="D242" s="148" t="s">
        <v>591</v>
      </c>
      <c r="E242" s="148" t="s">
        <v>597</v>
      </c>
      <c r="F242" s="148" t="s">
        <v>599</v>
      </c>
      <c r="G242" s="148"/>
      <c r="H242" s="139">
        <v>0.2</v>
      </c>
      <c r="I242" s="139">
        <v>3</v>
      </c>
      <c r="J242" s="139">
        <v>0</v>
      </c>
      <c r="K242" s="139"/>
      <c r="N242" s="6">
        <v>28</v>
      </c>
      <c r="O242" s="6">
        <f t="shared" si="6"/>
        <v>1060.4499373000001</v>
      </c>
    </row>
    <row r="243" spans="1:18" x14ac:dyDescent="0.2">
      <c r="A243" s="2">
        <v>16</v>
      </c>
      <c r="B243" s="82">
        <v>60</v>
      </c>
      <c r="C243" s="7" t="s">
        <v>386</v>
      </c>
      <c r="D243" s="82" t="s">
        <v>603</v>
      </c>
      <c r="E243" s="82" t="s">
        <v>604</v>
      </c>
      <c r="F243" s="82"/>
      <c r="G243" s="82"/>
      <c r="H243" s="7">
        <v>0.75</v>
      </c>
      <c r="I243" s="7">
        <v>3</v>
      </c>
      <c r="J243" s="7"/>
      <c r="K243" s="7"/>
      <c r="N243" s="6">
        <v>29</v>
      </c>
      <c r="O243" s="6">
        <f t="shared" si="6"/>
        <v>1378.5849184900003</v>
      </c>
    </row>
    <row r="244" spans="1:18" x14ac:dyDescent="0.2">
      <c r="A244" s="2">
        <v>17</v>
      </c>
      <c r="B244" s="80">
        <f t="shared" ref="B244:B247" si="8">IF(C244="BOSS",B243+$M$230,B243+$L$230)</f>
        <v>70</v>
      </c>
      <c r="C244" s="7"/>
      <c r="D244" s="82" t="s">
        <v>604</v>
      </c>
      <c r="E244" s="82" t="s">
        <v>598</v>
      </c>
      <c r="F244" s="82"/>
      <c r="G244" s="82"/>
      <c r="H244" s="7">
        <v>1.5</v>
      </c>
      <c r="I244" s="7">
        <v>0.75</v>
      </c>
      <c r="J244" s="7"/>
      <c r="K244" s="7"/>
      <c r="N244" s="6">
        <v>30</v>
      </c>
      <c r="O244" s="6">
        <f t="shared" si="6"/>
        <v>1792.1603940370005</v>
      </c>
    </row>
    <row r="245" spans="1:18" x14ac:dyDescent="0.2">
      <c r="A245" s="2">
        <v>18</v>
      </c>
      <c r="B245" s="80">
        <f t="shared" si="8"/>
        <v>80</v>
      </c>
      <c r="C245" s="7"/>
      <c r="D245" s="82" t="s">
        <v>604</v>
      </c>
      <c r="E245" s="82" t="s">
        <v>598</v>
      </c>
      <c r="F245" s="82" t="s">
        <v>601</v>
      </c>
      <c r="G245" s="82"/>
      <c r="H245" s="7">
        <v>1.5</v>
      </c>
      <c r="I245" s="7">
        <v>0.75</v>
      </c>
      <c r="J245" s="7">
        <v>2</v>
      </c>
      <c r="K245" s="7"/>
      <c r="N245" s="6">
        <v>31</v>
      </c>
      <c r="O245" s="6">
        <f t="shared" si="6"/>
        <v>2329.8085122481007</v>
      </c>
    </row>
    <row r="246" spans="1:18" x14ac:dyDescent="0.2">
      <c r="A246" s="2">
        <v>19</v>
      </c>
      <c r="B246" s="80">
        <f t="shared" si="8"/>
        <v>90</v>
      </c>
      <c r="C246" s="7"/>
      <c r="D246" s="82" t="s">
        <v>604</v>
      </c>
      <c r="E246" s="82" t="s">
        <v>606</v>
      </c>
      <c r="F246" s="82" t="s">
        <v>601</v>
      </c>
      <c r="G246" s="82"/>
      <c r="H246" s="7">
        <v>1.5</v>
      </c>
      <c r="I246" s="7">
        <v>0.75</v>
      </c>
      <c r="J246" s="7">
        <v>1</v>
      </c>
      <c r="K246" s="7"/>
      <c r="N246" s="6">
        <v>32</v>
      </c>
      <c r="O246" s="6">
        <f t="shared" si="6"/>
        <v>3028.7510659225309</v>
      </c>
    </row>
    <row r="247" spans="1:18" s="3" customFormat="1" x14ac:dyDescent="0.2">
      <c r="A247" s="147">
        <v>20</v>
      </c>
      <c r="B247" s="80">
        <f t="shared" si="8"/>
        <v>130</v>
      </c>
      <c r="C247" s="139" t="s">
        <v>383</v>
      </c>
      <c r="D247" s="148" t="s">
        <v>591</v>
      </c>
      <c r="E247" s="148" t="s">
        <v>602</v>
      </c>
      <c r="F247" s="148" t="s">
        <v>601</v>
      </c>
      <c r="G247" s="148"/>
      <c r="H247" s="139">
        <v>0.2</v>
      </c>
      <c r="I247" s="139">
        <v>0</v>
      </c>
      <c r="J247" s="139">
        <v>1</v>
      </c>
      <c r="K247" s="139"/>
      <c r="N247" s="6">
        <v>33</v>
      </c>
      <c r="O247" s="6">
        <f t="shared" si="6"/>
        <v>3937.37638569929</v>
      </c>
    </row>
    <row r="248" spans="1:18" x14ac:dyDescent="0.2">
      <c r="A248" s="2" t="s">
        <v>1279</v>
      </c>
      <c r="B248" s="120">
        <f>B243/B244</f>
        <v>0.8571428571428571</v>
      </c>
      <c r="C248" s="7"/>
      <c r="D248" s="82"/>
      <c r="E248" s="82"/>
      <c r="F248" s="82"/>
      <c r="G248" s="82"/>
      <c r="H248" s="82"/>
      <c r="I248" s="82"/>
      <c r="J248" s="82"/>
      <c r="K248" s="82"/>
      <c r="N248" s="6">
        <v>34</v>
      </c>
      <c r="O248" s="6">
        <f t="shared" si="6"/>
        <v>5118.5893014090771</v>
      </c>
    </row>
    <row r="251" spans="1:18" s="4" customFormat="1" x14ac:dyDescent="0.2">
      <c r="A251" s="4" t="s">
        <v>2112</v>
      </c>
    </row>
    <row r="252" spans="1:18" x14ac:dyDescent="0.2">
      <c r="A252" s="5" t="s">
        <v>636</v>
      </c>
      <c r="E252" s="5"/>
    </row>
    <row r="253" spans="1:18" x14ac:dyDescent="0.2">
      <c r="A253" s="8" t="s">
        <v>2113</v>
      </c>
      <c r="B253" s="8" t="s">
        <v>2118</v>
      </c>
      <c r="C253" s="8" t="s">
        <v>2117</v>
      </c>
      <c r="D253" s="8" t="s">
        <v>381</v>
      </c>
      <c r="E253" s="8" t="s">
        <v>391</v>
      </c>
      <c r="F253" s="8" t="s">
        <v>2291</v>
      </c>
      <c r="G253" s="8" t="s">
        <v>2292</v>
      </c>
      <c r="H253" s="8" t="s">
        <v>2293</v>
      </c>
      <c r="I253" s="8" t="s">
        <v>637</v>
      </c>
      <c r="J253" s="8" t="s">
        <v>638</v>
      </c>
      <c r="K253" s="8" t="s">
        <v>639</v>
      </c>
      <c r="L253" s="8" t="s">
        <v>640</v>
      </c>
      <c r="M253" s="8" t="s">
        <v>641</v>
      </c>
      <c r="N253" s="8" t="s">
        <v>2119</v>
      </c>
      <c r="O253" s="8" t="s">
        <v>2120</v>
      </c>
      <c r="P253" s="8" t="s">
        <v>2121</v>
      </c>
      <c r="Q253" s="8" t="s">
        <v>2122</v>
      </c>
      <c r="R253" s="8" t="s">
        <v>2123</v>
      </c>
    </row>
    <row r="254" spans="1:18" x14ac:dyDescent="0.2">
      <c r="A254" s="2">
        <v>1</v>
      </c>
      <c r="B254" s="82" t="s">
        <v>2127</v>
      </c>
      <c r="C254" s="82" t="s">
        <v>2127</v>
      </c>
      <c r="D254" s="82" t="s">
        <v>2129</v>
      </c>
      <c r="E254" s="82" t="s">
        <v>2131</v>
      </c>
      <c r="F254" s="7" t="s">
        <v>590</v>
      </c>
      <c r="G254" s="7" t="s">
        <v>591</v>
      </c>
      <c r="H254" s="7" t="s">
        <v>2175</v>
      </c>
      <c r="I254" s="82" t="s">
        <v>2135</v>
      </c>
      <c r="J254" s="82" t="s">
        <v>2136</v>
      </c>
      <c r="K254" s="82" t="s">
        <v>2137</v>
      </c>
      <c r="L254" s="82"/>
      <c r="M254" s="82"/>
      <c r="N254" s="7"/>
      <c r="O254" s="7"/>
      <c r="P254" s="7"/>
      <c r="Q254" s="7"/>
      <c r="R254" s="7"/>
    </row>
    <row r="255" spans="1:18" x14ac:dyDescent="0.2">
      <c r="A255" s="2">
        <v>2</v>
      </c>
      <c r="B255" s="82"/>
      <c r="C255" s="82"/>
      <c r="D255" s="82" t="s">
        <v>2125</v>
      </c>
      <c r="E255" s="82" t="s">
        <v>2132</v>
      </c>
      <c r="F255" s="7" t="s">
        <v>594</v>
      </c>
      <c r="G255" s="7" t="s">
        <v>592</v>
      </c>
      <c r="H255" s="7" t="s">
        <v>2175</v>
      </c>
      <c r="I255" s="82" t="s">
        <v>2139</v>
      </c>
      <c r="J255" s="82" t="s">
        <v>2140</v>
      </c>
      <c r="K255" s="82" t="s">
        <v>2141</v>
      </c>
      <c r="L255" s="82" t="s">
        <v>2137</v>
      </c>
      <c r="M255" s="82" t="s">
        <v>2138</v>
      </c>
      <c r="N255" s="7"/>
      <c r="O255" s="7"/>
      <c r="P255" s="7"/>
      <c r="Q255" s="7"/>
      <c r="R255" s="7"/>
    </row>
    <row r="256" spans="1:18" x14ac:dyDescent="0.2">
      <c r="A256" s="2">
        <v>3</v>
      </c>
      <c r="B256" s="82" t="s">
        <v>2126</v>
      </c>
      <c r="C256" s="82" t="s">
        <v>2126</v>
      </c>
      <c r="D256" s="82" t="s">
        <v>2130</v>
      </c>
      <c r="E256" s="82" t="s">
        <v>2133</v>
      </c>
      <c r="F256" s="7" t="s">
        <v>597</v>
      </c>
      <c r="G256" s="7" t="s">
        <v>941</v>
      </c>
      <c r="H256" s="82"/>
      <c r="I256" s="82" t="s">
        <v>2142</v>
      </c>
      <c r="J256" s="82" t="s">
        <v>2143</v>
      </c>
      <c r="K256" s="82" t="s">
        <v>2144</v>
      </c>
      <c r="L256" s="82"/>
      <c r="M256" s="82"/>
      <c r="N256" s="134"/>
      <c r="O256" s="7"/>
      <c r="P256" s="7"/>
      <c r="Q256" s="7"/>
      <c r="R256" s="7"/>
    </row>
    <row r="257" spans="1:18" x14ac:dyDescent="0.2">
      <c r="A257" s="2">
        <v>4</v>
      </c>
      <c r="B257" s="82"/>
      <c r="C257" s="82"/>
      <c r="D257" s="82" t="s">
        <v>2125</v>
      </c>
      <c r="E257" s="82" t="s">
        <v>2134</v>
      </c>
      <c r="F257" s="7" t="s">
        <v>600</v>
      </c>
      <c r="G257" s="7" t="s">
        <v>597</v>
      </c>
      <c r="H257" s="7" t="s">
        <v>941</v>
      </c>
      <c r="I257" s="82" t="s">
        <v>2145</v>
      </c>
      <c r="J257" s="82" t="s">
        <v>2146</v>
      </c>
      <c r="K257" s="82" t="s">
        <v>2147</v>
      </c>
      <c r="L257" s="82" t="s">
        <v>2148</v>
      </c>
      <c r="M257" s="82" t="s">
        <v>2149</v>
      </c>
      <c r="N257" s="82"/>
      <c r="O257" s="82"/>
      <c r="P257" s="82"/>
      <c r="Q257" s="82"/>
      <c r="R257" s="82"/>
    </row>
    <row r="258" spans="1:18" x14ac:dyDescent="0.2">
      <c r="A258" s="2">
        <v>5</v>
      </c>
      <c r="B258" s="82" t="s">
        <v>2128</v>
      </c>
      <c r="C258" s="82" t="s">
        <v>2126</v>
      </c>
      <c r="D258" s="82" t="s">
        <v>2124</v>
      </c>
      <c r="E258" s="82" t="s">
        <v>2158</v>
      </c>
      <c r="F258" s="7" t="s">
        <v>604</v>
      </c>
      <c r="G258" s="7" t="s">
        <v>605</v>
      </c>
      <c r="H258" s="7" t="s">
        <v>2294</v>
      </c>
      <c r="I258" s="82" t="s">
        <v>2150</v>
      </c>
      <c r="J258" s="82" t="s">
        <v>2151</v>
      </c>
      <c r="K258" s="82" t="s">
        <v>2152</v>
      </c>
      <c r="L258" s="82" t="s">
        <v>2153</v>
      </c>
      <c r="M258" s="82" t="s">
        <v>2156</v>
      </c>
      <c r="N258" s="82" t="s">
        <v>2157</v>
      </c>
      <c r="O258" s="82" t="s">
        <v>2155</v>
      </c>
      <c r="P258" s="82" t="s">
        <v>2154</v>
      </c>
      <c r="Q258" s="82"/>
      <c r="R258" s="82"/>
    </row>
    <row r="260" spans="1:18" x14ac:dyDescent="0.2">
      <c r="A260" s="8" t="s">
        <v>2114</v>
      </c>
      <c r="B260" s="8" t="s">
        <v>381</v>
      </c>
      <c r="C260" s="8" t="s">
        <v>2117</v>
      </c>
      <c r="D260" s="8" t="s">
        <v>2118</v>
      </c>
      <c r="E260" s="8" t="s">
        <v>391</v>
      </c>
      <c r="F260" s="8" t="s">
        <v>2291</v>
      </c>
      <c r="G260" s="8" t="s">
        <v>2292</v>
      </c>
      <c r="H260" s="8" t="s">
        <v>2293</v>
      </c>
      <c r="I260" s="8" t="s">
        <v>637</v>
      </c>
      <c r="J260" s="8" t="s">
        <v>638</v>
      </c>
      <c r="K260" s="8" t="s">
        <v>639</v>
      </c>
      <c r="L260" s="8" t="s">
        <v>640</v>
      </c>
      <c r="M260" s="8" t="s">
        <v>641</v>
      </c>
      <c r="N260" s="156"/>
      <c r="O260" s="156"/>
      <c r="P260" s="157"/>
    </row>
    <row r="261" spans="1:18" x14ac:dyDescent="0.2">
      <c r="A261" s="2">
        <v>1</v>
      </c>
      <c r="B261" s="82" t="s">
        <v>2127</v>
      </c>
      <c r="C261" s="82" t="s">
        <v>2127</v>
      </c>
      <c r="D261" s="82" t="s">
        <v>2129</v>
      </c>
      <c r="E261" s="82" t="s">
        <v>2159</v>
      </c>
      <c r="F261" s="7" t="s">
        <v>590</v>
      </c>
      <c r="G261" s="7" t="s">
        <v>591</v>
      </c>
      <c r="H261" s="7" t="s">
        <v>2176</v>
      </c>
      <c r="I261" s="82" t="s">
        <v>2135</v>
      </c>
      <c r="J261" s="82" t="s">
        <v>2136</v>
      </c>
      <c r="K261" s="82" t="s">
        <v>2137</v>
      </c>
      <c r="L261" s="82"/>
      <c r="M261" s="82"/>
      <c r="N261" s="7"/>
      <c r="O261" s="7"/>
      <c r="P261" s="7"/>
      <c r="Q261" s="7"/>
      <c r="R261" s="7"/>
    </row>
    <row r="262" spans="1:18" x14ac:dyDescent="0.2">
      <c r="A262" s="2">
        <v>2</v>
      </c>
      <c r="B262" s="82"/>
      <c r="C262" s="82"/>
      <c r="D262" s="82" t="s">
        <v>2125</v>
      </c>
      <c r="E262" s="82" t="s">
        <v>2160</v>
      </c>
      <c r="F262" s="7" t="s">
        <v>594</v>
      </c>
      <c r="G262" s="7" t="s">
        <v>592</v>
      </c>
      <c r="H262" s="7" t="s">
        <v>2176</v>
      </c>
      <c r="I262" s="82" t="s">
        <v>2139</v>
      </c>
      <c r="J262" s="82" t="s">
        <v>2140</v>
      </c>
      <c r="K262" s="82" t="s">
        <v>2141</v>
      </c>
      <c r="L262" s="82" t="s">
        <v>2137</v>
      </c>
      <c r="M262" s="82" t="s">
        <v>2138</v>
      </c>
      <c r="N262" s="7"/>
      <c r="O262" s="7"/>
      <c r="P262" s="7"/>
      <c r="Q262" s="7"/>
      <c r="R262" s="7"/>
    </row>
    <row r="263" spans="1:18" x14ac:dyDescent="0.2">
      <c r="A263" s="2">
        <v>3</v>
      </c>
      <c r="B263" s="82" t="s">
        <v>2126</v>
      </c>
      <c r="C263" s="82" t="s">
        <v>2126</v>
      </c>
      <c r="D263" s="82" t="s">
        <v>2130</v>
      </c>
      <c r="E263" s="82" t="s">
        <v>2161</v>
      </c>
      <c r="F263" s="7" t="s">
        <v>597</v>
      </c>
      <c r="G263" s="7" t="s">
        <v>2177</v>
      </c>
      <c r="H263" s="82"/>
      <c r="I263" s="82" t="s">
        <v>2142</v>
      </c>
      <c r="J263" s="82" t="s">
        <v>2143</v>
      </c>
      <c r="K263" s="82" t="s">
        <v>2144</v>
      </c>
      <c r="L263" s="82"/>
      <c r="M263" s="82"/>
      <c r="N263" s="134"/>
      <c r="O263" s="7"/>
      <c r="P263" s="7"/>
      <c r="Q263" s="7"/>
      <c r="R263" s="7"/>
    </row>
    <row r="264" spans="1:18" x14ac:dyDescent="0.2">
      <c r="A264" s="2">
        <v>4</v>
      </c>
      <c r="B264" s="82"/>
      <c r="C264" s="82"/>
      <c r="D264" s="82" t="s">
        <v>2125</v>
      </c>
      <c r="E264" s="82" t="s">
        <v>2162</v>
      </c>
      <c r="F264" s="7" t="s">
        <v>600</v>
      </c>
      <c r="G264" s="7" t="s">
        <v>597</v>
      </c>
      <c r="H264" s="7" t="s">
        <v>2177</v>
      </c>
      <c r="I264" s="82" t="s">
        <v>2145</v>
      </c>
      <c r="J264" s="82" t="s">
        <v>2146</v>
      </c>
      <c r="K264" s="82" t="s">
        <v>2147</v>
      </c>
      <c r="L264" s="82" t="s">
        <v>2148</v>
      </c>
      <c r="M264" s="82" t="s">
        <v>2149</v>
      </c>
      <c r="N264" s="82"/>
      <c r="O264" s="82"/>
      <c r="P264" s="82"/>
      <c r="Q264" s="82"/>
      <c r="R264" s="82"/>
    </row>
    <row r="265" spans="1:18" x14ac:dyDescent="0.2">
      <c r="A265" s="2">
        <v>5</v>
      </c>
      <c r="B265" s="82" t="s">
        <v>2128</v>
      </c>
      <c r="C265" s="82" t="s">
        <v>2126</v>
      </c>
      <c r="D265" s="82" t="s">
        <v>2124</v>
      </c>
      <c r="E265" s="82" t="s">
        <v>2163</v>
      </c>
      <c r="F265" s="7" t="s">
        <v>604</v>
      </c>
      <c r="G265" s="7" t="s">
        <v>605</v>
      </c>
      <c r="H265" s="7" t="s">
        <v>2178</v>
      </c>
      <c r="I265" s="82" t="s">
        <v>2150</v>
      </c>
      <c r="J265" s="82" t="s">
        <v>2151</v>
      </c>
      <c r="K265" s="82" t="s">
        <v>2152</v>
      </c>
      <c r="L265" s="82" t="s">
        <v>2153</v>
      </c>
      <c r="M265" s="82" t="s">
        <v>2156</v>
      </c>
      <c r="N265" s="82" t="s">
        <v>2157</v>
      </c>
      <c r="O265" s="82" t="s">
        <v>2155</v>
      </c>
      <c r="P265" s="82" t="s">
        <v>2154</v>
      </c>
      <c r="Q265" s="82"/>
      <c r="R265" s="82"/>
    </row>
    <row r="267" spans="1:18" x14ac:dyDescent="0.2">
      <c r="A267" s="8" t="s">
        <v>2115</v>
      </c>
      <c r="B267" s="8" t="s">
        <v>381</v>
      </c>
      <c r="C267" s="8" t="s">
        <v>2117</v>
      </c>
      <c r="D267" s="8" t="s">
        <v>2118</v>
      </c>
      <c r="E267" s="8" t="s">
        <v>391</v>
      </c>
      <c r="F267" s="8" t="s">
        <v>2291</v>
      </c>
      <c r="G267" s="8" t="s">
        <v>2292</v>
      </c>
      <c r="H267" s="8" t="s">
        <v>2293</v>
      </c>
      <c r="I267" s="8" t="s">
        <v>637</v>
      </c>
      <c r="J267" s="8" t="s">
        <v>638</v>
      </c>
      <c r="K267" s="8" t="s">
        <v>639</v>
      </c>
      <c r="L267" s="8" t="s">
        <v>640</v>
      </c>
      <c r="M267" s="8" t="s">
        <v>641</v>
      </c>
      <c r="N267" s="156"/>
      <c r="O267" s="156"/>
      <c r="P267" s="157"/>
    </row>
    <row r="268" spans="1:18" x14ac:dyDescent="0.2">
      <c r="A268" s="2">
        <v>1</v>
      </c>
      <c r="B268" s="82" t="s">
        <v>2127</v>
      </c>
      <c r="C268" s="82" t="s">
        <v>2127</v>
      </c>
      <c r="D268" s="82" t="s">
        <v>2129</v>
      </c>
      <c r="E268" s="82" t="s">
        <v>2164</v>
      </c>
      <c r="F268" s="7" t="s">
        <v>590</v>
      </c>
      <c r="G268" s="7" t="s">
        <v>591</v>
      </c>
      <c r="H268" s="7" t="s">
        <v>2179</v>
      </c>
      <c r="I268" s="82" t="s">
        <v>2135</v>
      </c>
      <c r="J268" s="82" t="s">
        <v>2136</v>
      </c>
      <c r="K268" s="82" t="s">
        <v>2137</v>
      </c>
      <c r="L268" s="82"/>
      <c r="M268" s="82"/>
      <c r="N268" s="7"/>
      <c r="O268" s="7"/>
      <c r="P268" s="7"/>
      <c r="Q268" s="7"/>
      <c r="R268" s="7"/>
    </row>
    <row r="269" spans="1:18" x14ac:dyDescent="0.2">
      <c r="A269" s="2">
        <v>2</v>
      </c>
      <c r="B269" s="82"/>
      <c r="C269" s="82"/>
      <c r="D269" s="82" t="s">
        <v>2125</v>
      </c>
      <c r="E269" s="82" t="s">
        <v>2165</v>
      </c>
      <c r="F269" s="7" t="s">
        <v>594</v>
      </c>
      <c r="G269" s="7" t="s">
        <v>592</v>
      </c>
      <c r="H269" s="7" t="s">
        <v>2179</v>
      </c>
      <c r="I269" s="82" t="s">
        <v>2139</v>
      </c>
      <c r="J269" s="82" t="s">
        <v>2140</v>
      </c>
      <c r="K269" s="82" t="s">
        <v>2141</v>
      </c>
      <c r="L269" s="82" t="s">
        <v>2137</v>
      </c>
      <c r="M269" s="82" t="s">
        <v>2138</v>
      </c>
      <c r="N269" s="7"/>
      <c r="O269" s="7"/>
      <c r="P269" s="7"/>
      <c r="Q269" s="7"/>
      <c r="R269" s="7"/>
    </row>
    <row r="270" spans="1:18" x14ac:dyDescent="0.2">
      <c r="A270" s="2">
        <v>3</v>
      </c>
      <c r="B270" s="82" t="s">
        <v>2126</v>
      </c>
      <c r="C270" s="82" t="s">
        <v>2126</v>
      </c>
      <c r="D270" s="82" t="s">
        <v>2130</v>
      </c>
      <c r="E270" s="82" t="s">
        <v>2166</v>
      </c>
      <c r="F270" s="7" t="s">
        <v>597</v>
      </c>
      <c r="G270" s="7" t="s">
        <v>2180</v>
      </c>
      <c r="H270" s="82"/>
      <c r="I270" s="82" t="s">
        <v>2142</v>
      </c>
      <c r="J270" s="82" t="s">
        <v>2143</v>
      </c>
      <c r="K270" s="82" t="s">
        <v>2144</v>
      </c>
      <c r="L270" s="82"/>
      <c r="M270" s="82"/>
      <c r="N270" s="134"/>
      <c r="O270" s="7"/>
      <c r="P270" s="7"/>
      <c r="Q270" s="7"/>
      <c r="R270" s="7"/>
    </row>
    <row r="271" spans="1:18" x14ac:dyDescent="0.2">
      <c r="A271" s="2">
        <v>4</v>
      </c>
      <c r="B271" s="82"/>
      <c r="C271" s="82"/>
      <c r="D271" s="82" t="s">
        <v>2125</v>
      </c>
      <c r="E271" s="82" t="s">
        <v>2167</v>
      </c>
      <c r="F271" s="7" t="s">
        <v>600</v>
      </c>
      <c r="G271" s="7" t="s">
        <v>597</v>
      </c>
      <c r="H271" s="7" t="s">
        <v>2180</v>
      </c>
      <c r="I271" s="82" t="s">
        <v>2145</v>
      </c>
      <c r="J271" s="82" t="s">
        <v>2146</v>
      </c>
      <c r="K271" s="82" t="s">
        <v>2147</v>
      </c>
      <c r="L271" s="82" t="s">
        <v>2148</v>
      </c>
      <c r="M271" s="82" t="s">
        <v>2149</v>
      </c>
      <c r="N271" s="82"/>
      <c r="O271" s="82"/>
      <c r="P271" s="82"/>
      <c r="Q271" s="82"/>
      <c r="R271" s="82"/>
    </row>
    <row r="272" spans="1:18" x14ac:dyDescent="0.2">
      <c r="A272" s="2">
        <v>5</v>
      </c>
      <c r="B272" s="82" t="s">
        <v>2128</v>
      </c>
      <c r="C272" s="82" t="s">
        <v>2126</v>
      </c>
      <c r="D272" s="82" t="s">
        <v>2124</v>
      </c>
      <c r="E272" s="82" t="s">
        <v>2168</v>
      </c>
      <c r="F272" s="7" t="s">
        <v>604</v>
      </c>
      <c r="G272" s="7" t="s">
        <v>605</v>
      </c>
      <c r="H272" s="7" t="s">
        <v>2181</v>
      </c>
      <c r="I272" s="82" t="s">
        <v>2150</v>
      </c>
      <c r="J272" s="82" t="s">
        <v>2151</v>
      </c>
      <c r="K272" s="82" t="s">
        <v>2152</v>
      </c>
      <c r="L272" s="82" t="s">
        <v>2153</v>
      </c>
      <c r="M272" s="82" t="s">
        <v>2156</v>
      </c>
      <c r="N272" s="82" t="s">
        <v>2157</v>
      </c>
      <c r="O272" s="82" t="s">
        <v>2155</v>
      </c>
      <c r="P272" s="82" t="s">
        <v>2154</v>
      </c>
      <c r="Q272" s="82"/>
      <c r="R272" s="82"/>
    </row>
    <row r="274" spans="1:22" x14ac:dyDescent="0.2">
      <c r="A274" s="8" t="s">
        <v>2116</v>
      </c>
      <c r="B274" s="8" t="s">
        <v>381</v>
      </c>
      <c r="C274" s="8" t="s">
        <v>2117</v>
      </c>
      <c r="D274" s="8" t="s">
        <v>2118</v>
      </c>
      <c r="E274" s="8" t="s">
        <v>391</v>
      </c>
      <c r="F274" s="8" t="s">
        <v>2291</v>
      </c>
      <c r="G274" s="8" t="s">
        <v>2292</v>
      </c>
      <c r="H274" s="8" t="s">
        <v>2293</v>
      </c>
      <c r="I274" s="8" t="s">
        <v>637</v>
      </c>
      <c r="J274" s="8" t="s">
        <v>638</v>
      </c>
      <c r="K274" s="8" t="s">
        <v>639</v>
      </c>
      <c r="L274" s="8" t="s">
        <v>640</v>
      </c>
      <c r="M274" s="8" t="s">
        <v>641</v>
      </c>
      <c r="N274" s="156"/>
      <c r="O274" s="156"/>
      <c r="P274" s="157"/>
    </row>
    <row r="275" spans="1:22" x14ac:dyDescent="0.2">
      <c r="A275" s="2">
        <v>1</v>
      </c>
      <c r="B275" s="82" t="s">
        <v>2127</v>
      </c>
      <c r="C275" s="82" t="s">
        <v>2127</v>
      </c>
      <c r="D275" s="82" t="s">
        <v>2129</v>
      </c>
      <c r="E275" s="82" t="s">
        <v>2169</v>
      </c>
      <c r="F275" s="7" t="s">
        <v>590</v>
      </c>
      <c r="G275" s="7" t="s">
        <v>591</v>
      </c>
      <c r="H275" s="7" t="s">
        <v>2182</v>
      </c>
      <c r="I275" s="82" t="s">
        <v>2135</v>
      </c>
      <c r="J275" s="82" t="s">
        <v>2136</v>
      </c>
      <c r="K275" s="82" t="s">
        <v>2137</v>
      </c>
      <c r="L275" s="82"/>
      <c r="M275" s="82"/>
      <c r="N275" s="7"/>
      <c r="O275" s="7"/>
      <c r="P275" s="7"/>
      <c r="Q275" s="7"/>
      <c r="R275" s="7"/>
    </row>
    <row r="276" spans="1:22" x14ac:dyDescent="0.2">
      <c r="A276" s="2">
        <v>2</v>
      </c>
      <c r="B276" s="82"/>
      <c r="C276" s="82"/>
      <c r="D276" s="82" t="s">
        <v>2125</v>
      </c>
      <c r="E276" s="82" t="s">
        <v>2170</v>
      </c>
      <c r="F276" s="7" t="s">
        <v>594</v>
      </c>
      <c r="G276" s="7" t="s">
        <v>592</v>
      </c>
      <c r="H276" s="7" t="s">
        <v>2182</v>
      </c>
      <c r="I276" s="82" t="s">
        <v>2139</v>
      </c>
      <c r="J276" s="82" t="s">
        <v>2140</v>
      </c>
      <c r="K276" s="82" t="s">
        <v>2141</v>
      </c>
      <c r="L276" s="82" t="s">
        <v>2137</v>
      </c>
      <c r="M276" s="82" t="s">
        <v>2138</v>
      </c>
      <c r="N276" s="7"/>
      <c r="O276" s="7"/>
      <c r="P276" s="7"/>
      <c r="Q276" s="7"/>
      <c r="R276" s="7"/>
    </row>
    <row r="277" spans="1:22" x14ac:dyDescent="0.2">
      <c r="A277" s="2">
        <v>3</v>
      </c>
      <c r="B277" s="82" t="s">
        <v>2126</v>
      </c>
      <c r="C277" s="82" t="s">
        <v>2126</v>
      </c>
      <c r="D277" s="82" t="s">
        <v>2130</v>
      </c>
      <c r="E277" s="82" t="s">
        <v>2171</v>
      </c>
      <c r="F277" s="7" t="s">
        <v>597</v>
      </c>
      <c r="G277" s="7" t="s">
        <v>2183</v>
      </c>
      <c r="H277" s="82"/>
      <c r="I277" s="82" t="s">
        <v>2142</v>
      </c>
      <c r="J277" s="82" t="s">
        <v>2143</v>
      </c>
      <c r="K277" s="82" t="s">
        <v>2144</v>
      </c>
      <c r="L277" s="82"/>
      <c r="M277" s="82"/>
      <c r="N277" s="134"/>
      <c r="O277" s="7"/>
      <c r="P277" s="7"/>
      <c r="Q277" s="7"/>
      <c r="R277" s="7"/>
    </row>
    <row r="278" spans="1:22" x14ac:dyDescent="0.2">
      <c r="A278" s="2">
        <v>4</v>
      </c>
      <c r="B278" s="82"/>
      <c r="C278" s="82"/>
      <c r="D278" s="82" t="s">
        <v>2125</v>
      </c>
      <c r="E278" s="82" t="s">
        <v>2172</v>
      </c>
      <c r="F278" s="7" t="s">
        <v>600</v>
      </c>
      <c r="G278" s="7" t="s">
        <v>597</v>
      </c>
      <c r="H278" s="7" t="s">
        <v>2183</v>
      </c>
      <c r="I278" s="82" t="s">
        <v>2145</v>
      </c>
      <c r="J278" s="82" t="s">
        <v>2146</v>
      </c>
      <c r="K278" s="82" t="s">
        <v>2147</v>
      </c>
      <c r="L278" s="82" t="s">
        <v>2148</v>
      </c>
      <c r="M278" s="82" t="s">
        <v>2149</v>
      </c>
      <c r="N278" s="82"/>
      <c r="O278" s="82"/>
      <c r="P278" s="82"/>
      <c r="Q278" s="82"/>
      <c r="R278" s="82"/>
    </row>
    <row r="279" spans="1:22" x14ac:dyDescent="0.2">
      <c r="A279" s="2">
        <v>5</v>
      </c>
      <c r="B279" s="82" t="s">
        <v>2128</v>
      </c>
      <c r="C279" s="82" t="s">
        <v>2126</v>
      </c>
      <c r="D279" s="82" t="s">
        <v>2124</v>
      </c>
      <c r="E279" s="82" t="s">
        <v>2173</v>
      </c>
      <c r="F279" s="7" t="s">
        <v>604</v>
      </c>
      <c r="G279" s="7" t="s">
        <v>605</v>
      </c>
      <c r="H279" s="7" t="s">
        <v>2184</v>
      </c>
      <c r="I279" s="82" t="s">
        <v>2150</v>
      </c>
      <c r="J279" s="82" t="s">
        <v>2151</v>
      </c>
      <c r="K279" s="82" t="s">
        <v>2152</v>
      </c>
      <c r="L279" s="82" t="s">
        <v>2153</v>
      </c>
      <c r="M279" s="82" t="s">
        <v>2156</v>
      </c>
      <c r="N279" s="82" t="s">
        <v>2157</v>
      </c>
      <c r="O279" s="82" t="s">
        <v>2155</v>
      </c>
      <c r="P279" s="82" t="s">
        <v>2154</v>
      </c>
      <c r="Q279" s="82"/>
      <c r="R279" s="82"/>
    </row>
    <row r="281" spans="1:22" x14ac:dyDescent="0.2">
      <c r="A281" s="5" t="s">
        <v>2174</v>
      </c>
      <c r="E281" s="5"/>
    </row>
    <row r="282" spans="1:22" x14ac:dyDescent="0.2">
      <c r="A282" s="8" t="s">
        <v>665</v>
      </c>
      <c r="B282" s="8" t="s">
        <v>62</v>
      </c>
      <c r="C282" s="8" t="s">
        <v>380</v>
      </c>
      <c r="D282" s="8" t="s">
        <v>381</v>
      </c>
      <c r="E282" s="8" t="s">
        <v>391</v>
      </c>
      <c r="F282" s="8" t="s">
        <v>662</v>
      </c>
      <c r="G282" s="174" t="s">
        <v>26</v>
      </c>
      <c r="H282" s="175"/>
      <c r="I282" s="175"/>
      <c r="J282" s="176"/>
      <c r="K282" s="174" t="s">
        <v>663</v>
      </c>
      <c r="L282" s="175"/>
      <c r="M282" s="175"/>
      <c r="N282" s="176"/>
      <c r="Q282" s="68"/>
    </row>
    <row r="283" spans="1:22" x14ac:dyDescent="0.2">
      <c r="A283" s="2" t="str">
        <f t="shared" ref="A283:A303" si="9">B283&amp;"_"&amp;C283</f>
        <v>1_1</v>
      </c>
      <c r="B283" s="2">
        <v>1</v>
      </c>
      <c r="C283" s="2">
        <v>1</v>
      </c>
      <c r="D283" s="82">
        <v>1</v>
      </c>
      <c r="E283" s="7"/>
      <c r="F283" s="7">
        <v>10</v>
      </c>
      <c r="G283" s="7" t="s">
        <v>590</v>
      </c>
      <c r="H283" s="7" t="s">
        <v>2175</v>
      </c>
      <c r="I283" s="7"/>
      <c r="J283" s="7"/>
      <c r="K283" s="7">
        <v>2</v>
      </c>
      <c r="L283" s="7">
        <v>3</v>
      </c>
      <c r="M283" s="7"/>
      <c r="N283" s="7"/>
    </row>
    <row r="284" spans="1:22" x14ac:dyDescent="0.2">
      <c r="A284" s="2" t="str">
        <f t="shared" si="9"/>
        <v>1_2</v>
      </c>
      <c r="B284" s="2">
        <v>1</v>
      </c>
      <c r="C284" s="2">
        <v>2</v>
      </c>
      <c r="D284" s="82">
        <v>2.4</v>
      </c>
      <c r="E284" s="7"/>
      <c r="F284" s="7">
        <v>12.5</v>
      </c>
      <c r="G284" s="7" t="s">
        <v>590</v>
      </c>
      <c r="H284" s="7" t="s">
        <v>2175</v>
      </c>
      <c r="I284" s="7"/>
      <c r="J284" s="7"/>
      <c r="K284" s="7">
        <v>0.5</v>
      </c>
      <c r="L284" s="7">
        <v>3</v>
      </c>
      <c r="M284" s="7"/>
      <c r="N284" s="7"/>
    </row>
    <row r="285" spans="1:22" x14ac:dyDescent="0.2">
      <c r="A285" s="2" t="str">
        <f t="shared" si="9"/>
        <v>1_3</v>
      </c>
      <c r="B285" s="2">
        <v>1</v>
      </c>
      <c r="C285" s="2">
        <v>3</v>
      </c>
      <c r="D285" s="82">
        <v>3</v>
      </c>
      <c r="E285" s="7"/>
      <c r="F285" s="7">
        <v>15</v>
      </c>
      <c r="G285" s="7" t="s">
        <v>590</v>
      </c>
      <c r="H285" s="7" t="s">
        <v>591</v>
      </c>
      <c r="I285" s="7" t="s">
        <v>2175</v>
      </c>
      <c r="J285" s="7"/>
      <c r="K285" s="7">
        <v>0.5</v>
      </c>
      <c r="L285" s="7">
        <v>3</v>
      </c>
      <c r="M285" s="7">
        <v>1.5</v>
      </c>
      <c r="N285" s="7"/>
      <c r="U285" s="3"/>
      <c r="V285" s="3"/>
    </row>
    <row r="286" spans="1:22" x14ac:dyDescent="0.2">
      <c r="A286" s="2" t="str">
        <f t="shared" si="9"/>
        <v>2_1</v>
      </c>
      <c r="B286" s="2">
        <v>2</v>
      </c>
      <c r="C286" s="2">
        <v>1</v>
      </c>
      <c r="D286" s="82">
        <v>1</v>
      </c>
      <c r="E286" s="7"/>
      <c r="F286" s="7">
        <v>10</v>
      </c>
      <c r="G286" s="7" t="s">
        <v>594</v>
      </c>
      <c r="H286" s="7" t="s">
        <v>2175</v>
      </c>
      <c r="I286" s="7"/>
      <c r="J286" s="7"/>
      <c r="K286" s="7">
        <v>2</v>
      </c>
      <c r="L286" s="7">
        <v>2</v>
      </c>
      <c r="M286" s="7"/>
      <c r="N286" s="7"/>
    </row>
    <row r="287" spans="1:22" x14ac:dyDescent="0.2">
      <c r="A287" s="2" t="str">
        <f t="shared" si="9"/>
        <v>2_2</v>
      </c>
      <c r="B287" s="2">
        <v>2</v>
      </c>
      <c r="C287" s="2">
        <v>2</v>
      </c>
      <c r="D287" s="82">
        <v>3.6</v>
      </c>
      <c r="E287" s="7"/>
      <c r="F287" s="7">
        <v>12.5</v>
      </c>
      <c r="G287" s="7" t="s">
        <v>594</v>
      </c>
      <c r="H287" s="7" t="s">
        <v>591</v>
      </c>
      <c r="I287" s="7" t="s">
        <v>2175</v>
      </c>
      <c r="J287" s="7"/>
      <c r="K287" s="7">
        <v>2</v>
      </c>
      <c r="L287" s="7">
        <v>2</v>
      </c>
      <c r="M287" s="7">
        <v>2</v>
      </c>
      <c r="N287" s="7"/>
      <c r="U287" s="3"/>
      <c r="V287" s="3"/>
    </row>
    <row r="288" spans="1:22" x14ac:dyDescent="0.2">
      <c r="A288" s="2" t="str">
        <f t="shared" si="9"/>
        <v>2_3</v>
      </c>
      <c r="B288" s="2">
        <v>2</v>
      </c>
      <c r="C288" s="2">
        <v>3</v>
      </c>
      <c r="D288" s="82">
        <v>3.6</v>
      </c>
      <c r="E288" s="7"/>
      <c r="F288" s="7">
        <v>15</v>
      </c>
      <c r="G288" s="7" t="s">
        <v>594</v>
      </c>
      <c r="H288" s="7" t="s">
        <v>592</v>
      </c>
      <c r="I288" s="7" t="s">
        <v>2175</v>
      </c>
      <c r="J288" s="7"/>
      <c r="K288" s="7">
        <v>1</v>
      </c>
      <c r="L288" s="7">
        <v>1</v>
      </c>
      <c r="M288" s="7">
        <v>1</v>
      </c>
      <c r="N288" s="7"/>
    </row>
    <row r="289" spans="1:21" x14ac:dyDescent="0.2">
      <c r="A289" s="2" t="str">
        <f t="shared" si="9"/>
        <v>2_4</v>
      </c>
      <c r="B289" s="2">
        <v>2</v>
      </c>
      <c r="C289" s="2">
        <v>4</v>
      </c>
      <c r="D289" s="82">
        <v>5.02734375</v>
      </c>
      <c r="E289" s="7"/>
      <c r="F289" s="7">
        <v>17.5</v>
      </c>
      <c r="G289" s="7" t="s">
        <v>594</v>
      </c>
      <c r="H289" s="7" t="s">
        <v>592</v>
      </c>
      <c r="I289" s="7" t="s">
        <v>591</v>
      </c>
      <c r="J289" s="7" t="s">
        <v>2175</v>
      </c>
      <c r="K289" s="7">
        <v>1</v>
      </c>
      <c r="L289" s="7">
        <v>0.4</v>
      </c>
      <c r="M289" s="7">
        <v>0.5</v>
      </c>
      <c r="N289" s="7">
        <v>1</v>
      </c>
    </row>
    <row r="290" spans="1:21" x14ac:dyDescent="0.2">
      <c r="A290" s="2" t="str">
        <f t="shared" si="9"/>
        <v>2_5</v>
      </c>
      <c r="B290" s="2">
        <v>2</v>
      </c>
      <c r="C290" s="2">
        <v>5</v>
      </c>
      <c r="D290" s="82">
        <v>9.75</v>
      </c>
      <c r="E290" s="7"/>
      <c r="F290" s="7">
        <v>20</v>
      </c>
      <c r="G290" s="7" t="s">
        <v>594</v>
      </c>
      <c r="H290" s="7" t="s">
        <v>592</v>
      </c>
      <c r="I290" s="7" t="s">
        <v>591</v>
      </c>
      <c r="J290" s="7" t="s">
        <v>2175</v>
      </c>
      <c r="K290" s="7">
        <v>0.3</v>
      </c>
      <c r="L290" s="7">
        <v>0.2</v>
      </c>
      <c r="M290" s="7">
        <v>0.5</v>
      </c>
      <c r="N290" s="7">
        <v>1</v>
      </c>
    </row>
    <row r="291" spans="1:21" x14ac:dyDescent="0.2">
      <c r="A291" s="2" t="str">
        <f t="shared" si="9"/>
        <v>3_1</v>
      </c>
      <c r="B291" s="2">
        <v>3</v>
      </c>
      <c r="C291" s="2">
        <v>1</v>
      </c>
      <c r="D291" s="82">
        <v>1.21875</v>
      </c>
      <c r="E291" s="7"/>
      <c r="F291" s="7">
        <v>10</v>
      </c>
      <c r="G291" s="7" t="s">
        <v>597</v>
      </c>
      <c r="H291" s="7" t="s">
        <v>941</v>
      </c>
      <c r="I291" s="7"/>
      <c r="J291" s="7"/>
      <c r="K291" s="7">
        <v>2</v>
      </c>
      <c r="L291" s="7">
        <v>2</v>
      </c>
      <c r="M291" s="7"/>
      <c r="N291" s="7"/>
      <c r="U291" s="126"/>
    </row>
    <row r="292" spans="1:21" x14ac:dyDescent="0.2">
      <c r="A292" s="2" t="str">
        <f t="shared" si="9"/>
        <v>3_2</v>
      </c>
      <c r="B292" s="2">
        <v>3</v>
      </c>
      <c r="C292" s="2">
        <v>2</v>
      </c>
      <c r="D292" s="82">
        <v>2.4</v>
      </c>
      <c r="E292" s="7"/>
      <c r="F292" s="7">
        <v>12.5</v>
      </c>
      <c r="G292" s="7" t="s">
        <v>597</v>
      </c>
      <c r="H292" s="7" t="s">
        <v>591</v>
      </c>
      <c r="I292" s="7" t="s">
        <v>941</v>
      </c>
      <c r="J292" s="7"/>
      <c r="K292" s="7">
        <v>2</v>
      </c>
      <c r="L292" s="7">
        <v>2</v>
      </c>
      <c r="M292" s="7">
        <v>2</v>
      </c>
      <c r="N292" s="7"/>
    </row>
    <row r="293" spans="1:21" x14ac:dyDescent="0.2">
      <c r="A293" s="2" t="str">
        <f t="shared" si="9"/>
        <v>3_3</v>
      </c>
      <c r="B293" s="2">
        <v>3</v>
      </c>
      <c r="C293" s="2">
        <v>3</v>
      </c>
      <c r="D293" s="82">
        <v>6</v>
      </c>
      <c r="E293" s="7"/>
      <c r="F293" s="7">
        <v>15</v>
      </c>
      <c r="G293" s="7" t="s">
        <v>597</v>
      </c>
      <c r="H293" s="7" t="s">
        <v>592</v>
      </c>
      <c r="I293" s="7" t="s">
        <v>941</v>
      </c>
      <c r="J293" s="7"/>
      <c r="K293" s="7">
        <v>2</v>
      </c>
      <c r="L293" s="7">
        <v>1</v>
      </c>
      <c r="M293" s="7">
        <v>2</v>
      </c>
      <c r="N293" s="7"/>
    </row>
    <row r="294" spans="1:21" x14ac:dyDescent="0.2">
      <c r="A294" s="2" t="str">
        <f t="shared" si="9"/>
        <v>4_1</v>
      </c>
      <c r="B294" s="2">
        <v>4</v>
      </c>
      <c r="C294" s="2">
        <v>1</v>
      </c>
      <c r="D294" s="82">
        <v>2.5</v>
      </c>
      <c r="E294" s="7"/>
      <c r="F294" s="7">
        <v>10</v>
      </c>
      <c r="G294" s="7" t="s">
        <v>600</v>
      </c>
      <c r="H294" s="7" t="s">
        <v>941</v>
      </c>
      <c r="I294" s="7"/>
      <c r="J294" s="7"/>
      <c r="K294" s="7">
        <v>1.5</v>
      </c>
      <c r="L294" s="7">
        <v>2</v>
      </c>
      <c r="M294" s="7"/>
      <c r="N294" s="7"/>
    </row>
    <row r="295" spans="1:21" x14ac:dyDescent="0.2">
      <c r="A295" s="2" t="str">
        <f t="shared" si="9"/>
        <v>4_2</v>
      </c>
      <c r="B295" s="2">
        <v>4</v>
      </c>
      <c r="C295" s="2">
        <v>2</v>
      </c>
      <c r="D295" s="82">
        <v>10</v>
      </c>
      <c r="E295" s="7"/>
      <c r="F295" s="7">
        <v>12.5</v>
      </c>
      <c r="G295" s="7" t="s">
        <v>600</v>
      </c>
      <c r="H295" s="7" t="s">
        <v>591</v>
      </c>
      <c r="I295" s="7" t="s">
        <v>941</v>
      </c>
      <c r="J295" s="7"/>
      <c r="K295" s="7">
        <v>1.5</v>
      </c>
      <c r="L295" s="7">
        <v>0.5</v>
      </c>
      <c r="M295" s="7">
        <v>2</v>
      </c>
      <c r="N295" s="7"/>
    </row>
    <row r="296" spans="1:21" x14ac:dyDescent="0.2">
      <c r="A296" s="2" t="str">
        <f t="shared" si="9"/>
        <v>4_3</v>
      </c>
      <c r="B296" s="2">
        <v>4</v>
      </c>
      <c r="C296" s="2">
        <v>3</v>
      </c>
      <c r="D296" s="82">
        <v>18</v>
      </c>
      <c r="E296" s="7"/>
      <c r="F296" s="7">
        <v>15</v>
      </c>
      <c r="G296" s="7" t="s">
        <v>600</v>
      </c>
      <c r="H296" s="7" t="s">
        <v>592</v>
      </c>
      <c r="I296" s="7" t="s">
        <v>941</v>
      </c>
      <c r="J296" s="7"/>
      <c r="K296" s="7">
        <v>1.5</v>
      </c>
      <c r="L296" s="7">
        <v>0.2</v>
      </c>
      <c r="M296" s="7">
        <v>2</v>
      </c>
      <c r="N296" s="7"/>
    </row>
    <row r="297" spans="1:21" x14ac:dyDescent="0.2">
      <c r="A297" s="2" t="str">
        <f t="shared" si="9"/>
        <v>4_4</v>
      </c>
      <c r="B297" s="2">
        <v>4</v>
      </c>
      <c r="C297" s="2">
        <v>4</v>
      </c>
      <c r="D297" s="82">
        <v>3</v>
      </c>
      <c r="E297" s="7"/>
      <c r="F297" s="7">
        <v>17.5</v>
      </c>
      <c r="G297" s="7" t="s">
        <v>600</v>
      </c>
      <c r="H297" s="7" t="s">
        <v>594</v>
      </c>
      <c r="I297" s="7" t="s">
        <v>941</v>
      </c>
      <c r="J297" s="7"/>
      <c r="K297" s="7">
        <v>1.5</v>
      </c>
      <c r="L297" s="7">
        <v>0.4</v>
      </c>
      <c r="M297" s="7">
        <v>1</v>
      </c>
      <c r="N297" s="7"/>
    </row>
    <row r="298" spans="1:21" x14ac:dyDescent="0.2">
      <c r="A298" s="2" t="str">
        <f t="shared" si="9"/>
        <v>4_5</v>
      </c>
      <c r="B298" s="2">
        <v>4</v>
      </c>
      <c r="C298" s="2">
        <v>5</v>
      </c>
      <c r="D298" s="82">
        <v>3</v>
      </c>
      <c r="E298" s="7"/>
      <c r="F298" s="7">
        <v>20</v>
      </c>
      <c r="G298" s="7" t="s">
        <v>600</v>
      </c>
      <c r="H298" s="7" t="s">
        <v>597</v>
      </c>
      <c r="I298" s="7" t="s">
        <v>941</v>
      </c>
      <c r="J298" s="7"/>
      <c r="K298" s="7">
        <v>0.5</v>
      </c>
      <c r="L298" s="7">
        <v>2</v>
      </c>
      <c r="M298" s="7">
        <v>1</v>
      </c>
      <c r="N298" s="7"/>
    </row>
    <row r="299" spans="1:21" x14ac:dyDescent="0.2">
      <c r="A299" s="2" t="str">
        <f t="shared" si="9"/>
        <v>5_1</v>
      </c>
      <c r="B299" s="2">
        <v>5</v>
      </c>
      <c r="C299" s="2">
        <v>1</v>
      </c>
      <c r="D299" s="82">
        <v>4.8</v>
      </c>
      <c r="E299" s="7"/>
      <c r="F299" s="7">
        <v>10</v>
      </c>
      <c r="G299" s="7" t="s">
        <v>604</v>
      </c>
      <c r="H299" s="7" t="s">
        <v>941</v>
      </c>
      <c r="I299" s="7"/>
      <c r="J299" s="7"/>
      <c r="K299" s="7">
        <v>1.5</v>
      </c>
      <c r="L299" s="7">
        <v>2</v>
      </c>
      <c r="M299" s="7"/>
      <c r="N299" s="7"/>
    </row>
    <row r="300" spans="1:21" x14ac:dyDescent="0.2">
      <c r="A300" s="2" t="str">
        <f t="shared" si="9"/>
        <v>5_2</v>
      </c>
      <c r="B300" s="2">
        <v>5</v>
      </c>
      <c r="C300" s="2">
        <v>2</v>
      </c>
      <c r="D300" s="82">
        <v>10</v>
      </c>
      <c r="E300" s="7"/>
      <c r="F300" s="7">
        <v>12.5</v>
      </c>
      <c r="G300" s="7" t="s">
        <v>604</v>
      </c>
      <c r="H300" s="7" t="s">
        <v>592</v>
      </c>
      <c r="I300" s="7" t="s">
        <v>941</v>
      </c>
      <c r="J300" s="7"/>
      <c r="K300" s="7">
        <v>1.5</v>
      </c>
      <c r="L300" s="7">
        <v>0.2</v>
      </c>
      <c r="M300" s="7">
        <v>2</v>
      </c>
      <c r="N300" s="7"/>
    </row>
    <row r="301" spans="1:21" x14ac:dyDescent="0.2">
      <c r="A301" s="2" t="str">
        <f t="shared" si="9"/>
        <v>5_3</v>
      </c>
      <c r="B301" s="2">
        <v>5</v>
      </c>
      <c r="C301" s="2">
        <v>3</v>
      </c>
      <c r="D301" s="82">
        <v>18</v>
      </c>
      <c r="E301" s="7"/>
      <c r="F301" s="7">
        <v>15</v>
      </c>
      <c r="G301" s="7" t="s">
        <v>604</v>
      </c>
      <c r="H301" s="7" t="s">
        <v>594</v>
      </c>
      <c r="I301" s="7" t="s">
        <v>600</v>
      </c>
      <c r="J301" s="7" t="s">
        <v>941</v>
      </c>
      <c r="K301" s="7">
        <v>1.5</v>
      </c>
      <c r="L301" s="7">
        <v>0.4</v>
      </c>
      <c r="M301" s="7">
        <v>1.5</v>
      </c>
      <c r="N301" s="7">
        <v>2</v>
      </c>
    </row>
    <row r="302" spans="1:21" x14ac:dyDescent="0.2">
      <c r="A302" s="2" t="str">
        <f t="shared" si="9"/>
        <v>5_4</v>
      </c>
      <c r="B302" s="2">
        <v>5</v>
      </c>
      <c r="C302" s="2">
        <v>4</v>
      </c>
      <c r="D302" s="82">
        <v>6</v>
      </c>
      <c r="E302" s="7"/>
      <c r="F302" s="7">
        <v>17.5</v>
      </c>
      <c r="G302" s="7" t="s">
        <v>604</v>
      </c>
      <c r="H302" s="7" t="s">
        <v>600</v>
      </c>
      <c r="I302" s="7" t="s">
        <v>941</v>
      </c>
      <c r="J302" s="7"/>
      <c r="K302" s="7">
        <v>1.5</v>
      </c>
      <c r="L302" s="7">
        <v>0.5</v>
      </c>
      <c r="M302" s="7">
        <v>2</v>
      </c>
      <c r="N302" s="7"/>
    </row>
    <row r="303" spans="1:21" x14ac:dyDescent="0.2">
      <c r="A303" s="2" t="str">
        <f t="shared" si="9"/>
        <v>5_5</v>
      </c>
      <c r="B303" s="2">
        <v>5</v>
      </c>
      <c r="C303" s="2">
        <v>5</v>
      </c>
      <c r="D303" s="82">
        <v>6</v>
      </c>
      <c r="E303" s="7"/>
      <c r="F303" s="7">
        <v>20</v>
      </c>
      <c r="G303" s="7" t="s">
        <v>604</v>
      </c>
      <c r="H303" s="7" t="s">
        <v>600</v>
      </c>
      <c r="I303" s="7" t="s">
        <v>597</v>
      </c>
      <c r="J303" s="7" t="s">
        <v>941</v>
      </c>
      <c r="K303" s="7">
        <v>1.5</v>
      </c>
      <c r="L303" s="7">
        <v>0.5</v>
      </c>
      <c r="M303" s="7">
        <v>2</v>
      </c>
      <c r="N303" s="7">
        <v>1</v>
      </c>
    </row>
    <row r="304" spans="1:21" x14ac:dyDescent="0.2">
      <c r="A304" s="2" t="str">
        <f t="shared" ref="A304:A306" si="10">B304&amp;"_"&amp;C304</f>
        <v>5_6</v>
      </c>
      <c r="B304" s="2">
        <v>5</v>
      </c>
      <c r="C304" s="2">
        <v>6</v>
      </c>
      <c r="D304" s="82">
        <v>8</v>
      </c>
      <c r="E304" s="7"/>
      <c r="F304" s="7">
        <v>22.5</v>
      </c>
      <c r="G304" s="7" t="s">
        <v>604</v>
      </c>
      <c r="H304" s="7" t="s">
        <v>601</v>
      </c>
      <c r="I304" s="7" t="s">
        <v>598</v>
      </c>
      <c r="J304" s="7" t="s">
        <v>941</v>
      </c>
      <c r="K304" s="7">
        <v>1.5</v>
      </c>
      <c r="L304" s="7">
        <v>2</v>
      </c>
      <c r="M304" s="7">
        <v>1.5</v>
      </c>
      <c r="N304" s="7">
        <v>1</v>
      </c>
    </row>
    <row r="305" spans="1:22" x14ac:dyDescent="0.2">
      <c r="A305" s="2" t="str">
        <f t="shared" si="10"/>
        <v>5_7</v>
      </c>
      <c r="B305" s="2">
        <v>5</v>
      </c>
      <c r="C305" s="2">
        <v>7</v>
      </c>
      <c r="D305" s="82">
        <v>10</v>
      </c>
      <c r="E305" s="7"/>
      <c r="F305" s="7">
        <v>25</v>
      </c>
      <c r="G305" s="7" t="s">
        <v>604</v>
      </c>
      <c r="H305" s="7" t="s">
        <v>606</v>
      </c>
      <c r="I305" s="7" t="s">
        <v>595</v>
      </c>
      <c r="J305" s="7" t="s">
        <v>941</v>
      </c>
      <c r="K305" s="7">
        <v>1</v>
      </c>
      <c r="L305" s="7">
        <v>1</v>
      </c>
      <c r="M305" s="7">
        <v>0.2</v>
      </c>
      <c r="N305" s="7">
        <v>1</v>
      </c>
    </row>
    <row r="306" spans="1:22" x14ac:dyDescent="0.2">
      <c r="A306" s="2" t="str">
        <f t="shared" si="10"/>
        <v>5_8</v>
      </c>
      <c r="B306" s="2">
        <v>5</v>
      </c>
      <c r="C306" s="2">
        <v>8</v>
      </c>
      <c r="D306" s="82">
        <v>18</v>
      </c>
      <c r="E306" s="7"/>
      <c r="F306" s="7">
        <v>27.5</v>
      </c>
      <c r="G306" s="7" t="s">
        <v>605</v>
      </c>
      <c r="H306" s="7" t="s">
        <v>606</v>
      </c>
      <c r="I306" s="7" t="s">
        <v>601</v>
      </c>
      <c r="J306" s="7" t="s">
        <v>943</v>
      </c>
      <c r="K306" s="7">
        <v>0</v>
      </c>
      <c r="L306" s="7">
        <v>0.5</v>
      </c>
      <c r="M306" s="7">
        <v>2</v>
      </c>
      <c r="N306" s="7">
        <v>0</v>
      </c>
    </row>
    <row r="308" spans="1:22" x14ac:dyDescent="0.2">
      <c r="A308" s="5" t="s">
        <v>2185</v>
      </c>
      <c r="E308" s="5"/>
    </row>
    <row r="309" spans="1:22" x14ac:dyDescent="0.2">
      <c r="A309" s="8" t="s">
        <v>665</v>
      </c>
      <c r="B309" s="8" t="s">
        <v>62</v>
      </c>
      <c r="C309" s="8" t="s">
        <v>380</v>
      </c>
      <c r="D309" s="8" t="s">
        <v>381</v>
      </c>
      <c r="E309" s="8" t="s">
        <v>391</v>
      </c>
      <c r="F309" s="8" t="s">
        <v>662</v>
      </c>
      <c r="G309" s="174" t="s">
        <v>26</v>
      </c>
      <c r="H309" s="175"/>
      <c r="I309" s="175"/>
      <c r="J309" s="176"/>
      <c r="K309" s="174" t="s">
        <v>663</v>
      </c>
      <c r="L309" s="175"/>
      <c r="M309" s="175"/>
      <c r="N309" s="176"/>
      <c r="Q309" s="68"/>
    </row>
    <row r="310" spans="1:22" x14ac:dyDescent="0.2">
      <c r="A310" s="2" t="str">
        <f t="shared" ref="A310:A333" si="11">B310&amp;"_"&amp;C310</f>
        <v>1_1</v>
      </c>
      <c r="B310" s="2">
        <v>1</v>
      </c>
      <c r="C310" s="2">
        <v>1</v>
      </c>
      <c r="D310" s="82">
        <v>1</v>
      </c>
      <c r="E310" s="7"/>
      <c r="F310" s="7">
        <v>10</v>
      </c>
      <c r="G310" s="7" t="s">
        <v>590</v>
      </c>
      <c r="H310" s="7" t="s">
        <v>2176</v>
      </c>
      <c r="I310" s="7"/>
      <c r="J310" s="7"/>
      <c r="K310" s="7">
        <v>2</v>
      </c>
      <c r="L310" s="7">
        <v>3</v>
      </c>
      <c r="M310" s="7"/>
      <c r="N310" s="7"/>
    </row>
    <row r="311" spans="1:22" x14ac:dyDescent="0.2">
      <c r="A311" s="2" t="str">
        <f t="shared" si="11"/>
        <v>1_2</v>
      </c>
      <c r="B311" s="2">
        <v>1</v>
      </c>
      <c r="C311" s="2">
        <v>2</v>
      </c>
      <c r="D311" s="82">
        <v>2.4</v>
      </c>
      <c r="E311" s="7"/>
      <c r="F311" s="7">
        <v>12.5</v>
      </c>
      <c r="G311" s="7" t="s">
        <v>590</v>
      </c>
      <c r="H311" s="7" t="s">
        <v>2176</v>
      </c>
      <c r="I311" s="7"/>
      <c r="J311" s="7"/>
      <c r="K311" s="7">
        <v>0.5</v>
      </c>
      <c r="L311" s="7">
        <v>3</v>
      </c>
      <c r="M311" s="7"/>
      <c r="N311" s="7"/>
    </row>
    <row r="312" spans="1:22" x14ac:dyDescent="0.2">
      <c r="A312" s="2" t="str">
        <f t="shared" si="11"/>
        <v>1_3</v>
      </c>
      <c r="B312" s="2">
        <v>1</v>
      </c>
      <c r="C312" s="2">
        <v>3</v>
      </c>
      <c r="D312" s="82">
        <v>3</v>
      </c>
      <c r="E312" s="7"/>
      <c r="F312" s="7">
        <v>15</v>
      </c>
      <c r="G312" s="7" t="s">
        <v>590</v>
      </c>
      <c r="H312" s="7" t="s">
        <v>591</v>
      </c>
      <c r="I312" s="7" t="s">
        <v>2176</v>
      </c>
      <c r="J312" s="7"/>
      <c r="K312" s="7">
        <v>0.5</v>
      </c>
      <c r="L312" s="7">
        <v>3</v>
      </c>
      <c r="M312" s="7">
        <v>1.5</v>
      </c>
      <c r="N312" s="7"/>
      <c r="U312" s="3"/>
      <c r="V312" s="3"/>
    </row>
    <row r="313" spans="1:22" x14ac:dyDescent="0.2">
      <c r="A313" s="2" t="str">
        <f t="shared" si="11"/>
        <v>2_1</v>
      </c>
      <c r="B313" s="2">
        <v>2</v>
      </c>
      <c r="C313" s="2">
        <v>1</v>
      </c>
      <c r="D313" s="82">
        <v>1</v>
      </c>
      <c r="E313" s="7"/>
      <c r="F313" s="7">
        <v>10</v>
      </c>
      <c r="G313" s="7" t="s">
        <v>594</v>
      </c>
      <c r="H313" s="7" t="s">
        <v>2176</v>
      </c>
      <c r="I313" s="7"/>
      <c r="J313" s="7"/>
      <c r="K313" s="7">
        <v>2</v>
      </c>
      <c r="L313" s="7">
        <v>2</v>
      </c>
      <c r="M313" s="7"/>
      <c r="N313" s="7"/>
      <c r="Q313" s="68"/>
    </row>
    <row r="314" spans="1:22" x14ac:dyDescent="0.2">
      <c r="A314" s="2" t="str">
        <f t="shared" si="11"/>
        <v>2_2</v>
      </c>
      <c r="B314" s="2">
        <v>2</v>
      </c>
      <c r="C314" s="2">
        <v>2</v>
      </c>
      <c r="D314" s="82">
        <v>3.6</v>
      </c>
      <c r="E314" s="7"/>
      <c r="F314" s="7">
        <v>12.5</v>
      </c>
      <c r="G314" s="7" t="s">
        <v>594</v>
      </c>
      <c r="H314" s="7" t="s">
        <v>591</v>
      </c>
      <c r="I314" s="7" t="s">
        <v>2176</v>
      </c>
      <c r="J314" s="7"/>
      <c r="K314" s="7">
        <v>2</v>
      </c>
      <c r="L314" s="7">
        <v>2</v>
      </c>
      <c r="M314" s="7">
        <v>2</v>
      </c>
      <c r="N314" s="7"/>
      <c r="U314" s="3"/>
      <c r="V314" s="3"/>
    </row>
    <row r="315" spans="1:22" x14ac:dyDescent="0.2">
      <c r="A315" s="2" t="str">
        <f t="shared" si="11"/>
        <v>2_3</v>
      </c>
      <c r="B315" s="2">
        <v>2</v>
      </c>
      <c r="C315" s="2">
        <v>3</v>
      </c>
      <c r="D315" s="82">
        <v>3.6</v>
      </c>
      <c r="E315" s="7"/>
      <c r="F315" s="7">
        <v>15</v>
      </c>
      <c r="G315" s="7" t="s">
        <v>594</v>
      </c>
      <c r="H315" s="7" t="s">
        <v>592</v>
      </c>
      <c r="I315" s="7" t="s">
        <v>2176</v>
      </c>
      <c r="J315" s="7"/>
      <c r="K315" s="7">
        <v>1</v>
      </c>
      <c r="L315" s="7">
        <v>1</v>
      </c>
      <c r="M315" s="7">
        <v>1</v>
      </c>
      <c r="N315" s="7"/>
    </row>
    <row r="316" spans="1:22" x14ac:dyDescent="0.2">
      <c r="A316" s="2" t="str">
        <f t="shared" si="11"/>
        <v>2_4</v>
      </c>
      <c r="B316" s="2">
        <v>2</v>
      </c>
      <c r="C316" s="2">
        <v>4</v>
      </c>
      <c r="D316" s="82">
        <v>5.02734375</v>
      </c>
      <c r="E316" s="7"/>
      <c r="F316" s="7">
        <v>17.5</v>
      </c>
      <c r="G316" s="7" t="s">
        <v>594</v>
      </c>
      <c r="H316" s="7" t="s">
        <v>592</v>
      </c>
      <c r="I316" s="7" t="s">
        <v>591</v>
      </c>
      <c r="J316" s="7" t="s">
        <v>2176</v>
      </c>
      <c r="K316" s="7">
        <v>1</v>
      </c>
      <c r="L316" s="7">
        <v>0.4</v>
      </c>
      <c r="M316" s="7">
        <v>0.5</v>
      </c>
      <c r="N316" s="7">
        <v>1</v>
      </c>
    </row>
    <row r="317" spans="1:22" x14ac:dyDescent="0.2">
      <c r="A317" s="2" t="str">
        <f t="shared" si="11"/>
        <v>2_5</v>
      </c>
      <c r="B317" s="2">
        <v>2</v>
      </c>
      <c r="C317" s="2">
        <v>5</v>
      </c>
      <c r="D317" s="82">
        <v>9.75</v>
      </c>
      <c r="E317" s="7"/>
      <c r="F317" s="7">
        <v>20</v>
      </c>
      <c r="G317" s="7" t="s">
        <v>594</v>
      </c>
      <c r="H317" s="7" t="s">
        <v>592</v>
      </c>
      <c r="I317" s="7" t="s">
        <v>591</v>
      </c>
      <c r="J317" s="7" t="s">
        <v>2176</v>
      </c>
      <c r="K317" s="7">
        <v>0.3</v>
      </c>
      <c r="L317" s="7">
        <v>0.2</v>
      </c>
      <c r="M317" s="7">
        <v>0.5</v>
      </c>
      <c r="N317" s="7">
        <v>1</v>
      </c>
    </row>
    <row r="318" spans="1:22" x14ac:dyDescent="0.2">
      <c r="A318" s="2" t="str">
        <f t="shared" si="11"/>
        <v>3_1</v>
      </c>
      <c r="B318" s="2">
        <v>3</v>
      </c>
      <c r="C318" s="2">
        <v>1</v>
      </c>
      <c r="D318" s="82">
        <v>1.21875</v>
      </c>
      <c r="E318" s="7"/>
      <c r="F318" s="7">
        <v>10</v>
      </c>
      <c r="G318" s="7" t="s">
        <v>597</v>
      </c>
      <c r="H318" s="7" t="s">
        <v>2177</v>
      </c>
      <c r="I318" s="7"/>
      <c r="J318" s="7"/>
      <c r="K318" s="7">
        <v>2</v>
      </c>
      <c r="L318" s="7">
        <v>2</v>
      </c>
      <c r="M318" s="7"/>
      <c r="N318" s="7"/>
      <c r="U318" s="126"/>
    </row>
    <row r="319" spans="1:22" x14ac:dyDescent="0.2">
      <c r="A319" s="2" t="str">
        <f t="shared" si="11"/>
        <v>3_2</v>
      </c>
      <c r="B319" s="2">
        <v>3</v>
      </c>
      <c r="C319" s="2">
        <v>2</v>
      </c>
      <c r="D319" s="82">
        <v>2.4</v>
      </c>
      <c r="E319" s="7"/>
      <c r="F319" s="7">
        <v>12.5</v>
      </c>
      <c r="G319" s="7" t="s">
        <v>597</v>
      </c>
      <c r="H319" s="7" t="s">
        <v>591</v>
      </c>
      <c r="I319" s="7" t="s">
        <v>2177</v>
      </c>
      <c r="J319" s="7"/>
      <c r="K319" s="7">
        <v>2</v>
      </c>
      <c r="L319" s="7">
        <v>2</v>
      </c>
      <c r="M319" s="7">
        <v>2</v>
      </c>
      <c r="N319" s="7"/>
    </row>
    <row r="320" spans="1:22" x14ac:dyDescent="0.2">
      <c r="A320" s="2" t="str">
        <f t="shared" si="11"/>
        <v>3_3</v>
      </c>
      <c r="B320" s="2">
        <v>3</v>
      </c>
      <c r="C320" s="2">
        <v>3</v>
      </c>
      <c r="D320" s="82">
        <v>6</v>
      </c>
      <c r="E320" s="7"/>
      <c r="F320" s="7">
        <v>15</v>
      </c>
      <c r="G320" s="7" t="s">
        <v>597</v>
      </c>
      <c r="H320" s="7" t="s">
        <v>592</v>
      </c>
      <c r="I320" s="7" t="s">
        <v>2177</v>
      </c>
      <c r="J320" s="7"/>
      <c r="K320" s="7">
        <v>2</v>
      </c>
      <c r="L320" s="7">
        <v>1</v>
      </c>
      <c r="M320" s="7">
        <v>2</v>
      </c>
      <c r="N320" s="7"/>
    </row>
    <row r="321" spans="1:17" x14ac:dyDescent="0.2">
      <c r="A321" s="2" t="str">
        <f t="shared" si="11"/>
        <v>4_1</v>
      </c>
      <c r="B321" s="2">
        <v>4</v>
      </c>
      <c r="C321" s="2">
        <v>1</v>
      </c>
      <c r="D321" s="82">
        <v>2.5</v>
      </c>
      <c r="E321" s="7"/>
      <c r="F321" s="7">
        <v>10</v>
      </c>
      <c r="G321" s="7" t="s">
        <v>600</v>
      </c>
      <c r="H321" s="7" t="s">
        <v>2177</v>
      </c>
      <c r="I321" s="7"/>
      <c r="J321" s="7"/>
      <c r="K321" s="7">
        <v>1.5</v>
      </c>
      <c r="L321" s="7">
        <v>2</v>
      </c>
      <c r="M321" s="7"/>
      <c r="N321" s="7"/>
    </row>
    <row r="322" spans="1:17" x14ac:dyDescent="0.2">
      <c r="A322" s="2" t="str">
        <f t="shared" si="11"/>
        <v>4_2</v>
      </c>
      <c r="B322" s="2">
        <v>4</v>
      </c>
      <c r="C322" s="2">
        <v>2</v>
      </c>
      <c r="D322" s="82">
        <v>10</v>
      </c>
      <c r="E322" s="7"/>
      <c r="F322" s="7">
        <v>12.5</v>
      </c>
      <c r="G322" s="7" t="s">
        <v>600</v>
      </c>
      <c r="H322" s="7" t="s">
        <v>591</v>
      </c>
      <c r="I322" s="7" t="s">
        <v>2177</v>
      </c>
      <c r="J322" s="7"/>
      <c r="K322" s="7">
        <v>1.5</v>
      </c>
      <c r="L322" s="7">
        <v>0.5</v>
      </c>
      <c r="M322" s="7">
        <v>2</v>
      </c>
      <c r="N322" s="7"/>
    </row>
    <row r="323" spans="1:17" x14ac:dyDescent="0.2">
      <c r="A323" s="2" t="str">
        <f t="shared" si="11"/>
        <v>4_3</v>
      </c>
      <c r="B323" s="2">
        <v>4</v>
      </c>
      <c r="C323" s="2">
        <v>3</v>
      </c>
      <c r="D323" s="82">
        <v>18</v>
      </c>
      <c r="E323" s="7"/>
      <c r="F323" s="7">
        <v>15</v>
      </c>
      <c r="G323" s="7" t="s">
        <v>600</v>
      </c>
      <c r="H323" s="7" t="s">
        <v>592</v>
      </c>
      <c r="I323" s="7" t="s">
        <v>2177</v>
      </c>
      <c r="J323" s="7"/>
      <c r="K323" s="7">
        <v>1.5</v>
      </c>
      <c r="L323" s="7">
        <v>0.2</v>
      </c>
      <c r="M323" s="7">
        <v>2</v>
      </c>
      <c r="N323" s="7"/>
    </row>
    <row r="324" spans="1:17" x14ac:dyDescent="0.2">
      <c r="A324" s="2" t="str">
        <f t="shared" si="11"/>
        <v>4_4</v>
      </c>
      <c r="B324" s="2">
        <v>4</v>
      </c>
      <c r="C324" s="2">
        <v>4</v>
      </c>
      <c r="D324" s="82">
        <v>3</v>
      </c>
      <c r="E324" s="7"/>
      <c r="F324" s="7">
        <v>17.5</v>
      </c>
      <c r="G324" s="7" t="s">
        <v>600</v>
      </c>
      <c r="H324" s="7" t="s">
        <v>594</v>
      </c>
      <c r="I324" s="7" t="s">
        <v>2177</v>
      </c>
      <c r="J324" s="7"/>
      <c r="K324" s="7">
        <v>1.5</v>
      </c>
      <c r="L324" s="7">
        <v>0.4</v>
      </c>
      <c r="M324" s="7">
        <v>1</v>
      </c>
      <c r="N324" s="7"/>
    </row>
    <row r="325" spans="1:17" x14ac:dyDescent="0.2">
      <c r="A325" s="2" t="str">
        <f t="shared" si="11"/>
        <v>4_5</v>
      </c>
      <c r="B325" s="2">
        <v>4</v>
      </c>
      <c r="C325" s="2">
        <v>5</v>
      </c>
      <c r="D325" s="82">
        <v>3</v>
      </c>
      <c r="E325" s="7"/>
      <c r="F325" s="7">
        <v>20</v>
      </c>
      <c r="G325" s="7" t="s">
        <v>600</v>
      </c>
      <c r="H325" s="7" t="s">
        <v>597</v>
      </c>
      <c r="I325" s="7" t="s">
        <v>2177</v>
      </c>
      <c r="J325" s="7"/>
      <c r="K325" s="7">
        <v>0.5</v>
      </c>
      <c r="L325" s="7">
        <v>2</v>
      </c>
      <c r="M325" s="7">
        <v>1</v>
      </c>
      <c r="N325" s="7"/>
    </row>
    <row r="326" spans="1:17" x14ac:dyDescent="0.2">
      <c r="A326" s="2" t="str">
        <f t="shared" si="11"/>
        <v>5_1</v>
      </c>
      <c r="B326" s="2">
        <v>5</v>
      </c>
      <c r="C326" s="2">
        <v>1</v>
      </c>
      <c r="D326" s="82">
        <v>4.8</v>
      </c>
      <c r="E326" s="7"/>
      <c r="F326" s="7">
        <v>10</v>
      </c>
      <c r="G326" s="7" t="s">
        <v>604</v>
      </c>
      <c r="H326" s="7" t="s">
        <v>2177</v>
      </c>
      <c r="I326" s="7"/>
      <c r="J326" s="7"/>
      <c r="K326" s="7">
        <v>1.5</v>
      </c>
      <c r="L326" s="7">
        <v>2</v>
      </c>
      <c r="M326" s="7"/>
      <c r="N326" s="7"/>
    </row>
    <row r="327" spans="1:17" x14ac:dyDescent="0.2">
      <c r="A327" s="2" t="str">
        <f t="shared" si="11"/>
        <v>5_2</v>
      </c>
      <c r="B327" s="2">
        <v>5</v>
      </c>
      <c r="C327" s="2">
        <v>2</v>
      </c>
      <c r="D327" s="82">
        <v>10</v>
      </c>
      <c r="E327" s="7"/>
      <c r="F327" s="7">
        <v>12.5</v>
      </c>
      <c r="G327" s="7" t="s">
        <v>604</v>
      </c>
      <c r="H327" s="7" t="s">
        <v>592</v>
      </c>
      <c r="I327" s="7" t="s">
        <v>2177</v>
      </c>
      <c r="J327" s="7"/>
      <c r="K327" s="7">
        <v>1.5</v>
      </c>
      <c r="L327" s="7">
        <v>0.2</v>
      </c>
      <c r="M327" s="7">
        <v>2</v>
      </c>
      <c r="N327" s="7"/>
    </row>
    <row r="328" spans="1:17" x14ac:dyDescent="0.2">
      <c r="A328" s="2" t="str">
        <f t="shared" si="11"/>
        <v>5_3</v>
      </c>
      <c r="B328" s="2">
        <v>5</v>
      </c>
      <c r="C328" s="2">
        <v>3</v>
      </c>
      <c r="D328" s="82">
        <v>18</v>
      </c>
      <c r="E328" s="7"/>
      <c r="F328" s="7">
        <v>15</v>
      </c>
      <c r="G328" s="7" t="s">
        <v>604</v>
      </c>
      <c r="H328" s="7" t="s">
        <v>594</v>
      </c>
      <c r="I328" s="7" t="s">
        <v>600</v>
      </c>
      <c r="J328" s="7" t="s">
        <v>2177</v>
      </c>
      <c r="K328" s="7">
        <v>1.5</v>
      </c>
      <c r="L328" s="7">
        <v>0.4</v>
      </c>
      <c r="M328" s="7">
        <v>1.5</v>
      </c>
      <c r="N328" s="7">
        <v>2</v>
      </c>
    </row>
    <row r="329" spans="1:17" x14ac:dyDescent="0.2">
      <c r="A329" s="2" t="str">
        <f t="shared" si="11"/>
        <v>5_4</v>
      </c>
      <c r="B329" s="2">
        <v>5</v>
      </c>
      <c r="C329" s="2">
        <v>4</v>
      </c>
      <c r="D329" s="82">
        <v>6</v>
      </c>
      <c r="E329" s="7"/>
      <c r="F329" s="7">
        <v>17.5</v>
      </c>
      <c r="G329" s="7" t="s">
        <v>604</v>
      </c>
      <c r="H329" s="7" t="s">
        <v>600</v>
      </c>
      <c r="I329" s="7" t="s">
        <v>2177</v>
      </c>
      <c r="J329" s="7"/>
      <c r="K329" s="7">
        <v>1.5</v>
      </c>
      <c r="L329" s="7">
        <v>0.5</v>
      </c>
      <c r="M329" s="7">
        <v>2</v>
      </c>
      <c r="N329" s="7"/>
    </row>
    <row r="330" spans="1:17" x14ac:dyDescent="0.2">
      <c r="A330" s="2" t="str">
        <f t="shared" si="11"/>
        <v>5_5</v>
      </c>
      <c r="B330" s="2">
        <v>5</v>
      </c>
      <c r="C330" s="2">
        <v>5</v>
      </c>
      <c r="D330" s="82">
        <v>6</v>
      </c>
      <c r="E330" s="7"/>
      <c r="F330" s="7">
        <v>20</v>
      </c>
      <c r="G330" s="7" t="s">
        <v>604</v>
      </c>
      <c r="H330" s="7" t="s">
        <v>600</v>
      </c>
      <c r="I330" s="7" t="s">
        <v>597</v>
      </c>
      <c r="J330" s="7" t="s">
        <v>2177</v>
      </c>
      <c r="K330" s="7">
        <v>1.5</v>
      </c>
      <c r="L330" s="7">
        <v>0.5</v>
      </c>
      <c r="M330" s="7">
        <v>2</v>
      </c>
      <c r="N330" s="7">
        <v>1</v>
      </c>
    </row>
    <row r="331" spans="1:17" x14ac:dyDescent="0.2">
      <c r="A331" s="2" t="str">
        <f t="shared" si="11"/>
        <v>5_6</v>
      </c>
      <c r="B331" s="2">
        <v>5</v>
      </c>
      <c r="C331" s="2">
        <v>6</v>
      </c>
      <c r="D331" s="82">
        <v>8</v>
      </c>
      <c r="E331" s="7"/>
      <c r="F331" s="7">
        <v>22.5</v>
      </c>
      <c r="G331" s="7" t="s">
        <v>604</v>
      </c>
      <c r="H331" s="7" t="s">
        <v>601</v>
      </c>
      <c r="I331" s="7" t="s">
        <v>598</v>
      </c>
      <c r="J331" s="7" t="s">
        <v>2177</v>
      </c>
      <c r="K331" s="7">
        <v>1.5</v>
      </c>
      <c r="L331" s="7">
        <v>2</v>
      </c>
      <c r="M331" s="7">
        <v>1.5</v>
      </c>
      <c r="N331" s="7">
        <v>1</v>
      </c>
    </row>
    <row r="332" spans="1:17" x14ac:dyDescent="0.2">
      <c r="A332" s="2" t="str">
        <f t="shared" si="11"/>
        <v>5_7</v>
      </c>
      <c r="B332" s="2">
        <v>5</v>
      </c>
      <c r="C332" s="2">
        <v>7</v>
      </c>
      <c r="D332" s="82">
        <v>10</v>
      </c>
      <c r="E332" s="7"/>
      <c r="F332" s="7">
        <v>25</v>
      </c>
      <c r="G332" s="7" t="s">
        <v>604</v>
      </c>
      <c r="H332" s="7" t="s">
        <v>606</v>
      </c>
      <c r="I332" s="7" t="s">
        <v>595</v>
      </c>
      <c r="J332" s="7" t="s">
        <v>2177</v>
      </c>
      <c r="K332" s="7">
        <v>1</v>
      </c>
      <c r="L332" s="7">
        <v>1</v>
      </c>
      <c r="M332" s="7">
        <v>0.2</v>
      </c>
      <c r="N332" s="7">
        <v>1</v>
      </c>
    </row>
    <row r="333" spans="1:17" x14ac:dyDescent="0.2">
      <c r="A333" s="2" t="str">
        <f t="shared" si="11"/>
        <v>5_8</v>
      </c>
      <c r="B333" s="2">
        <v>5</v>
      </c>
      <c r="C333" s="2">
        <v>8</v>
      </c>
      <c r="D333" s="82">
        <v>18</v>
      </c>
      <c r="E333" s="7"/>
      <c r="F333" s="7">
        <v>27.5</v>
      </c>
      <c r="G333" s="7" t="s">
        <v>605</v>
      </c>
      <c r="H333" s="7" t="s">
        <v>606</v>
      </c>
      <c r="I333" s="7" t="s">
        <v>601</v>
      </c>
      <c r="J333" s="7" t="s">
        <v>2178</v>
      </c>
      <c r="K333" s="7">
        <v>0</v>
      </c>
      <c r="L333" s="7">
        <v>0.5</v>
      </c>
      <c r="M333" s="7">
        <v>2</v>
      </c>
      <c r="N333" s="7">
        <v>0</v>
      </c>
    </row>
    <row r="335" spans="1:17" x14ac:dyDescent="0.2">
      <c r="A335" s="5" t="s">
        <v>2186</v>
      </c>
      <c r="E335" s="5"/>
    </row>
    <row r="336" spans="1:17" x14ac:dyDescent="0.2">
      <c r="A336" s="8" t="s">
        <v>665</v>
      </c>
      <c r="B336" s="8" t="s">
        <v>62</v>
      </c>
      <c r="C336" s="8" t="s">
        <v>380</v>
      </c>
      <c r="D336" s="8" t="s">
        <v>381</v>
      </c>
      <c r="E336" s="8" t="s">
        <v>391</v>
      </c>
      <c r="F336" s="8" t="s">
        <v>662</v>
      </c>
      <c r="G336" s="174" t="s">
        <v>26</v>
      </c>
      <c r="H336" s="175"/>
      <c r="I336" s="175"/>
      <c r="J336" s="176"/>
      <c r="K336" s="174" t="s">
        <v>663</v>
      </c>
      <c r="L336" s="175"/>
      <c r="M336" s="175"/>
      <c r="N336" s="176"/>
      <c r="Q336" s="68"/>
    </row>
    <row r="337" spans="1:22" x14ac:dyDescent="0.2">
      <c r="A337" s="2" t="str">
        <f t="shared" ref="A337:A360" si="12">B337&amp;"_"&amp;C337</f>
        <v>1_1</v>
      </c>
      <c r="B337" s="2">
        <v>1</v>
      </c>
      <c r="C337" s="2">
        <v>1</v>
      </c>
      <c r="D337" s="82">
        <v>1</v>
      </c>
      <c r="E337" s="7"/>
      <c r="F337" s="7">
        <v>10</v>
      </c>
      <c r="G337" s="7" t="s">
        <v>590</v>
      </c>
      <c r="H337" s="7" t="s">
        <v>2179</v>
      </c>
      <c r="I337" s="7"/>
      <c r="J337" s="7"/>
      <c r="K337" s="7">
        <v>2</v>
      </c>
      <c r="L337" s="7">
        <v>3</v>
      </c>
      <c r="M337" s="7"/>
      <c r="N337" s="7"/>
    </row>
    <row r="338" spans="1:22" x14ac:dyDescent="0.2">
      <c r="A338" s="2" t="str">
        <f t="shared" si="12"/>
        <v>1_2</v>
      </c>
      <c r="B338" s="2">
        <v>1</v>
      </c>
      <c r="C338" s="2">
        <v>2</v>
      </c>
      <c r="D338" s="82">
        <v>2.4</v>
      </c>
      <c r="E338" s="7"/>
      <c r="F338" s="7">
        <v>12.5</v>
      </c>
      <c r="G338" s="7" t="s">
        <v>590</v>
      </c>
      <c r="H338" s="7" t="s">
        <v>2179</v>
      </c>
      <c r="I338" s="7"/>
      <c r="J338" s="7"/>
      <c r="K338" s="7">
        <v>0.5</v>
      </c>
      <c r="L338" s="7">
        <v>3</v>
      </c>
      <c r="M338" s="7"/>
      <c r="N338" s="7"/>
    </row>
    <row r="339" spans="1:22" x14ac:dyDescent="0.2">
      <c r="A339" s="2" t="str">
        <f t="shared" si="12"/>
        <v>1_3</v>
      </c>
      <c r="B339" s="2">
        <v>1</v>
      </c>
      <c r="C339" s="2">
        <v>3</v>
      </c>
      <c r="D339" s="82">
        <v>3</v>
      </c>
      <c r="E339" s="7"/>
      <c r="F339" s="7">
        <v>15</v>
      </c>
      <c r="G339" s="7" t="s">
        <v>590</v>
      </c>
      <c r="H339" s="7" t="s">
        <v>591</v>
      </c>
      <c r="I339" s="7" t="s">
        <v>2179</v>
      </c>
      <c r="J339" s="7"/>
      <c r="K339" s="7">
        <v>0.5</v>
      </c>
      <c r="L339" s="7">
        <v>3</v>
      </c>
      <c r="M339" s="7">
        <v>1.5</v>
      </c>
      <c r="N339" s="7"/>
      <c r="U339" s="3"/>
      <c r="V339" s="3"/>
    </row>
    <row r="340" spans="1:22" x14ac:dyDescent="0.2">
      <c r="A340" s="2" t="str">
        <f t="shared" si="12"/>
        <v>2_1</v>
      </c>
      <c r="B340" s="2">
        <v>2</v>
      </c>
      <c r="C340" s="2">
        <v>1</v>
      </c>
      <c r="D340" s="82">
        <v>1</v>
      </c>
      <c r="E340" s="7"/>
      <c r="F340" s="7">
        <v>10</v>
      </c>
      <c r="G340" s="7" t="s">
        <v>594</v>
      </c>
      <c r="H340" s="7" t="s">
        <v>2179</v>
      </c>
      <c r="I340" s="7"/>
      <c r="J340" s="7"/>
      <c r="K340" s="7">
        <v>2</v>
      </c>
      <c r="L340" s="7">
        <v>2</v>
      </c>
      <c r="M340" s="7"/>
      <c r="N340" s="7"/>
    </row>
    <row r="341" spans="1:22" x14ac:dyDescent="0.2">
      <c r="A341" s="2" t="str">
        <f t="shared" si="12"/>
        <v>2_2</v>
      </c>
      <c r="B341" s="2">
        <v>2</v>
      </c>
      <c r="C341" s="2">
        <v>2</v>
      </c>
      <c r="D341" s="82">
        <v>3.6</v>
      </c>
      <c r="E341" s="7"/>
      <c r="F341" s="7">
        <v>12.5</v>
      </c>
      <c r="G341" s="7" t="s">
        <v>594</v>
      </c>
      <c r="H341" s="7" t="s">
        <v>591</v>
      </c>
      <c r="I341" s="7" t="s">
        <v>2179</v>
      </c>
      <c r="J341" s="7"/>
      <c r="K341" s="7">
        <v>2</v>
      </c>
      <c r="L341" s="7">
        <v>2</v>
      </c>
      <c r="M341" s="7">
        <v>2</v>
      </c>
      <c r="N341" s="7"/>
      <c r="U341" s="3"/>
      <c r="V341" s="3"/>
    </row>
    <row r="342" spans="1:22" x14ac:dyDescent="0.2">
      <c r="A342" s="2" t="str">
        <f t="shared" si="12"/>
        <v>2_3</v>
      </c>
      <c r="B342" s="2">
        <v>2</v>
      </c>
      <c r="C342" s="2">
        <v>3</v>
      </c>
      <c r="D342" s="82">
        <v>3.6</v>
      </c>
      <c r="E342" s="7"/>
      <c r="F342" s="7">
        <v>15</v>
      </c>
      <c r="G342" s="7" t="s">
        <v>594</v>
      </c>
      <c r="H342" s="7" t="s">
        <v>592</v>
      </c>
      <c r="I342" s="7" t="s">
        <v>2179</v>
      </c>
      <c r="J342" s="7"/>
      <c r="K342" s="7">
        <v>1</v>
      </c>
      <c r="L342" s="7">
        <v>1</v>
      </c>
      <c r="M342" s="7">
        <v>1</v>
      </c>
      <c r="N342" s="7"/>
    </row>
    <row r="343" spans="1:22" x14ac:dyDescent="0.2">
      <c r="A343" s="2" t="str">
        <f t="shared" si="12"/>
        <v>2_4</v>
      </c>
      <c r="B343" s="2">
        <v>2</v>
      </c>
      <c r="C343" s="2">
        <v>4</v>
      </c>
      <c r="D343" s="82">
        <v>5.02734375</v>
      </c>
      <c r="E343" s="7"/>
      <c r="F343" s="7">
        <v>17.5</v>
      </c>
      <c r="G343" s="7" t="s">
        <v>594</v>
      </c>
      <c r="H343" s="7" t="s">
        <v>592</v>
      </c>
      <c r="I343" s="7" t="s">
        <v>591</v>
      </c>
      <c r="J343" s="7" t="s">
        <v>2179</v>
      </c>
      <c r="K343" s="7">
        <v>1</v>
      </c>
      <c r="L343" s="7">
        <v>0.4</v>
      </c>
      <c r="M343" s="7">
        <v>0.5</v>
      </c>
      <c r="N343" s="7">
        <v>1</v>
      </c>
    </row>
    <row r="344" spans="1:22" x14ac:dyDescent="0.2">
      <c r="A344" s="2" t="str">
        <f t="shared" si="12"/>
        <v>2_5</v>
      </c>
      <c r="B344" s="2">
        <v>2</v>
      </c>
      <c r="C344" s="2">
        <v>5</v>
      </c>
      <c r="D344" s="82">
        <v>9.75</v>
      </c>
      <c r="E344" s="7"/>
      <c r="F344" s="7">
        <v>20</v>
      </c>
      <c r="G344" s="7" t="s">
        <v>594</v>
      </c>
      <c r="H344" s="7" t="s">
        <v>592</v>
      </c>
      <c r="I344" s="7" t="s">
        <v>591</v>
      </c>
      <c r="J344" s="7" t="s">
        <v>2179</v>
      </c>
      <c r="K344" s="7">
        <v>0.3</v>
      </c>
      <c r="L344" s="7">
        <v>0.2</v>
      </c>
      <c r="M344" s="7">
        <v>0.5</v>
      </c>
      <c r="N344" s="7">
        <v>1</v>
      </c>
    </row>
    <row r="345" spans="1:22" x14ac:dyDescent="0.2">
      <c r="A345" s="2" t="str">
        <f t="shared" si="12"/>
        <v>3_1</v>
      </c>
      <c r="B345" s="2">
        <v>3</v>
      </c>
      <c r="C345" s="2">
        <v>1</v>
      </c>
      <c r="D345" s="82">
        <v>1.21875</v>
      </c>
      <c r="E345" s="7"/>
      <c r="F345" s="7">
        <v>10</v>
      </c>
      <c r="G345" s="7" t="s">
        <v>597</v>
      </c>
      <c r="H345" s="7" t="s">
        <v>2180</v>
      </c>
      <c r="I345" s="7"/>
      <c r="J345" s="7"/>
      <c r="K345" s="7">
        <v>2</v>
      </c>
      <c r="L345" s="7">
        <v>2</v>
      </c>
      <c r="M345" s="7"/>
      <c r="N345" s="7"/>
      <c r="U345" s="126"/>
    </row>
    <row r="346" spans="1:22" x14ac:dyDescent="0.2">
      <c r="A346" s="2" t="str">
        <f t="shared" si="12"/>
        <v>3_2</v>
      </c>
      <c r="B346" s="2">
        <v>3</v>
      </c>
      <c r="C346" s="2">
        <v>2</v>
      </c>
      <c r="D346" s="82">
        <v>2.4</v>
      </c>
      <c r="E346" s="7"/>
      <c r="F346" s="7">
        <v>12.5</v>
      </c>
      <c r="G346" s="7" t="s">
        <v>597</v>
      </c>
      <c r="H346" s="7" t="s">
        <v>591</v>
      </c>
      <c r="I346" s="7" t="s">
        <v>2180</v>
      </c>
      <c r="J346" s="7"/>
      <c r="K346" s="7">
        <v>2</v>
      </c>
      <c r="L346" s="7">
        <v>2</v>
      </c>
      <c r="M346" s="7">
        <v>2</v>
      </c>
      <c r="N346" s="7"/>
    </row>
    <row r="347" spans="1:22" x14ac:dyDescent="0.2">
      <c r="A347" s="2" t="str">
        <f t="shared" si="12"/>
        <v>3_3</v>
      </c>
      <c r="B347" s="2">
        <v>3</v>
      </c>
      <c r="C347" s="2">
        <v>3</v>
      </c>
      <c r="D347" s="82">
        <v>6</v>
      </c>
      <c r="E347" s="7"/>
      <c r="F347" s="7">
        <v>15</v>
      </c>
      <c r="G347" s="7" t="s">
        <v>597</v>
      </c>
      <c r="H347" s="7" t="s">
        <v>592</v>
      </c>
      <c r="I347" s="7" t="s">
        <v>2180</v>
      </c>
      <c r="J347" s="7"/>
      <c r="K347" s="7">
        <v>2</v>
      </c>
      <c r="L347" s="7">
        <v>1</v>
      </c>
      <c r="M347" s="7">
        <v>2</v>
      </c>
      <c r="N347" s="7"/>
    </row>
    <row r="348" spans="1:22" x14ac:dyDescent="0.2">
      <c r="A348" s="2" t="str">
        <f t="shared" si="12"/>
        <v>4_1</v>
      </c>
      <c r="B348" s="2">
        <v>4</v>
      </c>
      <c r="C348" s="2">
        <v>1</v>
      </c>
      <c r="D348" s="82">
        <v>2.5</v>
      </c>
      <c r="E348" s="7"/>
      <c r="F348" s="7">
        <v>10</v>
      </c>
      <c r="G348" s="7" t="s">
        <v>600</v>
      </c>
      <c r="H348" s="7" t="s">
        <v>2180</v>
      </c>
      <c r="I348" s="7"/>
      <c r="J348" s="7"/>
      <c r="K348" s="7">
        <v>1.5</v>
      </c>
      <c r="L348" s="7">
        <v>2</v>
      </c>
      <c r="M348" s="7"/>
      <c r="N348" s="7"/>
    </row>
    <row r="349" spans="1:22" x14ac:dyDescent="0.2">
      <c r="A349" s="2" t="str">
        <f t="shared" si="12"/>
        <v>4_2</v>
      </c>
      <c r="B349" s="2">
        <v>4</v>
      </c>
      <c r="C349" s="2">
        <v>2</v>
      </c>
      <c r="D349" s="82">
        <v>10</v>
      </c>
      <c r="E349" s="7"/>
      <c r="F349" s="7">
        <v>12.5</v>
      </c>
      <c r="G349" s="7" t="s">
        <v>600</v>
      </c>
      <c r="H349" s="7" t="s">
        <v>591</v>
      </c>
      <c r="I349" s="7" t="s">
        <v>2180</v>
      </c>
      <c r="J349" s="7"/>
      <c r="K349" s="7">
        <v>1.5</v>
      </c>
      <c r="L349" s="7">
        <v>0.5</v>
      </c>
      <c r="M349" s="7">
        <v>2</v>
      </c>
      <c r="N349" s="7"/>
    </row>
    <row r="350" spans="1:22" x14ac:dyDescent="0.2">
      <c r="A350" s="2" t="str">
        <f t="shared" si="12"/>
        <v>4_3</v>
      </c>
      <c r="B350" s="2">
        <v>4</v>
      </c>
      <c r="C350" s="2">
        <v>3</v>
      </c>
      <c r="D350" s="82">
        <v>18</v>
      </c>
      <c r="E350" s="7"/>
      <c r="F350" s="7">
        <v>15</v>
      </c>
      <c r="G350" s="7" t="s">
        <v>600</v>
      </c>
      <c r="H350" s="7" t="s">
        <v>592</v>
      </c>
      <c r="I350" s="7" t="s">
        <v>2180</v>
      </c>
      <c r="J350" s="7"/>
      <c r="K350" s="7">
        <v>1.5</v>
      </c>
      <c r="L350" s="7">
        <v>0.2</v>
      </c>
      <c r="M350" s="7">
        <v>2</v>
      </c>
      <c r="N350" s="7"/>
    </row>
    <row r="351" spans="1:22" x14ac:dyDescent="0.2">
      <c r="A351" s="2" t="str">
        <f t="shared" si="12"/>
        <v>4_4</v>
      </c>
      <c r="B351" s="2">
        <v>4</v>
      </c>
      <c r="C351" s="2">
        <v>4</v>
      </c>
      <c r="D351" s="82">
        <v>3</v>
      </c>
      <c r="E351" s="7"/>
      <c r="F351" s="7">
        <v>17.5</v>
      </c>
      <c r="G351" s="7" t="s">
        <v>600</v>
      </c>
      <c r="H351" s="7" t="s">
        <v>594</v>
      </c>
      <c r="I351" s="7" t="s">
        <v>2180</v>
      </c>
      <c r="J351" s="7"/>
      <c r="K351" s="7">
        <v>1.5</v>
      </c>
      <c r="L351" s="7">
        <v>0.4</v>
      </c>
      <c r="M351" s="7">
        <v>1</v>
      </c>
      <c r="N351" s="7"/>
    </row>
    <row r="352" spans="1:22" x14ac:dyDescent="0.2">
      <c r="A352" s="2" t="str">
        <f t="shared" si="12"/>
        <v>4_5</v>
      </c>
      <c r="B352" s="2">
        <v>4</v>
      </c>
      <c r="C352" s="2">
        <v>5</v>
      </c>
      <c r="D352" s="82">
        <v>3</v>
      </c>
      <c r="E352" s="7"/>
      <c r="F352" s="7">
        <v>20</v>
      </c>
      <c r="G352" s="7" t="s">
        <v>600</v>
      </c>
      <c r="H352" s="7" t="s">
        <v>597</v>
      </c>
      <c r="I352" s="7" t="s">
        <v>2180</v>
      </c>
      <c r="J352" s="7"/>
      <c r="K352" s="7">
        <v>0.5</v>
      </c>
      <c r="L352" s="7">
        <v>2</v>
      </c>
      <c r="M352" s="7">
        <v>1</v>
      </c>
      <c r="N352" s="7"/>
    </row>
    <row r="353" spans="1:22" x14ac:dyDescent="0.2">
      <c r="A353" s="2" t="str">
        <f t="shared" si="12"/>
        <v>5_1</v>
      </c>
      <c r="B353" s="2">
        <v>5</v>
      </c>
      <c r="C353" s="2">
        <v>1</v>
      </c>
      <c r="D353" s="82">
        <v>4.8</v>
      </c>
      <c r="E353" s="7"/>
      <c r="F353" s="7">
        <v>10</v>
      </c>
      <c r="G353" s="7" t="s">
        <v>604</v>
      </c>
      <c r="H353" s="7" t="s">
        <v>2180</v>
      </c>
      <c r="I353" s="7"/>
      <c r="J353" s="7"/>
      <c r="K353" s="7">
        <v>1.5</v>
      </c>
      <c r="L353" s="7">
        <v>2</v>
      </c>
      <c r="M353" s="7"/>
      <c r="N353" s="7"/>
    </row>
    <row r="354" spans="1:22" x14ac:dyDescent="0.2">
      <c r="A354" s="2" t="str">
        <f t="shared" si="12"/>
        <v>5_2</v>
      </c>
      <c r="B354" s="2">
        <v>5</v>
      </c>
      <c r="C354" s="2">
        <v>2</v>
      </c>
      <c r="D354" s="82">
        <v>10</v>
      </c>
      <c r="E354" s="7"/>
      <c r="F354" s="7">
        <v>12.5</v>
      </c>
      <c r="G354" s="7" t="s">
        <v>604</v>
      </c>
      <c r="H354" s="7" t="s">
        <v>592</v>
      </c>
      <c r="I354" s="7" t="s">
        <v>2180</v>
      </c>
      <c r="J354" s="7"/>
      <c r="K354" s="7">
        <v>1.5</v>
      </c>
      <c r="L354" s="7">
        <v>0.2</v>
      </c>
      <c r="M354" s="7">
        <v>2</v>
      </c>
      <c r="N354" s="7"/>
    </row>
    <row r="355" spans="1:22" x14ac:dyDescent="0.2">
      <c r="A355" s="2" t="str">
        <f t="shared" si="12"/>
        <v>5_3</v>
      </c>
      <c r="B355" s="2">
        <v>5</v>
      </c>
      <c r="C355" s="2">
        <v>3</v>
      </c>
      <c r="D355" s="82">
        <v>18</v>
      </c>
      <c r="E355" s="7"/>
      <c r="F355" s="7">
        <v>15</v>
      </c>
      <c r="G355" s="7" t="s">
        <v>604</v>
      </c>
      <c r="H355" s="7" t="s">
        <v>594</v>
      </c>
      <c r="I355" s="7" t="s">
        <v>600</v>
      </c>
      <c r="J355" s="7" t="s">
        <v>2180</v>
      </c>
      <c r="K355" s="7">
        <v>1.5</v>
      </c>
      <c r="L355" s="7">
        <v>0.4</v>
      </c>
      <c r="M355" s="7">
        <v>1.5</v>
      </c>
      <c r="N355" s="7">
        <v>2</v>
      </c>
    </row>
    <row r="356" spans="1:22" x14ac:dyDescent="0.2">
      <c r="A356" s="2" t="str">
        <f t="shared" si="12"/>
        <v>5_4</v>
      </c>
      <c r="B356" s="2">
        <v>5</v>
      </c>
      <c r="C356" s="2">
        <v>4</v>
      </c>
      <c r="D356" s="82">
        <v>6</v>
      </c>
      <c r="E356" s="7"/>
      <c r="F356" s="7">
        <v>17.5</v>
      </c>
      <c r="G356" s="7" t="s">
        <v>604</v>
      </c>
      <c r="H356" s="7" t="s">
        <v>600</v>
      </c>
      <c r="I356" s="7" t="s">
        <v>2180</v>
      </c>
      <c r="J356" s="7"/>
      <c r="K356" s="7">
        <v>1.5</v>
      </c>
      <c r="L356" s="7">
        <v>0.5</v>
      </c>
      <c r="M356" s="7">
        <v>2</v>
      </c>
      <c r="N356" s="7"/>
    </row>
    <row r="357" spans="1:22" x14ac:dyDescent="0.2">
      <c r="A357" s="2" t="str">
        <f t="shared" si="12"/>
        <v>5_5</v>
      </c>
      <c r="B357" s="2">
        <v>5</v>
      </c>
      <c r="C357" s="2">
        <v>5</v>
      </c>
      <c r="D357" s="82">
        <v>6</v>
      </c>
      <c r="E357" s="7"/>
      <c r="F357" s="7">
        <v>20</v>
      </c>
      <c r="G357" s="7" t="s">
        <v>604</v>
      </c>
      <c r="H357" s="7" t="s">
        <v>600</v>
      </c>
      <c r="I357" s="7" t="s">
        <v>597</v>
      </c>
      <c r="J357" s="7" t="s">
        <v>2180</v>
      </c>
      <c r="K357" s="7">
        <v>1.5</v>
      </c>
      <c r="L357" s="7">
        <v>0.5</v>
      </c>
      <c r="M357" s="7">
        <v>2</v>
      </c>
      <c r="N357" s="7">
        <v>1</v>
      </c>
    </row>
    <row r="358" spans="1:22" x14ac:dyDescent="0.2">
      <c r="A358" s="2" t="str">
        <f t="shared" si="12"/>
        <v>5_6</v>
      </c>
      <c r="B358" s="2">
        <v>5</v>
      </c>
      <c r="C358" s="2">
        <v>6</v>
      </c>
      <c r="D358" s="82">
        <v>8</v>
      </c>
      <c r="E358" s="7"/>
      <c r="F358" s="7">
        <v>22.5</v>
      </c>
      <c r="G358" s="7" t="s">
        <v>604</v>
      </c>
      <c r="H358" s="7" t="s">
        <v>601</v>
      </c>
      <c r="I358" s="7" t="s">
        <v>598</v>
      </c>
      <c r="J358" s="7" t="s">
        <v>2180</v>
      </c>
      <c r="K358" s="7">
        <v>1.5</v>
      </c>
      <c r="L358" s="7">
        <v>2</v>
      </c>
      <c r="M358" s="7">
        <v>1.5</v>
      </c>
      <c r="N358" s="7">
        <v>1</v>
      </c>
    </row>
    <row r="359" spans="1:22" x14ac:dyDescent="0.2">
      <c r="A359" s="2" t="str">
        <f t="shared" si="12"/>
        <v>5_7</v>
      </c>
      <c r="B359" s="2">
        <v>5</v>
      </c>
      <c r="C359" s="2">
        <v>7</v>
      </c>
      <c r="D359" s="82">
        <v>10</v>
      </c>
      <c r="E359" s="7"/>
      <c r="F359" s="7">
        <v>25</v>
      </c>
      <c r="G359" s="7" t="s">
        <v>604</v>
      </c>
      <c r="H359" s="7" t="s">
        <v>606</v>
      </c>
      <c r="I359" s="7" t="s">
        <v>595</v>
      </c>
      <c r="J359" s="7" t="s">
        <v>2180</v>
      </c>
      <c r="K359" s="7">
        <v>1</v>
      </c>
      <c r="L359" s="7">
        <v>1</v>
      </c>
      <c r="M359" s="7">
        <v>0.2</v>
      </c>
      <c r="N359" s="7">
        <v>1</v>
      </c>
    </row>
    <row r="360" spans="1:22" x14ac:dyDescent="0.2">
      <c r="A360" s="2" t="str">
        <f t="shared" si="12"/>
        <v>5_8</v>
      </c>
      <c r="B360" s="2">
        <v>5</v>
      </c>
      <c r="C360" s="2">
        <v>8</v>
      </c>
      <c r="D360" s="82">
        <v>18</v>
      </c>
      <c r="E360" s="7"/>
      <c r="F360" s="7">
        <v>27.5</v>
      </c>
      <c r="G360" s="7" t="s">
        <v>605</v>
      </c>
      <c r="H360" s="7" t="s">
        <v>606</v>
      </c>
      <c r="I360" s="7" t="s">
        <v>601</v>
      </c>
      <c r="J360" s="7" t="s">
        <v>2181</v>
      </c>
      <c r="K360" s="7">
        <v>0</v>
      </c>
      <c r="L360" s="7">
        <v>0.5</v>
      </c>
      <c r="M360" s="7">
        <v>2</v>
      </c>
      <c r="N360" s="7">
        <v>0</v>
      </c>
    </row>
    <row r="362" spans="1:22" x14ac:dyDescent="0.2">
      <c r="A362" s="5" t="s">
        <v>2187</v>
      </c>
      <c r="E362" s="5"/>
    </row>
    <row r="363" spans="1:22" x14ac:dyDescent="0.2">
      <c r="A363" s="8" t="s">
        <v>665</v>
      </c>
      <c r="B363" s="8" t="s">
        <v>62</v>
      </c>
      <c r="C363" s="8" t="s">
        <v>380</v>
      </c>
      <c r="D363" s="8" t="s">
        <v>381</v>
      </c>
      <c r="E363" s="8" t="s">
        <v>391</v>
      </c>
      <c r="F363" s="8" t="s">
        <v>662</v>
      </c>
      <c r="G363" s="174" t="s">
        <v>26</v>
      </c>
      <c r="H363" s="175"/>
      <c r="I363" s="175"/>
      <c r="J363" s="176"/>
      <c r="K363" s="174" t="s">
        <v>663</v>
      </c>
      <c r="L363" s="175"/>
      <c r="M363" s="175"/>
      <c r="N363" s="176"/>
      <c r="Q363" s="68"/>
    </row>
    <row r="364" spans="1:22" x14ac:dyDescent="0.2">
      <c r="A364" s="2" t="str">
        <f t="shared" ref="A364:A387" si="13">B364&amp;"_"&amp;C364</f>
        <v>1_1</v>
      </c>
      <c r="B364" s="2">
        <v>1</v>
      </c>
      <c r="C364" s="2">
        <v>1</v>
      </c>
      <c r="D364" s="82">
        <v>1</v>
      </c>
      <c r="E364" s="7"/>
      <c r="F364" s="7">
        <v>10</v>
      </c>
      <c r="G364" s="7" t="s">
        <v>590</v>
      </c>
      <c r="H364" s="7" t="s">
        <v>2182</v>
      </c>
      <c r="I364" s="7"/>
      <c r="J364" s="7"/>
      <c r="K364" s="7">
        <v>2</v>
      </c>
      <c r="L364" s="7">
        <v>3</v>
      </c>
      <c r="M364" s="7"/>
      <c r="N364" s="7"/>
    </row>
    <row r="365" spans="1:22" x14ac:dyDescent="0.2">
      <c r="A365" s="2" t="str">
        <f t="shared" si="13"/>
        <v>1_2</v>
      </c>
      <c r="B365" s="2">
        <v>1</v>
      </c>
      <c r="C365" s="2">
        <v>2</v>
      </c>
      <c r="D365" s="82">
        <v>2.4</v>
      </c>
      <c r="E365" s="7"/>
      <c r="F365" s="7">
        <v>12.5</v>
      </c>
      <c r="G365" s="7" t="s">
        <v>590</v>
      </c>
      <c r="H365" s="7" t="s">
        <v>2182</v>
      </c>
      <c r="I365" s="7"/>
      <c r="J365" s="7"/>
      <c r="K365" s="7">
        <v>0.5</v>
      </c>
      <c r="L365" s="7">
        <v>3</v>
      </c>
      <c r="M365" s="7"/>
      <c r="N365" s="7"/>
    </row>
    <row r="366" spans="1:22" x14ac:dyDescent="0.2">
      <c r="A366" s="2" t="str">
        <f t="shared" si="13"/>
        <v>1_3</v>
      </c>
      <c r="B366" s="2">
        <v>1</v>
      </c>
      <c r="C366" s="2">
        <v>3</v>
      </c>
      <c r="D366" s="82">
        <v>3</v>
      </c>
      <c r="E366" s="7"/>
      <c r="F366" s="7">
        <v>15</v>
      </c>
      <c r="G366" s="7" t="s">
        <v>590</v>
      </c>
      <c r="H366" s="7" t="s">
        <v>591</v>
      </c>
      <c r="I366" s="7" t="s">
        <v>2182</v>
      </c>
      <c r="J366" s="7"/>
      <c r="K366" s="7">
        <v>0.5</v>
      </c>
      <c r="L366" s="7">
        <v>3</v>
      </c>
      <c r="M366" s="7">
        <v>1.5</v>
      </c>
      <c r="N366" s="7"/>
      <c r="U366" s="3"/>
      <c r="V366" s="3"/>
    </row>
    <row r="367" spans="1:22" x14ac:dyDescent="0.2">
      <c r="A367" s="2" t="str">
        <f t="shared" si="13"/>
        <v>2_1</v>
      </c>
      <c r="B367" s="2">
        <v>2</v>
      </c>
      <c r="C367" s="2">
        <v>1</v>
      </c>
      <c r="D367" s="82">
        <v>1</v>
      </c>
      <c r="E367" s="7"/>
      <c r="F367" s="7">
        <v>10</v>
      </c>
      <c r="G367" s="7" t="s">
        <v>594</v>
      </c>
      <c r="H367" s="7" t="s">
        <v>2182</v>
      </c>
      <c r="I367" s="7"/>
      <c r="J367" s="7"/>
      <c r="K367" s="7">
        <v>2</v>
      </c>
      <c r="L367" s="7">
        <v>2</v>
      </c>
      <c r="M367" s="7"/>
      <c r="N367" s="7"/>
    </row>
    <row r="368" spans="1:22" x14ac:dyDescent="0.2">
      <c r="A368" s="2" t="str">
        <f t="shared" si="13"/>
        <v>2_2</v>
      </c>
      <c r="B368" s="2">
        <v>2</v>
      </c>
      <c r="C368" s="2">
        <v>2</v>
      </c>
      <c r="D368" s="82">
        <v>3.6</v>
      </c>
      <c r="E368" s="7"/>
      <c r="F368" s="7">
        <v>12.5</v>
      </c>
      <c r="G368" s="7" t="s">
        <v>594</v>
      </c>
      <c r="H368" s="7" t="s">
        <v>591</v>
      </c>
      <c r="I368" s="7" t="s">
        <v>2182</v>
      </c>
      <c r="J368" s="7"/>
      <c r="K368" s="7">
        <v>2</v>
      </c>
      <c r="L368" s="7">
        <v>2</v>
      </c>
      <c r="M368" s="7">
        <v>2</v>
      </c>
      <c r="N368" s="7"/>
      <c r="U368" s="3"/>
      <c r="V368" s="3"/>
    </row>
    <row r="369" spans="1:21" x14ac:dyDescent="0.2">
      <c r="A369" s="2" t="str">
        <f t="shared" si="13"/>
        <v>2_3</v>
      </c>
      <c r="B369" s="2">
        <v>2</v>
      </c>
      <c r="C369" s="2">
        <v>3</v>
      </c>
      <c r="D369" s="82">
        <v>3.6</v>
      </c>
      <c r="E369" s="7"/>
      <c r="F369" s="7">
        <v>15</v>
      </c>
      <c r="G369" s="7" t="s">
        <v>594</v>
      </c>
      <c r="H369" s="7" t="s">
        <v>592</v>
      </c>
      <c r="I369" s="7" t="s">
        <v>2182</v>
      </c>
      <c r="J369" s="7"/>
      <c r="K369" s="7">
        <v>1</v>
      </c>
      <c r="L369" s="7">
        <v>1</v>
      </c>
      <c r="M369" s="7">
        <v>1</v>
      </c>
      <c r="N369" s="7"/>
    </row>
    <row r="370" spans="1:21" x14ac:dyDescent="0.2">
      <c r="A370" s="2" t="str">
        <f t="shared" si="13"/>
        <v>2_4</v>
      </c>
      <c r="B370" s="2">
        <v>2</v>
      </c>
      <c r="C370" s="2">
        <v>4</v>
      </c>
      <c r="D370" s="82">
        <v>5.02734375</v>
      </c>
      <c r="E370" s="7"/>
      <c r="F370" s="7">
        <v>17.5</v>
      </c>
      <c r="G370" s="7" t="s">
        <v>594</v>
      </c>
      <c r="H370" s="7" t="s">
        <v>592</v>
      </c>
      <c r="I370" s="7" t="s">
        <v>591</v>
      </c>
      <c r="J370" s="7" t="s">
        <v>2182</v>
      </c>
      <c r="K370" s="7">
        <v>1</v>
      </c>
      <c r="L370" s="7">
        <v>0.4</v>
      </c>
      <c r="M370" s="7">
        <v>0.5</v>
      </c>
      <c r="N370" s="7">
        <v>1</v>
      </c>
    </row>
    <row r="371" spans="1:21" x14ac:dyDescent="0.2">
      <c r="A371" s="2" t="str">
        <f t="shared" si="13"/>
        <v>2_5</v>
      </c>
      <c r="B371" s="2">
        <v>2</v>
      </c>
      <c r="C371" s="2">
        <v>5</v>
      </c>
      <c r="D371" s="82">
        <v>9.75</v>
      </c>
      <c r="E371" s="7"/>
      <c r="F371" s="7">
        <v>20</v>
      </c>
      <c r="G371" s="7" t="s">
        <v>594</v>
      </c>
      <c r="H371" s="7" t="s">
        <v>592</v>
      </c>
      <c r="I371" s="7" t="s">
        <v>591</v>
      </c>
      <c r="J371" s="7" t="s">
        <v>2182</v>
      </c>
      <c r="K371" s="7">
        <v>0.3</v>
      </c>
      <c r="L371" s="7">
        <v>0.2</v>
      </c>
      <c r="M371" s="7">
        <v>0.5</v>
      </c>
      <c r="N371" s="7">
        <v>1</v>
      </c>
    </row>
    <row r="372" spans="1:21" x14ac:dyDescent="0.2">
      <c r="A372" s="2" t="str">
        <f t="shared" si="13"/>
        <v>3_1</v>
      </c>
      <c r="B372" s="2">
        <v>3</v>
      </c>
      <c r="C372" s="2">
        <v>1</v>
      </c>
      <c r="D372" s="82">
        <v>1.21875</v>
      </c>
      <c r="E372" s="7"/>
      <c r="F372" s="7">
        <v>10</v>
      </c>
      <c r="G372" s="7" t="s">
        <v>597</v>
      </c>
      <c r="H372" s="7" t="s">
        <v>2183</v>
      </c>
      <c r="I372" s="7"/>
      <c r="J372" s="7"/>
      <c r="K372" s="7">
        <v>2</v>
      </c>
      <c r="L372" s="7">
        <v>2</v>
      </c>
      <c r="M372" s="7"/>
      <c r="N372" s="7"/>
      <c r="U372" s="126"/>
    </row>
    <row r="373" spans="1:21" x14ac:dyDescent="0.2">
      <c r="A373" s="2" t="str">
        <f t="shared" si="13"/>
        <v>3_2</v>
      </c>
      <c r="B373" s="2">
        <v>3</v>
      </c>
      <c r="C373" s="2">
        <v>2</v>
      </c>
      <c r="D373" s="82">
        <v>2.4</v>
      </c>
      <c r="E373" s="7"/>
      <c r="F373" s="7">
        <v>12.5</v>
      </c>
      <c r="G373" s="7" t="s">
        <v>597</v>
      </c>
      <c r="H373" s="7" t="s">
        <v>591</v>
      </c>
      <c r="I373" s="7" t="s">
        <v>2183</v>
      </c>
      <c r="J373" s="7"/>
      <c r="K373" s="7">
        <v>2</v>
      </c>
      <c r="L373" s="7">
        <v>2</v>
      </c>
      <c r="M373" s="7">
        <v>2</v>
      </c>
      <c r="N373" s="7"/>
    </row>
    <row r="374" spans="1:21" x14ac:dyDescent="0.2">
      <c r="A374" s="2" t="str">
        <f t="shared" si="13"/>
        <v>3_3</v>
      </c>
      <c r="B374" s="2">
        <v>3</v>
      </c>
      <c r="C374" s="2">
        <v>3</v>
      </c>
      <c r="D374" s="82">
        <v>6</v>
      </c>
      <c r="E374" s="7"/>
      <c r="F374" s="7">
        <v>15</v>
      </c>
      <c r="G374" s="7" t="s">
        <v>597</v>
      </c>
      <c r="H374" s="7" t="s">
        <v>592</v>
      </c>
      <c r="I374" s="7" t="s">
        <v>2183</v>
      </c>
      <c r="J374" s="7"/>
      <c r="K374" s="7">
        <v>2</v>
      </c>
      <c r="L374" s="7">
        <v>1</v>
      </c>
      <c r="M374" s="7">
        <v>2</v>
      </c>
      <c r="N374" s="7"/>
    </row>
    <row r="375" spans="1:21" x14ac:dyDescent="0.2">
      <c r="A375" s="2" t="str">
        <f t="shared" si="13"/>
        <v>4_1</v>
      </c>
      <c r="B375" s="2">
        <v>4</v>
      </c>
      <c r="C375" s="2">
        <v>1</v>
      </c>
      <c r="D375" s="82">
        <v>2.5</v>
      </c>
      <c r="E375" s="7"/>
      <c r="F375" s="7">
        <v>10</v>
      </c>
      <c r="G375" s="7" t="s">
        <v>600</v>
      </c>
      <c r="H375" s="7" t="s">
        <v>2183</v>
      </c>
      <c r="I375" s="7"/>
      <c r="J375" s="7"/>
      <c r="K375" s="7">
        <v>1.5</v>
      </c>
      <c r="L375" s="7">
        <v>2</v>
      </c>
      <c r="M375" s="7"/>
      <c r="N375" s="7"/>
    </row>
    <row r="376" spans="1:21" x14ac:dyDescent="0.2">
      <c r="A376" s="2" t="str">
        <f t="shared" si="13"/>
        <v>4_2</v>
      </c>
      <c r="B376" s="2">
        <v>4</v>
      </c>
      <c r="C376" s="2">
        <v>2</v>
      </c>
      <c r="D376" s="82">
        <v>10</v>
      </c>
      <c r="E376" s="7"/>
      <c r="F376" s="7">
        <v>12.5</v>
      </c>
      <c r="G376" s="7" t="s">
        <v>600</v>
      </c>
      <c r="H376" s="7" t="s">
        <v>591</v>
      </c>
      <c r="I376" s="7" t="s">
        <v>2183</v>
      </c>
      <c r="J376" s="7"/>
      <c r="K376" s="7">
        <v>1.5</v>
      </c>
      <c r="L376" s="7">
        <v>0.5</v>
      </c>
      <c r="M376" s="7">
        <v>2</v>
      </c>
      <c r="N376" s="7"/>
    </row>
    <row r="377" spans="1:21" x14ac:dyDescent="0.2">
      <c r="A377" s="2" t="str">
        <f t="shared" si="13"/>
        <v>4_3</v>
      </c>
      <c r="B377" s="2">
        <v>4</v>
      </c>
      <c r="C377" s="2">
        <v>3</v>
      </c>
      <c r="D377" s="82">
        <v>18</v>
      </c>
      <c r="E377" s="7"/>
      <c r="F377" s="7">
        <v>15</v>
      </c>
      <c r="G377" s="7" t="s">
        <v>600</v>
      </c>
      <c r="H377" s="7" t="s">
        <v>592</v>
      </c>
      <c r="I377" s="7" t="s">
        <v>2183</v>
      </c>
      <c r="J377" s="7"/>
      <c r="K377" s="7">
        <v>1.5</v>
      </c>
      <c r="L377" s="7">
        <v>0.2</v>
      </c>
      <c r="M377" s="7">
        <v>2</v>
      </c>
      <c r="N377" s="7"/>
    </row>
    <row r="378" spans="1:21" x14ac:dyDescent="0.2">
      <c r="A378" s="2" t="str">
        <f t="shared" si="13"/>
        <v>4_4</v>
      </c>
      <c r="B378" s="2">
        <v>4</v>
      </c>
      <c r="C378" s="2">
        <v>4</v>
      </c>
      <c r="D378" s="82">
        <v>3</v>
      </c>
      <c r="E378" s="7"/>
      <c r="F378" s="7">
        <v>17.5</v>
      </c>
      <c r="G378" s="7" t="s">
        <v>600</v>
      </c>
      <c r="H378" s="7" t="s">
        <v>594</v>
      </c>
      <c r="I378" s="7" t="s">
        <v>2183</v>
      </c>
      <c r="J378" s="7"/>
      <c r="K378" s="7">
        <v>1.5</v>
      </c>
      <c r="L378" s="7">
        <v>0.4</v>
      </c>
      <c r="M378" s="7">
        <v>1</v>
      </c>
      <c r="N378" s="7"/>
    </row>
    <row r="379" spans="1:21" x14ac:dyDescent="0.2">
      <c r="A379" s="2" t="str">
        <f t="shared" si="13"/>
        <v>4_5</v>
      </c>
      <c r="B379" s="2">
        <v>4</v>
      </c>
      <c r="C379" s="2">
        <v>5</v>
      </c>
      <c r="D379" s="82">
        <v>3</v>
      </c>
      <c r="E379" s="7"/>
      <c r="F379" s="7">
        <v>20</v>
      </c>
      <c r="G379" s="7" t="s">
        <v>600</v>
      </c>
      <c r="H379" s="7" t="s">
        <v>597</v>
      </c>
      <c r="I379" s="7" t="s">
        <v>2183</v>
      </c>
      <c r="J379" s="7"/>
      <c r="K379" s="7">
        <v>0.5</v>
      </c>
      <c r="L379" s="7">
        <v>2</v>
      </c>
      <c r="M379" s="7">
        <v>1</v>
      </c>
      <c r="N379" s="7"/>
    </row>
    <row r="380" spans="1:21" x14ac:dyDescent="0.2">
      <c r="A380" s="2" t="str">
        <f t="shared" si="13"/>
        <v>5_1</v>
      </c>
      <c r="B380" s="2">
        <v>5</v>
      </c>
      <c r="C380" s="2">
        <v>1</v>
      </c>
      <c r="D380" s="82">
        <v>4.8</v>
      </c>
      <c r="E380" s="7"/>
      <c r="F380" s="7">
        <v>10</v>
      </c>
      <c r="G380" s="7" t="s">
        <v>604</v>
      </c>
      <c r="H380" s="7" t="s">
        <v>2183</v>
      </c>
      <c r="I380" s="7"/>
      <c r="J380" s="7"/>
      <c r="K380" s="7">
        <v>1.5</v>
      </c>
      <c r="L380" s="7">
        <v>2</v>
      </c>
      <c r="M380" s="7"/>
      <c r="N380" s="7"/>
    </row>
    <row r="381" spans="1:21" x14ac:dyDescent="0.2">
      <c r="A381" s="2" t="str">
        <f t="shared" si="13"/>
        <v>5_2</v>
      </c>
      <c r="B381" s="2">
        <v>5</v>
      </c>
      <c r="C381" s="2">
        <v>2</v>
      </c>
      <c r="D381" s="82">
        <v>10</v>
      </c>
      <c r="E381" s="7"/>
      <c r="F381" s="7">
        <v>12.5</v>
      </c>
      <c r="G381" s="7" t="s">
        <v>604</v>
      </c>
      <c r="H381" s="7" t="s">
        <v>592</v>
      </c>
      <c r="I381" s="7" t="s">
        <v>2183</v>
      </c>
      <c r="J381" s="7"/>
      <c r="K381" s="7">
        <v>1.5</v>
      </c>
      <c r="L381" s="7">
        <v>0.2</v>
      </c>
      <c r="M381" s="7">
        <v>2</v>
      </c>
      <c r="N381" s="7"/>
    </row>
    <row r="382" spans="1:21" x14ac:dyDescent="0.2">
      <c r="A382" s="2" t="str">
        <f t="shared" si="13"/>
        <v>5_3</v>
      </c>
      <c r="B382" s="2">
        <v>5</v>
      </c>
      <c r="C382" s="2">
        <v>3</v>
      </c>
      <c r="D382" s="82">
        <v>18</v>
      </c>
      <c r="E382" s="7"/>
      <c r="F382" s="7">
        <v>15</v>
      </c>
      <c r="G382" s="7" t="s">
        <v>604</v>
      </c>
      <c r="H382" s="7" t="s">
        <v>594</v>
      </c>
      <c r="I382" s="7" t="s">
        <v>600</v>
      </c>
      <c r="J382" s="7" t="s">
        <v>2183</v>
      </c>
      <c r="K382" s="7">
        <v>1.5</v>
      </c>
      <c r="L382" s="7">
        <v>0.4</v>
      </c>
      <c r="M382" s="7">
        <v>1.5</v>
      </c>
      <c r="N382" s="7">
        <v>2</v>
      </c>
    </row>
    <row r="383" spans="1:21" x14ac:dyDescent="0.2">
      <c r="A383" s="2" t="str">
        <f t="shared" si="13"/>
        <v>5_4</v>
      </c>
      <c r="B383" s="2">
        <v>5</v>
      </c>
      <c r="C383" s="2">
        <v>4</v>
      </c>
      <c r="D383" s="82">
        <v>6</v>
      </c>
      <c r="E383" s="7"/>
      <c r="F383" s="7">
        <v>17.5</v>
      </c>
      <c r="G383" s="7" t="s">
        <v>604</v>
      </c>
      <c r="H383" s="7" t="s">
        <v>600</v>
      </c>
      <c r="I383" s="7" t="s">
        <v>2183</v>
      </c>
      <c r="J383" s="7"/>
      <c r="K383" s="7">
        <v>1.5</v>
      </c>
      <c r="L383" s="7">
        <v>0.5</v>
      </c>
      <c r="M383" s="7">
        <v>2</v>
      </c>
      <c r="N383" s="7"/>
    </row>
    <row r="384" spans="1:21" x14ac:dyDescent="0.2">
      <c r="A384" s="2" t="str">
        <f t="shared" si="13"/>
        <v>5_5</v>
      </c>
      <c r="B384" s="2">
        <v>5</v>
      </c>
      <c r="C384" s="2">
        <v>5</v>
      </c>
      <c r="D384" s="82">
        <v>6</v>
      </c>
      <c r="E384" s="7"/>
      <c r="F384" s="7">
        <v>20</v>
      </c>
      <c r="G384" s="7" t="s">
        <v>604</v>
      </c>
      <c r="H384" s="7" t="s">
        <v>600</v>
      </c>
      <c r="I384" s="7" t="s">
        <v>597</v>
      </c>
      <c r="J384" s="7" t="s">
        <v>2183</v>
      </c>
      <c r="K384" s="7">
        <v>1.5</v>
      </c>
      <c r="L384" s="7">
        <v>0.5</v>
      </c>
      <c r="M384" s="7">
        <v>2</v>
      </c>
      <c r="N384" s="7">
        <v>1</v>
      </c>
    </row>
    <row r="385" spans="1:14" x14ac:dyDescent="0.2">
      <c r="A385" s="2" t="str">
        <f t="shared" si="13"/>
        <v>5_6</v>
      </c>
      <c r="B385" s="2">
        <v>5</v>
      </c>
      <c r="C385" s="2">
        <v>6</v>
      </c>
      <c r="D385" s="82">
        <v>8</v>
      </c>
      <c r="E385" s="7"/>
      <c r="F385" s="7">
        <v>22.5</v>
      </c>
      <c r="G385" s="7" t="s">
        <v>604</v>
      </c>
      <c r="H385" s="7" t="s">
        <v>601</v>
      </c>
      <c r="I385" s="7" t="s">
        <v>598</v>
      </c>
      <c r="J385" s="7" t="s">
        <v>2183</v>
      </c>
      <c r="K385" s="7">
        <v>1.5</v>
      </c>
      <c r="L385" s="7">
        <v>2</v>
      </c>
      <c r="M385" s="7">
        <v>1.5</v>
      </c>
      <c r="N385" s="7">
        <v>1</v>
      </c>
    </row>
    <row r="386" spans="1:14" x14ac:dyDescent="0.2">
      <c r="A386" s="2" t="str">
        <f t="shared" si="13"/>
        <v>5_7</v>
      </c>
      <c r="B386" s="2">
        <v>5</v>
      </c>
      <c r="C386" s="2">
        <v>7</v>
      </c>
      <c r="D386" s="82">
        <v>10</v>
      </c>
      <c r="E386" s="7"/>
      <c r="F386" s="7">
        <v>25</v>
      </c>
      <c r="G386" s="7" t="s">
        <v>604</v>
      </c>
      <c r="H386" s="7" t="s">
        <v>606</v>
      </c>
      <c r="I386" s="7" t="s">
        <v>595</v>
      </c>
      <c r="J386" s="7" t="s">
        <v>2183</v>
      </c>
      <c r="K386" s="7">
        <v>1</v>
      </c>
      <c r="L386" s="7">
        <v>1</v>
      </c>
      <c r="M386" s="7">
        <v>0.2</v>
      </c>
      <c r="N386" s="7">
        <v>1</v>
      </c>
    </row>
    <row r="387" spans="1:14" x14ac:dyDescent="0.2">
      <c r="A387" s="2" t="str">
        <f t="shared" si="13"/>
        <v>5_8</v>
      </c>
      <c r="B387" s="2">
        <v>5</v>
      </c>
      <c r="C387" s="2">
        <v>8</v>
      </c>
      <c r="D387" s="82">
        <v>18</v>
      </c>
      <c r="E387" s="7"/>
      <c r="F387" s="7">
        <v>27.5</v>
      </c>
      <c r="G387" s="7" t="s">
        <v>605</v>
      </c>
      <c r="H387" s="7" t="s">
        <v>606</v>
      </c>
      <c r="I387" s="7" t="s">
        <v>601</v>
      </c>
      <c r="J387" s="7" t="s">
        <v>2184</v>
      </c>
      <c r="K387" s="7">
        <v>0</v>
      </c>
      <c r="L387" s="7">
        <v>0.5</v>
      </c>
      <c r="M387" s="7">
        <v>2</v>
      </c>
      <c r="N387" s="7">
        <v>0</v>
      </c>
    </row>
    <row r="392" spans="1:14" ht="18" x14ac:dyDescent="0.25">
      <c r="A392" s="28" t="s">
        <v>11</v>
      </c>
    </row>
    <row r="394" spans="1:14" ht="18" x14ac:dyDescent="0.25">
      <c r="A394" s="28" t="s">
        <v>937</v>
      </c>
    </row>
    <row r="395" spans="1:14" s="4" customFormat="1" x14ac:dyDescent="0.2">
      <c r="A395" s="4" t="s">
        <v>936</v>
      </c>
    </row>
    <row r="396" spans="1:14" x14ac:dyDescent="0.2">
      <c r="A396" s="6" t="s">
        <v>2232</v>
      </c>
    </row>
    <row r="397" spans="1:14" x14ac:dyDescent="0.2">
      <c r="A397" s="6" t="s">
        <v>2204</v>
      </c>
    </row>
    <row r="398" spans="1:14" x14ac:dyDescent="0.2">
      <c r="A398" s="6" t="s">
        <v>2205</v>
      </c>
    </row>
    <row r="399" spans="1:14" x14ac:dyDescent="0.2">
      <c r="A399" s="6" t="s">
        <v>2235</v>
      </c>
      <c r="B399" s="162">
        <v>0.5</v>
      </c>
    </row>
    <row r="400" spans="1:14" x14ac:dyDescent="0.2">
      <c r="A400" s="6" t="s">
        <v>2236</v>
      </c>
      <c r="B400" s="6">
        <v>7</v>
      </c>
    </row>
    <row r="402" spans="1:4" x14ac:dyDescent="0.2">
      <c r="A402" s="90" t="s">
        <v>2258</v>
      </c>
    </row>
    <row r="403" spans="1:4" x14ac:dyDescent="0.2">
      <c r="A403" s="6" t="s">
        <v>2269</v>
      </c>
      <c r="B403" s="6" t="s">
        <v>2266</v>
      </c>
      <c r="C403" s="6" t="s">
        <v>2268</v>
      </c>
      <c r="D403" s="6" t="s">
        <v>2267</v>
      </c>
    </row>
    <row r="404" spans="1:4" x14ac:dyDescent="0.2">
      <c r="A404" s="136" t="s">
        <v>2280</v>
      </c>
      <c r="B404" s="6" t="s">
        <v>2071</v>
      </c>
      <c r="C404" s="7">
        <v>200</v>
      </c>
      <c r="D404" s="6">
        <f>1/C404</f>
        <v>5.0000000000000001E-3</v>
      </c>
    </row>
    <row r="405" spans="1:4" x14ac:dyDescent="0.2">
      <c r="A405" s="136" t="s">
        <v>2263</v>
      </c>
      <c r="B405" s="6" t="s">
        <v>2264</v>
      </c>
      <c r="C405" s="7">
        <v>1</v>
      </c>
      <c r="D405" s="6">
        <f t="shared" ref="D405:D414" si="14">1/C405</f>
        <v>1</v>
      </c>
    </row>
    <row r="406" spans="1:4" x14ac:dyDescent="0.2">
      <c r="A406" s="136" t="s">
        <v>2246</v>
      </c>
      <c r="B406" s="6" t="s">
        <v>2261</v>
      </c>
      <c r="C406" s="7">
        <v>3</v>
      </c>
      <c r="D406" s="6">
        <f t="shared" si="14"/>
        <v>0.33333333333333331</v>
      </c>
    </row>
    <row r="407" spans="1:4" x14ac:dyDescent="0.2">
      <c r="A407" s="136" t="s">
        <v>2240</v>
      </c>
      <c r="B407" s="6" t="s">
        <v>2259</v>
      </c>
      <c r="C407" s="7">
        <v>1</v>
      </c>
      <c r="D407" s="6">
        <f t="shared" si="14"/>
        <v>1</v>
      </c>
    </row>
    <row r="408" spans="1:4" x14ac:dyDescent="0.2">
      <c r="A408" s="136" t="s">
        <v>2244</v>
      </c>
      <c r="B408" s="6" t="s">
        <v>2260</v>
      </c>
      <c r="C408" s="7">
        <v>1</v>
      </c>
      <c r="D408" s="6">
        <f t="shared" si="14"/>
        <v>1</v>
      </c>
    </row>
    <row r="409" spans="1:4" x14ac:dyDescent="0.2">
      <c r="A409" s="136" t="s">
        <v>2249</v>
      </c>
      <c r="B409" s="6" t="s">
        <v>2262</v>
      </c>
      <c r="C409" s="7">
        <f>C408/20</f>
        <v>0.05</v>
      </c>
      <c r="D409" s="6">
        <f t="shared" si="14"/>
        <v>20</v>
      </c>
    </row>
    <row r="410" spans="1:4" x14ac:dyDescent="0.2">
      <c r="A410" s="136" t="s">
        <v>2241</v>
      </c>
      <c r="B410" s="6" t="s">
        <v>2265</v>
      </c>
      <c r="C410" s="7">
        <v>200</v>
      </c>
      <c r="D410" s="6">
        <f t="shared" si="14"/>
        <v>5.0000000000000001E-3</v>
      </c>
    </row>
    <row r="411" spans="1:4" x14ac:dyDescent="0.2">
      <c r="A411" s="136" t="s">
        <v>2243</v>
      </c>
      <c r="B411" s="6" t="s">
        <v>2265</v>
      </c>
      <c r="C411" s="7">
        <v>200</v>
      </c>
      <c r="D411" s="6">
        <f t="shared" si="14"/>
        <v>5.0000000000000001E-3</v>
      </c>
    </row>
    <row r="412" spans="1:4" x14ac:dyDescent="0.2">
      <c r="A412" s="136" t="s">
        <v>2245</v>
      </c>
      <c r="B412" s="6" t="s">
        <v>2260</v>
      </c>
      <c r="C412" s="7">
        <v>1</v>
      </c>
      <c r="D412" s="6">
        <f t="shared" si="14"/>
        <v>1</v>
      </c>
    </row>
    <row r="413" spans="1:4" x14ac:dyDescent="0.2">
      <c r="A413" s="136" t="s">
        <v>2248</v>
      </c>
      <c r="B413" s="6" t="s">
        <v>2265</v>
      </c>
      <c r="C413" s="7">
        <v>200</v>
      </c>
      <c r="D413" s="6">
        <f t="shared" si="14"/>
        <v>5.0000000000000001E-3</v>
      </c>
    </row>
    <row r="414" spans="1:4" x14ac:dyDescent="0.2">
      <c r="A414" s="136" t="s">
        <v>2277</v>
      </c>
      <c r="B414" s="6" t="s">
        <v>2278</v>
      </c>
      <c r="C414" s="7">
        <f>0.05*30</f>
        <v>1.5</v>
      </c>
      <c r="D414" s="6">
        <f t="shared" si="14"/>
        <v>0.66666666666666663</v>
      </c>
    </row>
    <row r="416" spans="1:4" x14ac:dyDescent="0.2">
      <c r="A416" s="90" t="s">
        <v>2254</v>
      </c>
    </row>
    <row r="417" spans="1:9" x14ac:dyDescent="0.2">
      <c r="A417" s="136" t="s">
        <v>2239</v>
      </c>
      <c r="B417" s="136" t="s">
        <v>2251</v>
      </c>
      <c r="C417" s="136" t="s">
        <v>2270</v>
      </c>
      <c r="D417" s="136" t="s">
        <v>2271</v>
      </c>
      <c r="E417" s="165" t="s">
        <v>2273</v>
      </c>
      <c r="F417" s="165" t="s">
        <v>2274</v>
      </c>
      <c r="G417" s="165" t="s">
        <v>2275</v>
      </c>
      <c r="H417" s="165" t="s">
        <v>2272</v>
      </c>
      <c r="I417" s="165" t="s">
        <v>2276</v>
      </c>
    </row>
    <row r="418" spans="1:9" x14ac:dyDescent="0.2">
      <c r="A418" s="136" t="s">
        <v>2240</v>
      </c>
      <c r="B418" s="7">
        <v>1</v>
      </c>
      <c r="C418" s="164">
        <f t="shared" ref="C418:C428" si="15">B418/SUM($B$418:$B$428)*$B$399</f>
        <v>4.5454545454545456E-2</v>
      </c>
      <c r="D418" s="6">
        <v>10</v>
      </c>
      <c r="E418" s="6">
        <v>13</v>
      </c>
      <c r="F418" s="6">
        <f>VLOOKUP($A418,$A$404:$D$414,4,FALSE)*D418</f>
        <v>10</v>
      </c>
      <c r="G418" s="6">
        <f>VLOOKUP($A418,$A$404:$D$414,4,FALSE)*E418</f>
        <v>13</v>
      </c>
      <c r="H418" s="6">
        <f>G418-F418</f>
        <v>3</v>
      </c>
      <c r="I418" s="163">
        <f t="shared" ref="I418:I428" si="16">(G418-F418)/F418</f>
        <v>0.3</v>
      </c>
    </row>
    <row r="419" spans="1:9" x14ac:dyDescent="0.2">
      <c r="A419" s="136" t="s">
        <v>2241</v>
      </c>
      <c r="B419" s="7">
        <v>1</v>
      </c>
      <c r="C419" s="164">
        <f t="shared" si="15"/>
        <v>4.5454545454545456E-2</v>
      </c>
      <c r="D419" s="6">
        <v>600</v>
      </c>
      <c r="E419" s="6">
        <v>750</v>
      </c>
      <c r="F419" s="6">
        <f t="shared" ref="F419:G428" si="17">VLOOKUP($A419,$A$404:$D$414,4,FALSE)*D419</f>
        <v>3</v>
      </c>
      <c r="G419" s="6">
        <f t="shared" si="17"/>
        <v>3.75</v>
      </c>
      <c r="H419" s="6">
        <f t="shared" ref="H419:H428" si="18">G419-F419</f>
        <v>0.75</v>
      </c>
      <c r="I419" s="163">
        <f t="shared" si="16"/>
        <v>0.25</v>
      </c>
    </row>
    <row r="420" spans="1:9" x14ac:dyDescent="0.2">
      <c r="A420" s="136" t="s">
        <v>2280</v>
      </c>
      <c r="B420" s="7">
        <v>1</v>
      </c>
      <c r="C420" s="164">
        <f t="shared" si="15"/>
        <v>4.5454545454545456E-2</v>
      </c>
      <c r="D420" s="6">
        <v>200</v>
      </c>
      <c r="E420" s="6">
        <v>230</v>
      </c>
      <c r="F420" s="6">
        <f t="shared" si="17"/>
        <v>1</v>
      </c>
      <c r="G420" s="6">
        <f t="shared" si="17"/>
        <v>1.1500000000000001</v>
      </c>
      <c r="H420" s="6">
        <f t="shared" si="18"/>
        <v>0.15000000000000013</v>
      </c>
      <c r="I420" s="163">
        <f t="shared" si="16"/>
        <v>0.15000000000000013</v>
      </c>
    </row>
    <row r="421" spans="1:9" x14ac:dyDescent="0.2">
      <c r="A421" s="136" t="s">
        <v>2279</v>
      </c>
      <c r="B421" s="7">
        <v>1</v>
      </c>
      <c r="C421" s="164">
        <f t="shared" si="15"/>
        <v>4.5454545454545456E-2</v>
      </c>
      <c r="D421" s="6">
        <v>200</v>
      </c>
      <c r="E421" s="6">
        <v>170</v>
      </c>
      <c r="F421" s="6">
        <f t="shared" si="17"/>
        <v>1</v>
      </c>
      <c r="G421" s="6">
        <f t="shared" si="17"/>
        <v>0.85</v>
      </c>
      <c r="H421" s="6">
        <f t="shared" si="18"/>
        <v>-0.15000000000000002</v>
      </c>
      <c r="I421" s="163">
        <f t="shared" si="16"/>
        <v>-0.15000000000000002</v>
      </c>
    </row>
    <row r="422" spans="1:9" x14ac:dyDescent="0.2">
      <c r="A422" s="136" t="s">
        <v>2244</v>
      </c>
      <c r="B422" s="7">
        <v>1</v>
      </c>
      <c r="C422" s="164">
        <f t="shared" si="15"/>
        <v>4.5454545454545456E-2</v>
      </c>
      <c r="D422" s="6">
        <v>20</v>
      </c>
      <c r="E422" s="6">
        <v>35</v>
      </c>
      <c r="F422" s="6">
        <f t="shared" si="17"/>
        <v>20</v>
      </c>
      <c r="G422" s="6">
        <f t="shared" si="17"/>
        <v>35</v>
      </c>
      <c r="H422" s="6">
        <f t="shared" si="18"/>
        <v>15</v>
      </c>
      <c r="I422" s="163">
        <f t="shared" si="16"/>
        <v>0.75</v>
      </c>
    </row>
    <row r="423" spans="1:9" x14ac:dyDescent="0.2">
      <c r="A423" s="136" t="s">
        <v>2245</v>
      </c>
      <c r="B423" s="7">
        <v>1</v>
      </c>
      <c r="C423" s="164">
        <f t="shared" si="15"/>
        <v>4.5454545454545456E-2</v>
      </c>
      <c r="D423" s="6">
        <v>1</v>
      </c>
      <c r="E423" s="6">
        <v>10</v>
      </c>
      <c r="F423" s="6">
        <f t="shared" si="17"/>
        <v>1</v>
      </c>
      <c r="G423" s="6">
        <f t="shared" si="17"/>
        <v>10</v>
      </c>
      <c r="H423" s="6">
        <f t="shared" si="18"/>
        <v>9</v>
      </c>
      <c r="I423" s="163">
        <f t="shared" si="16"/>
        <v>9</v>
      </c>
    </row>
    <row r="424" spans="1:9" x14ac:dyDescent="0.2">
      <c r="A424" s="136" t="s">
        <v>2246</v>
      </c>
      <c r="B424" s="7">
        <v>1</v>
      </c>
      <c r="C424" s="164">
        <f t="shared" si="15"/>
        <v>4.5454545454545456E-2</v>
      </c>
      <c r="D424" s="6">
        <v>7.5</v>
      </c>
      <c r="E424" s="6">
        <v>10.5</v>
      </c>
      <c r="F424" s="6">
        <f t="shared" si="17"/>
        <v>2.5</v>
      </c>
      <c r="G424" s="6">
        <f t="shared" si="17"/>
        <v>3.5</v>
      </c>
      <c r="H424" s="6">
        <f t="shared" si="18"/>
        <v>1</v>
      </c>
      <c r="I424" s="163">
        <f t="shared" si="16"/>
        <v>0.4</v>
      </c>
    </row>
    <row r="425" spans="1:9" x14ac:dyDescent="0.2">
      <c r="A425" s="136" t="s">
        <v>2263</v>
      </c>
      <c r="B425" s="7">
        <v>1</v>
      </c>
      <c r="C425" s="164">
        <f t="shared" si="15"/>
        <v>4.5454545454545456E-2</v>
      </c>
      <c r="D425" s="6">
        <v>1</v>
      </c>
      <c r="E425" s="6">
        <v>1.1499999999999999</v>
      </c>
      <c r="F425" s="6">
        <f t="shared" si="17"/>
        <v>1</v>
      </c>
      <c r="G425" s="6">
        <f t="shared" si="17"/>
        <v>1.1499999999999999</v>
      </c>
      <c r="H425" s="6">
        <f t="shared" si="18"/>
        <v>0.14999999999999991</v>
      </c>
      <c r="I425" s="163">
        <f t="shared" si="16"/>
        <v>0.14999999999999991</v>
      </c>
    </row>
    <row r="426" spans="1:9" x14ac:dyDescent="0.2">
      <c r="A426" s="136" t="s">
        <v>2248</v>
      </c>
      <c r="B426" s="7">
        <v>1</v>
      </c>
      <c r="C426" s="164">
        <f t="shared" si="15"/>
        <v>4.5454545454545456E-2</v>
      </c>
      <c r="D426" s="6">
        <v>30</v>
      </c>
      <c r="E426" s="6">
        <v>40</v>
      </c>
      <c r="F426" s="6">
        <f t="shared" si="17"/>
        <v>0.15</v>
      </c>
      <c r="G426" s="6">
        <f t="shared" si="17"/>
        <v>0.2</v>
      </c>
      <c r="H426" s="6">
        <f t="shared" si="18"/>
        <v>5.0000000000000017E-2</v>
      </c>
      <c r="I426" s="163">
        <f t="shared" si="16"/>
        <v>0.33333333333333348</v>
      </c>
    </row>
    <row r="427" spans="1:9" x14ac:dyDescent="0.2">
      <c r="A427" s="136" t="s">
        <v>2249</v>
      </c>
      <c r="B427" s="7">
        <v>1</v>
      </c>
      <c r="C427" s="164">
        <f t="shared" si="15"/>
        <v>4.5454545454545456E-2</v>
      </c>
      <c r="D427" s="6">
        <v>1</v>
      </c>
      <c r="E427" s="6">
        <v>2</v>
      </c>
      <c r="F427" s="6">
        <f t="shared" si="17"/>
        <v>20</v>
      </c>
      <c r="G427" s="6">
        <f t="shared" si="17"/>
        <v>40</v>
      </c>
      <c r="H427" s="6">
        <f t="shared" si="18"/>
        <v>20</v>
      </c>
      <c r="I427" s="163">
        <f t="shared" si="16"/>
        <v>1</v>
      </c>
    </row>
    <row r="428" spans="1:9" x14ac:dyDescent="0.2">
      <c r="A428" s="136" t="s">
        <v>2250</v>
      </c>
      <c r="B428" s="7">
        <v>1</v>
      </c>
      <c r="C428" s="164">
        <f t="shared" si="15"/>
        <v>4.5454545454545456E-2</v>
      </c>
      <c r="D428" s="6">
        <v>30</v>
      </c>
      <c r="E428" s="6">
        <v>36</v>
      </c>
      <c r="F428" s="6">
        <f t="shared" si="17"/>
        <v>20</v>
      </c>
      <c r="G428" s="6">
        <f t="shared" si="17"/>
        <v>24</v>
      </c>
      <c r="H428" s="6">
        <f t="shared" si="18"/>
        <v>4</v>
      </c>
      <c r="I428" s="163">
        <f t="shared" si="16"/>
        <v>0.2</v>
      </c>
    </row>
    <row r="430" spans="1:9" x14ac:dyDescent="0.2">
      <c r="A430" s="90" t="s">
        <v>2283</v>
      </c>
    </row>
    <row r="431" spans="1:9" x14ac:dyDescent="0.2">
      <c r="A431" s="136" t="s">
        <v>2287</v>
      </c>
      <c r="B431" s="136" t="s">
        <v>2288</v>
      </c>
      <c r="C431" s="136" t="s">
        <v>2252</v>
      </c>
      <c r="D431" s="136" t="s">
        <v>2076</v>
      </c>
      <c r="E431" s="90" t="s">
        <v>2289</v>
      </c>
    </row>
    <row r="432" spans="1:9" x14ac:dyDescent="0.2">
      <c r="A432" s="136" t="s">
        <v>2253</v>
      </c>
      <c r="B432" s="136">
        <v>11</v>
      </c>
      <c r="C432" s="136">
        <v>1</v>
      </c>
      <c r="D432" s="136">
        <f>ROUND($C$471/($B$432*$C$432+$B$433*$C$433+$B$434*$C$434+$B$435*$C$435+$B$436*$C$436)*C432,-2)</f>
        <v>100</v>
      </c>
      <c r="E432" s="90">
        <f>D432*B432</f>
        <v>1100</v>
      </c>
    </row>
    <row r="433" spans="1:12" x14ac:dyDescent="0.2">
      <c r="A433" s="136" t="s">
        <v>2284</v>
      </c>
      <c r="B433" s="136">
        <v>10</v>
      </c>
      <c r="C433" s="136">
        <v>3</v>
      </c>
      <c r="D433" s="136">
        <f t="shared" ref="D433:D436" si="19">ROUND($C$471/($B$432*$C$432+$B$433*$C$433+$B$434*$C$434+$B$435*$C$435+$B$436*$C$436)*C433,-2)</f>
        <v>300</v>
      </c>
      <c r="E433" s="90">
        <f t="shared" ref="E433:E436" si="20">D433*B433</f>
        <v>3000</v>
      </c>
    </row>
    <row r="434" spans="1:12" x14ac:dyDescent="0.2">
      <c r="A434" s="136" t="s">
        <v>2285</v>
      </c>
      <c r="B434" s="136">
        <v>8</v>
      </c>
      <c r="C434" s="136">
        <v>6</v>
      </c>
      <c r="D434" s="136">
        <f t="shared" si="19"/>
        <v>600</v>
      </c>
      <c r="E434" s="90">
        <f t="shared" si="20"/>
        <v>4800</v>
      </c>
    </row>
    <row r="435" spans="1:12" x14ac:dyDescent="0.2">
      <c r="A435" s="136" t="s">
        <v>2281</v>
      </c>
      <c r="B435" s="136">
        <v>1</v>
      </c>
      <c r="C435" s="136">
        <v>9</v>
      </c>
      <c r="D435" s="136">
        <f t="shared" si="19"/>
        <v>900</v>
      </c>
      <c r="E435" s="90">
        <f t="shared" si="20"/>
        <v>900</v>
      </c>
    </row>
    <row r="436" spans="1:12" x14ac:dyDescent="0.2">
      <c r="A436" s="136" t="s">
        <v>2286</v>
      </c>
      <c r="B436" s="136">
        <v>0</v>
      </c>
      <c r="C436" s="136">
        <v>12</v>
      </c>
      <c r="D436" s="136">
        <f t="shared" si="19"/>
        <v>1200</v>
      </c>
      <c r="E436" s="90">
        <f t="shared" si="20"/>
        <v>0</v>
      </c>
    </row>
    <row r="438" spans="1:12" x14ac:dyDescent="0.2">
      <c r="A438" s="90" t="s">
        <v>2282</v>
      </c>
    </row>
    <row r="439" spans="1:12" x14ac:dyDescent="0.2">
      <c r="A439" s="136" t="s">
        <v>2240</v>
      </c>
      <c r="B439" s="6" t="s">
        <v>2255</v>
      </c>
      <c r="F439" s="136" t="s">
        <v>2241</v>
      </c>
      <c r="G439" s="6" t="s">
        <v>2255</v>
      </c>
      <c r="K439" s="136" t="s">
        <v>2242</v>
      </c>
      <c r="L439" s="6" t="s">
        <v>2255</v>
      </c>
    </row>
    <row r="440" spans="1:12" x14ac:dyDescent="0.2">
      <c r="A440" s="136" t="s">
        <v>2253</v>
      </c>
      <c r="B440" s="6">
        <v>1</v>
      </c>
      <c r="F440" s="136" t="s">
        <v>2253</v>
      </c>
      <c r="G440" s="6">
        <v>50</v>
      </c>
      <c r="K440" s="136" t="s">
        <v>2253</v>
      </c>
      <c r="L440" s="162">
        <v>0.05</v>
      </c>
    </row>
    <row r="441" spans="1:12" x14ac:dyDescent="0.2">
      <c r="A441" s="136" t="s">
        <v>2256</v>
      </c>
      <c r="B441" s="6">
        <v>2</v>
      </c>
      <c r="F441" s="136" t="s">
        <v>2256</v>
      </c>
      <c r="G441" s="6">
        <v>100</v>
      </c>
      <c r="K441" s="136" t="s">
        <v>2256</v>
      </c>
      <c r="L441" s="162">
        <v>0.1</v>
      </c>
    </row>
    <row r="442" spans="1:12" x14ac:dyDescent="0.2">
      <c r="A442" s="136" t="s">
        <v>2257</v>
      </c>
      <c r="B442" s="6">
        <v>3</v>
      </c>
      <c r="F442" s="136" t="s">
        <v>2257</v>
      </c>
      <c r="G442" s="6">
        <v>150</v>
      </c>
      <c r="K442" s="136" t="s">
        <v>2257</v>
      </c>
      <c r="L442" s="162">
        <v>0.15</v>
      </c>
    </row>
    <row r="444" spans="1:12" x14ac:dyDescent="0.2">
      <c r="A444" s="136" t="s">
        <v>2243</v>
      </c>
      <c r="B444" s="6" t="s">
        <v>2255</v>
      </c>
      <c r="F444" s="136" t="s">
        <v>2244</v>
      </c>
      <c r="G444" s="6" t="s">
        <v>2255</v>
      </c>
      <c r="K444" s="136" t="s">
        <v>2245</v>
      </c>
      <c r="L444" s="6" t="s">
        <v>2255</v>
      </c>
    </row>
    <row r="445" spans="1:12" x14ac:dyDescent="0.2">
      <c r="A445" s="136" t="s">
        <v>2253</v>
      </c>
      <c r="B445" s="6">
        <v>10</v>
      </c>
      <c r="F445" s="136" t="s">
        <v>2253</v>
      </c>
      <c r="G445" s="6">
        <v>5</v>
      </c>
      <c r="K445" s="136" t="s">
        <v>2253</v>
      </c>
      <c r="L445" s="6">
        <v>5</v>
      </c>
    </row>
    <row r="446" spans="1:12" x14ac:dyDescent="0.2">
      <c r="A446" s="136" t="s">
        <v>2256</v>
      </c>
      <c r="B446" s="6">
        <v>20</v>
      </c>
      <c r="F446" s="136" t="s">
        <v>2256</v>
      </c>
      <c r="G446" s="6">
        <v>10</v>
      </c>
      <c r="K446" s="136" t="s">
        <v>2256</v>
      </c>
      <c r="L446" s="6">
        <v>10</v>
      </c>
    </row>
    <row r="447" spans="1:12" x14ac:dyDescent="0.2">
      <c r="A447" s="136" t="s">
        <v>2257</v>
      </c>
      <c r="B447" s="6">
        <v>30</v>
      </c>
      <c r="F447" s="136" t="s">
        <v>2257</v>
      </c>
      <c r="G447" s="6">
        <v>15</v>
      </c>
    </row>
    <row r="449" spans="1:12" x14ac:dyDescent="0.2">
      <c r="A449" s="136" t="s">
        <v>2246</v>
      </c>
      <c r="B449" s="6" t="s">
        <v>2255</v>
      </c>
      <c r="F449" s="136" t="s">
        <v>2247</v>
      </c>
      <c r="G449" s="6" t="s">
        <v>2255</v>
      </c>
      <c r="K449" s="136" t="s">
        <v>2248</v>
      </c>
      <c r="L449" s="6" t="s">
        <v>2255</v>
      </c>
    </row>
    <row r="450" spans="1:12" x14ac:dyDescent="0.2">
      <c r="A450" s="136" t="s">
        <v>2253</v>
      </c>
      <c r="B450" s="6">
        <v>1</v>
      </c>
      <c r="F450" s="136" t="s">
        <v>2253</v>
      </c>
      <c r="G450" s="162">
        <v>0.05</v>
      </c>
      <c r="K450" s="136" t="s">
        <v>2253</v>
      </c>
      <c r="L450" s="162">
        <v>0.05</v>
      </c>
    </row>
    <row r="451" spans="1:12" x14ac:dyDescent="0.2">
      <c r="A451" s="136" t="s">
        <v>2256</v>
      </c>
      <c r="B451" s="6">
        <v>2</v>
      </c>
      <c r="F451" s="136" t="s">
        <v>2256</v>
      </c>
      <c r="G451" s="162">
        <v>0.1</v>
      </c>
      <c r="K451" s="136" t="s">
        <v>2256</v>
      </c>
      <c r="L451" s="162">
        <v>0.1</v>
      </c>
    </row>
    <row r="452" spans="1:12" x14ac:dyDescent="0.2">
      <c r="A452" s="136" t="s">
        <v>2257</v>
      </c>
      <c r="B452" s="6">
        <v>3</v>
      </c>
      <c r="F452" s="136" t="s">
        <v>2257</v>
      </c>
      <c r="G452" s="162">
        <v>0.15</v>
      </c>
    </row>
    <row r="454" spans="1:12" x14ac:dyDescent="0.2">
      <c r="A454" s="136" t="s">
        <v>2249</v>
      </c>
      <c r="B454" s="6" t="s">
        <v>2255</v>
      </c>
      <c r="F454" s="136" t="s">
        <v>2250</v>
      </c>
      <c r="G454" s="6" t="s">
        <v>2255</v>
      </c>
    </row>
    <row r="455" spans="1:12" x14ac:dyDescent="0.2">
      <c r="A455" s="136" t="s">
        <v>2253</v>
      </c>
      <c r="B455" s="6">
        <v>1</v>
      </c>
      <c r="F455" s="136" t="s">
        <v>2253</v>
      </c>
      <c r="G455" s="162">
        <v>0.05</v>
      </c>
    </row>
    <row r="456" spans="1:12" x14ac:dyDescent="0.2">
      <c r="F456" s="136" t="s">
        <v>2256</v>
      </c>
      <c r="G456" s="162">
        <v>0.1</v>
      </c>
    </row>
    <row r="457" spans="1:12" x14ac:dyDescent="0.2">
      <c r="F457" s="136" t="s">
        <v>2257</v>
      </c>
      <c r="G457" s="162">
        <v>0.15</v>
      </c>
    </row>
    <row r="458" spans="1:12" x14ac:dyDescent="0.2">
      <c r="F458" s="136" t="s">
        <v>2281</v>
      </c>
      <c r="G458" s="162">
        <v>0.2</v>
      </c>
    </row>
    <row r="459" spans="1:12" x14ac:dyDescent="0.2">
      <c r="G459" s="162"/>
    </row>
    <row r="460" spans="1:12" x14ac:dyDescent="0.2">
      <c r="G460" s="162"/>
    </row>
    <row r="461" spans="1:12" s="4" customFormat="1" x14ac:dyDescent="0.2">
      <c r="A461" s="4" t="s">
        <v>2231</v>
      </c>
    </row>
    <row r="462" spans="1:12" x14ac:dyDescent="0.2">
      <c r="A462" s="6" t="s">
        <v>2232</v>
      </c>
    </row>
    <row r="463" spans="1:12" x14ac:dyDescent="0.2">
      <c r="A463" s="6" t="s">
        <v>2233</v>
      </c>
    </row>
    <row r="464" spans="1:12" x14ac:dyDescent="0.2">
      <c r="A464" s="6" t="s">
        <v>2234</v>
      </c>
    </row>
    <row r="465" spans="1:14" x14ac:dyDescent="0.2">
      <c r="A465" s="6" t="s">
        <v>2210</v>
      </c>
      <c r="B465" s="6">
        <v>5</v>
      </c>
    </row>
    <row r="466" spans="1:14" x14ac:dyDescent="0.2">
      <c r="A466" s="6" t="s">
        <v>2209</v>
      </c>
      <c r="B466" s="6">
        <v>7</v>
      </c>
    </row>
    <row r="469" spans="1:14" x14ac:dyDescent="0.2">
      <c r="A469" s="90" t="s">
        <v>2238</v>
      </c>
    </row>
    <row r="470" spans="1:14" x14ac:dyDescent="0.2">
      <c r="A470" s="8" t="s">
        <v>2208</v>
      </c>
      <c r="B470" s="8" t="s">
        <v>2206</v>
      </c>
      <c r="C470" s="8" t="s">
        <v>2207</v>
      </c>
      <c r="D470" s="90" t="s">
        <v>2230</v>
      </c>
      <c r="F470" s="8" t="s">
        <v>2229</v>
      </c>
      <c r="G470" s="8" t="s">
        <v>2206</v>
      </c>
      <c r="H470" s="8" t="s">
        <v>2229</v>
      </c>
      <c r="I470" s="90" t="s">
        <v>2230</v>
      </c>
    </row>
    <row r="471" spans="1:14" x14ac:dyDescent="0.2">
      <c r="A471" s="8" t="s">
        <v>1717</v>
      </c>
      <c r="B471" s="53">
        <v>1</v>
      </c>
      <c r="C471" s="116">
        <v>10000</v>
      </c>
      <c r="D471" s="90">
        <f>D472+D473</f>
        <v>10350</v>
      </c>
      <c r="F471" s="8" t="s">
        <v>2228</v>
      </c>
      <c r="G471" s="53">
        <v>0.2</v>
      </c>
      <c r="H471" s="116">
        <f>G471*$C$472</f>
        <v>1800</v>
      </c>
      <c r="I471" s="90">
        <f>SUM($C$478:$C$487)</f>
        <v>1600</v>
      </c>
    </row>
    <row r="472" spans="1:14" x14ac:dyDescent="0.2">
      <c r="A472" s="8" t="s">
        <v>2223</v>
      </c>
      <c r="B472" s="53">
        <v>0.9</v>
      </c>
      <c r="C472" s="116">
        <f>$C$471*B472</f>
        <v>9000</v>
      </c>
      <c r="D472" s="90">
        <f>SUM($C$478:$C$487)+SUM($M$478:$M$482)</f>
        <v>9300</v>
      </c>
      <c r="F472" s="8" t="s">
        <v>937</v>
      </c>
      <c r="G472" s="53">
        <v>0.8</v>
      </c>
      <c r="H472" s="116">
        <f>G472*$C$472</f>
        <v>7200</v>
      </c>
      <c r="I472" s="90">
        <f>SUM($M$478:$M$482)</f>
        <v>7700</v>
      </c>
    </row>
    <row r="473" spans="1:14" x14ac:dyDescent="0.2">
      <c r="A473" s="8" t="s">
        <v>2224</v>
      </c>
      <c r="B473" s="53">
        <v>0.1</v>
      </c>
      <c r="C473" s="116">
        <f>$C$471*B473</f>
        <v>1000</v>
      </c>
      <c r="D473" s="90">
        <f>$B$465*$B$466*D478</f>
        <v>1050</v>
      </c>
    </row>
    <row r="476" spans="1:14" x14ac:dyDescent="0.2">
      <c r="A476" s="90" t="s">
        <v>2237</v>
      </c>
    </row>
    <row r="477" spans="1:14" x14ac:dyDescent="0.2">
      <c r="A477" s="8" t="s">
        <v>2211</v>
      </c>
      <c r="B477" s="136" t="s">
        <v>2222</v>
      </c>
      <c r="C477" s="136" t="s">
        <v>2225</v>
      </c>
      <c r="D477" s="136" t="s">
        <v>2226</v>
      </c>
      <c r="F477" s="8" t="s">
        <v>2227</v>
      </c>
      <c r="G477" s="136"/>
      <c r="H477" s="136"/>
      <c r="I477" s="136"/>
      <c r="K477" s="8" t="s">
        <v>937</v>
      </c>
      <c r="L477" s="136" t="s">
        <v>2222</v>
      </c>
      <c r="M477" s="136" t="s">
        <v>2225</v>
      </c>
      <c r="N477" s="136" t="s">
        <v>2226</v>
      </c>
    </row>
    <row r="478" spans="1:14" x14ac:dyDescent="0.2">
      <c r="A478" s="8" t="s">
        <v>2212</v>
      </c>
      <c r="B478" s="116">
        <v>1</v>
      </c>
      <c r="C478" s="136">
        <f t="shared" ref="C478:C487" si="21">ROUND(B478/SUM($B$478:$B$487)*$H$471,-2)</f>
        <v>100</v>
      </c>
      <c r="D478" s="136">
        <f>ROUND($C$473/($B$465*$B$466),-1)</f>
        <v>30</v>
      </c>
      <c r="F478" s="8" t="s">
        <v>2224</v>
      </c>
      <c r="G478" s="136">
        <f t="shared" ref="G478" si="22">ROUND($C$473/($B$465*$B$466),-1)</f>
        <v>30</v>
      </c>
      <c r="H478" s="136"/>
      <c r="I478" s="136"/>
      <c r="K478" s="8" t="s">
        <v>2212</v>
      </c>
      <c r="L478" s="116">
        <v>1</v>
      </c>
      <c r="M478" s="136">
        <f>ROUND(L478/SUM($B$478:$B$487)*$H$472,-2)</f>
        <v>500</v>
      </c>
      <c r="N478" s="136">
        <f t="shared" ref="N478:N482" si="23">ROUND($C$473/($B$465*$B$466),-1)</f>
        <v>30</v>
      </c>
    </row>
    <row r="479" spans="1:14" x14ac:dyDescent="0.2">
      <c r="A479" s="8" t="s">
        <v>2213</v>
      </c>
      <c r="B479" s="116">
        <v>1</v>
      </c>
      <c r="C479" s="136">
        <f t="shared" si="21"/>
        <v>100</v>
      </c>
      <c r="D479" s="136">
        <f t="shared" ref="D479:D487" si="24">ROUND($C$473/($B$465*$B$466),-1)</f>
        <v>30</v>
      </c>
      <c r="K479" s="8" t="s">
        <v>2213</v>
      </c>
      <c r="L479" s="116">
        <v>2</v>
      </c>
      <c r="M479" s="136">
        <f>ROUND(L479/SUM($B$478:$B$487)*$H$472,-2)</f>
        <v>1000</v>
      </c>
      <c r="N479" s="136">
        <f t="shared" si="23"/>
        <v>30</v>
      </c>
    </row>
    <row r="480" spans="1:14" x14ac:dyDescent="0.2">
      <c r="A480" s="8" t="s">
        <v>2214</v>
      </c>
      <c r="B480" s="116">
        <v>1</v>
      </c>
      <c r="C480" s="136">
        <f t="shared" si="21"/>
        <v>100</v>
      </c>
      <c r="D480" s="136">
        <f t="shared" si="24"/>
        <v>30</v>
      </c>
      <c r="K480" s="8" t="s">
        <v>2214</v>
      </c>
      <c r="L480" s="116">
        <v>3</v>
      </c>
      <c r="M480" s="136">
        <f>ROUND(L480/SUM($B$478:$B$487)*$H$472,-2)</f>
        <v>1500</v>
      </c>
      <c r="N480" s="136">
        <f t="shared" si="23"/>
        <v>30</v>
      </c>
    </row>
    <row r="481" spans="1:14" x14ac:dyDescent="0.2">
      <c r="A481" s="8" t="s">
        <v>2215</v>
      </c>
      <c r="B481" s="116">
        <v>1</v>
      </c>
      <c r="C481" s="136">
        <f t="shared" si="21"/>
        <v>100</v>
      </c>
      <c r="D481" s="136">
        <f t="shared" si="24"/>
        <v>30</v>
      </c>
      <c r="K481" s="8" t="s">
        <v>2215</v>
      </c>
      <c r="L481" s="116">
        <v>4</v>
      </c>
      <c r="M481" s="136">
        <f>ROUND(L481/SUM($B$478:$B$487)*$H$472,-2)</f>
        <v>2100</v>
      </c>
      <c r="N481" s="136">
        <f t="shared" si="23"/>
        <v>30</v>
      </c>
    </row>
    <row r="482" spans="1:14" x14ac:dyDescent="0.2">
      <c r="A482" s="8" t="s">
        <v>2216</v>
      </c>
      <c r="B482" s="116">
        <v>3</v>
      </c>
      <c r="C482" s="136">
        <f t="shared" si="21"/>
        <v>400</v>
      </c>
      <c r="D482" s="136">
        <f t="shared" si="24"/>
        <v>30</v>
      </c>
      <c r="K482" s="8" t="s">
        <v>2216</v>
      </c>
      <c r="L482" s="116">
        <v>5</v>
      </c>
      <c r="M482" s="136">
        <f>ROUND(L482/SUM($B$478:$B$487)*$H$472,-2)</f>
        <v>2600</v>
      </c>
      <c r="N482" s="136">
        <f t="shared" si="23"/>
        <v>30</v>
      </c>
    </row>
    <row r="483" spans="1:14" x14ac:dyDescent="0.2">
      <c r="A483" s="8" t="s">
        <v>2217</v>
      </c>
      <c r="B483" s="116">
        <v>1</v>
      </c>
      <c r="C483" s="136">
        <f t="shared" si="21"/>
        <v>100</v>
      </c>
      <c r="D483" s="136">
        <f t="shared" si="24"/>
        <v>30</v>
      </c>
    </row>
    <row r="484" spans="1:14" x14ac:dyDescent="0.2">
      <c r="A484" s="8" t="s">
        <v>2218</v>
      </c>
      <c r="B484" s="116">
        <v>1</v>
      </c>
      <c r="C484" s="136">
        <f t="shared" si="21"/>
        <v>100</v>
      </c>
      <c r="D484" s="136">
        <f t="shared" si="24"/>
        <v>30</v>
      </c>
    </row>
    <row r="485" spans="1:14" x14ac:dyDescent="0.2">
      <c r="A485" s="8" t="s">
        <v>2219</v>
      </c>
      <c r="B485" s="116">
        <v>1</v>
      </c>
      <c r="C485" s="136">
        <f t="shared" si="21"/>
        <v>100</v>
      </c>
      <c r="D485" s="136">
        <f t="shared" si="24"/>
        <v>30</v>
      </c>
    </row>
    <row r="486" spans="1:14" x14ac:dyDescent="0.2">
      <c r="A486" s="8" t="s">
        <v>2220</v>
      </c>
      <c r="B486" s="116">
        <v>1</v>
      </c>
      <c r="C486" s="136">
        <f t="shared" si="21"/>
        <v>100</v>
      </c>
      <c r="D486" s="136">
        <f t="shared" si="24"/>
        <v>30</v>
      </c>
    </row>
    <row r="487" spans="1:14" x14ac:dyDescent="0.2">
      <c r="A487" s="8" t="s">
        <v>2221</v>
      </c>
      <c r="B487" s="116">
        <v>3</v>
      </c>
      <c r="C487" s="136">
        <f t="shared" si="21"/>
        <v>400</v>
      </c>
      <c r="D487" s="136">
        <f t="shared" si="24"/>
        <v>30</v>
      </c>
      <c r="E487" s="90"/>
    </row>
  </sheetData>
  <mergeCells count="17">
    <mergeCell ref="G282:J282"/>
    <mergeCell ref="K282:N282"/>
    <mergeCell ref="D227:G227"/>
    <mergeCell ref="H227:K227"/>
    <mergeCell ref="B25:G25"/>
    <mergeCell ref="H25:K25"/>
    <mergeCell ref="D201:G201"/>
    <mergeCell ref="D123:G123"/>
    <mergeCell ref="D130:K130"/>
    <mergeCell ref="G143:J143"/>
    <mergeCell ref="K143:N143"/>
    <mergeCell ref="G309:J309"/>
    <mergeCell ref="K309:N309"/>
    <mergeCell ref="G336:J336"/>
    <mergeCell ref="K336:N336"/>
    <mergeCell ref="G363:J363"/>
    <mergeCell ref="K363:N363"/>
  </mergeCells>
  <phoneticPr fontId="4" type="noConversion"/>
  <conditionalFormatting sqref="B78:B80">
    <cfRule type="dataBar" priority="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{DD5CDEA9-94BB-47FC-9D11-EF39744231F3}</x14:id>
        </ext>
      </extLst>
    </cfRule>
  </conditionalFormatting>
  <conditionalFormatting sqref="B124:B126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{4C8BDF73-2FA6-49A1-B979-C86E88400865}</x14:id>
        </ext>
      </extLst>
    </cfRule>
  </conditionalFormatting>
  <conditionalFormatting sqref="B131:B140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{167BAA26-4EAF-42A0-8850-0C7247AEC615}</x14:id>
        </ext>
      </extLst>
    </cfRule>
  </conditionalFormatting>
  <conditionalFormatting sqref="B202 B206 B210 B214 B218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{D62D4BC9-97F8-41F7-B6BB-AADEBE4DC9F0}</x14:id>
        </ext>
      </extLst>
    </cfRule>
  </conditionalFormatting>
  <conditionalFormatting sqref="B202:B221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{DCD938B9-BFA4-4ACD-ABC2-296326E0B6B0}</x14:id>
        </ext>
      </extLst>
    </cfRule>
  </conditionalFormatting>
  <conditionalFormatting sqref="B203:B205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{7FE494A3-BFE6-49F4-AF4D-83EBADF5E182}</x14:id>
        </ext>
      </extLst>
    </cfRule>
  </conditionalFormatting>
  <conditionalFormatting sqref="B207:B209 B211:B213 B215:B217 B219:B221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{446D93BE-C766-4831-9AEE-0EED4B2F9F41}</x14:id>
        </ext>
      </extLst>
    </cfRule>
  </conditionalFormatting>
  <conditionalFormatting sqref="B222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{24FDAD87-C0C9-414A-8749-31D1BAA80784}</x14:id>
        </ext>
      </extLst>
    </cfRule>
  </conditionalFormatting>
  <conditionalFormatting sqref="B228:B248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{E887857C-7882-4375-A958-54226BF4F791}</x14:id>
        </ext>
      </extLst>
    </cfRule>
  </conditionalFormatting>
  <conditionalFormatting sqref="B254:B258"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{F413577D-0413-43A0-B724-2B87847BAC77}</x14:id>
        </ext>
      </extLst>
    </cfRule>
  </conditionalFormatting>
  <conditionalFormatting sqref="B261:B265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{BC8228FF-CB59-474C-B309-33A3104388BE}</x14:id>
        </ext>
      </extLst>
    </cfRule>
  </conditionalFormatting>
  <conditionalFormatting sqref="B268:B272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{B623627F-E0E4-48DB-ADE1-C8E4F8051F96}</x14:id>
        </ext>
      </extLst>
    </cfRule>
  </conditionalFormatting>
  <conditionalFormatting sqref="B275:B279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{34B5B370-C7EC-420A-B9BC-6AE871166E9E}</x14:id>
        </ext>
      </extLst>
    </cfRule>
  </conditionalFormatting>
  <conditionalFormatting sqref="B59:C59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{0A59312A-32DE-439E-93DA-87E6ACD8CFA5}</x14:id>
        </ext>
      </extLst>
    </cfRule>
  </conditionalFormatting>
  <conditionalFormatting sqref="B59:C75">
    <cfRule type="dataBar" priority="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{9E3FC92F-FC09-490B-8686-63C052BA50E8}</x14:id>
        </ext>
      </extLst>
    </cfRule>
    <cfRule type="dataBar" priority="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{5E98F10C-80F3-4EA6-93B8-A3CCB50053FE}</x14:id>
        </ext>
      </extLst>
    </cfRule>
  </conditionalFormatting>
  <conditionalFormatting sqref="B60:C75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{93C7D234-430A-4211-908D-F7A2EFECA223}</x14:id>
        </ext>
      </extLst>
    </cfRule>
  </conditionalFormatting>
  <conditionalFormatting sqref="C78:C80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{D502FBFD-CE44-4943-9D4B-F0A9F003C3B6}</x14:id>
        </ext>
      </extLst>
    </cfRule>
    <cfRule type="dataBar" priority="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{15344B84-CE0B-4645-A96C-A1EA5637A30D}</x14:id>
        </ext>
      </extLst>
    </cfRule>
  </conditionalFormatting>
  <conditionalFormatting sqref="C254:C255 C257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{AB292FFE-8811-41BF-BF77-77B7ACFC11CC}</x14:id>
        </ext>
      </extLst>
    </cfRule>
  </conditionalFormatting>
  <conditionalFormatting sqref="C256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{0D5A522F-662E-4D5C-89ED-75D5FFDF867C}</x14:id>
        </ext>
      </extLst>
    </cfRule>
  </conditionalFormatting>
  <conditionalFormatting sqref="C258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{8DDA390B-1641-4E68-B9D0-0153329C008F}</x14:id>
        </ext>
      </extLst>
    </cfRule>
  </conditionalFormatting>
  <conditionalFormatting sqref="C261:C262 C26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{AF737ECA-1C2F-4D32-9FF9-7AD2D519F1E0}</x14:id>
        </ext>
      </extLst>
    </cfRule>
  </conditionalFormatting>
  <conditionalFormatting sqref="C263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{8AD40156-F138-4816-B780-FF114D5453CF}</x14:id>
        </ext>
      </extLst>
    </cfRule>
  </conditionalFormatting>
  <conditionalFormatting sqref="C265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{D869F212-A5F5-428D-A9EB-B703697C7EAC}</x14:id>
        </ext>
      </extLst>
    </cfRule>
  </conditionalFormatting>
  <conditionalFormatting sqref="C268:C269 C271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{12BD5686-3AC2-4E40-AE35-3B2D6C5AAF1F}</x14:id>
        </ext>
      </extLst>
    </cfRule>
  </conditionalFormatting>
  <conditionalFormatting sqref="C270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{A1A94A6D-E1C5-4285-9748-E343BB2D7384}</x14:id>
        </ext>
      </extLst>
    </cfRule>
  </conditionalFormatting>
  <conditionalFormatting sqref="C272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{879A8685-71E1-4432-A91B-24B7D48BC89D}</x14:id>
        </ext>
      </extLst>
    </cfRule>
  </conditionalFormatting>
  <conditionalFormatting sqref="C275:C276 C278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{25281012-1D5C-4041-9481-37AEF610A9C7}</x14:id>
        </ext>
      </extLst>
    </cfRule>
  </conditionalFormatting>
  <conditionalFormatting sqref="C277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{F3613B55-56FE-496C-B9EC-0ADA4AA99301}</x14:id>
        </ext>
      </extLst>
    </cfRule>
  </conditionalFormatting>
  <conditionalFormatting sqref="C27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{BE0E59C3-B6D1-4E8E-890B-9FDD3542DFB6}</x14:id>
        </ext>
      </extLst>
    </cfRule>
  </conditionalFormatting>
  <conditionalFormatting sqref="D144:D193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{77EB7C4E-EE69-49F8-AD21-508FE8A4B8BD}</x14:id>
        </ext>
      </extLst>
    </cfRule>
  </conditionalFormatting>
  <conditionalFormatting sqref="D254:D258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{7B568356-DFB9-43FA-97A4-4E2B3664D17C}</x14:id>
        </ext>
      </extLst>
    </cfRule>
  </conditionalFormatting>
  <conditionalFormatting sqref="D261:D265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{0FA83254-C945-4256-8B19-24F0E8386ED4}</x14:id>
        </ext>
      </extLst>
    </cfRule>
  </conditionalFormatting>
  <conditionalFormatting sqref="D268:D27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{11A386C3-CD78-40B2-A48F-CFD08626ADF3}</x14:id>
        </ext>
      </extLst>
    </cfRule>
  </conditionalFormatting>
  <conditionalFormatting sqref="D275:D27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{FDE3ADF9-CBEE-4D9F-BDF0-B26FDFF62D3D}</x14:id>
        </ext>
      </extLst>
    </cfRule>
  </conditionalFormatting>
  <conditionalFormatting sqref="D283:D306">
    <cfRule type="dataBar" priority="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{D62D1775-3E98-4B30-BCD7-ED0E456C6951}</x14:id>
        </ext>
      </extLst>
    </cfRule>
  </conditionalFormatting>
  <conditionalFormatting sqref="D310:D33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{B59DDF34-F5B5-46AD-B503-2C0FD70D6E16}</x14:id>
        </ext>
      </extLst>
    </cfRule>
  </conditionalFormatting>
  <conditionalFormatting sqref="D337:D36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{74654B09-9F8F-477D-95DC-E69AF9623912}</x14:id>
        </ext>
      </extLst>
    </cfRule>
  </conditionalFormatting>
  <conditionalFormatting sqref="D364:D38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{4DE964A2-8663-4CD2-9987-7CC43D424A3D}</x14:id>
        </ext>
      </extLst>
    </cfRule>
  </conditionalFormatting>
  <conditionalFormatting sqref="H228:K247">
    <cfRule type="cellIs" dxfId="20" priority="54" operator="equal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5CDEA9-94BB-47FC-9D11-EF39744231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B78:B80</xm:sqref>
        </x14:conditionalFormatting>
        <x14:conditionalFormatting xmlns:xm="http://schemas.microsoft.com/office/excel/2006/main">
          <x14:cfRule type="dataBar" id="{4C8BDF73-2FA6-49A1-B979-C86E88400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B124:B126</xm:sqref>
        </x14:conditionalFormatting>
        <x14:conditionalFormatting xmlns:xm="http://schemas.microsoft.com/office/excel/2006/main">
          <x14:cfRule type="dataBar" id="{167BAA26-4EAF-42A0-8850-0C7247AEC6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B131:B140</xm:sqref>
        </x14:conditionalFormatting>
        <x14:conditionalFormatting xmlns:xm="http://schemas.microsoft.com/office/excel/2006/main">
          <x14:cfRule type="dataBar" id="{D62D4BC9-97F8-41F7-B6BB-AADEBE4DC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B202 B206 B210 B214 B218</xm:sqref>
        </x14:conditionalFormatting>
        <x14:conditionalFormatting xmlns:xm="http://schemas.microsoft.com/office/excel/2006/main">
          <x14:cfRule type="dataBar" id="{DCD938B9-BFA4-4ACD-ABC2-296326E0B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B202:B221</xm:sqref>
        </x14:conditionalFormatting>
        <x14:conditionalFormatting xmlns:xm="http://schemas.microsoft.com/office/excel/2006/main">
          <x14:cfRule type="dataBar" id="{7FE494A3-BFE6-49F4-AF4D-83EBADF5E1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B203:B205</xm:sqref>
        </x14:conditionalFormatting>
        <x14:conditionalFormatting xmlns:xm="http://schemas.microsoft.com/office/excel/2006/main">
          <x14:cfRule type="dataBar" id="{446D93BE-C766-4831-9AEE-0EED4B2F9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B207:B209 B211:B213 B215:B217 B219:B221</xm:sqref>
        </x14:conditionalFormatting>
        <x14:conditionalFormatting xmlns:xm="http://schemas.microsoft.com/office/excel/2006/main">
          <x14:cfRule type="dataBar" id="{24FDAD87-C0C9-414A-8749-31D1BAA807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B222</xm:sqref>
        </x14:conditionalFormatting>
        <x14:conditionalFormatting xmlns:xm="http://schemas.microsoft.com/office/excel/2006/main">
          <x14:cfRule type="dataBar" id="{E887857C-7882-4375-A958-54226BF4F7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B228:B248</xm:sqref>
        </x14:conditionalFormatting>
        <x14:conditionalFormatting xmlns:xm="http://schemas.microsoft.com/office/excel/2006/main">
          <x14:cfRule type="dataBar" id="{F413577D-0413-43A0-B724-2B87847BAC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B254:B258</xm:sqref>
        </x14:conditionalFormatting>
        <x14:conditionalFormatting xmlns:xm="http://schemas.microsoft.com/office/excel/2006/main">
          <x14:cfRule type="dataBar" id="{BC8228FF-CB59-474C-B309-33A310438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B261:B265</xm:sqref>
        </x14:conditionalFormatting>
        <x14:conditionalFormatting xmlns:xm="http://schemas.microsoft.com/office/excel/2006/main">
          <x14:cfRule type="dataBar" id="{B623627F-E0E4-48DB-ADE1-C8E4F8051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B268:B272</xm:sqref>
        </x14:conditionalFormatting>
        <x14:conditionalFormatting xmlns:xm="http://schemas.microsoft.com/office/excel/2006/main">
          <x14:cfRule type="dataBar" id="{34B5B370-C7EC-420A-B9BC-6AE871166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B275:B279</xm:sqref>
        </x14:conditionalFormatting>
        <x14:conditionalFormatting xmlns:xm="http://schemas.microsoft.com/office/excel/2006/main">
          <x14:cfRule type="dataBar" id="{0A59312A-32DE-439E-93DA-87E6ACD8C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B59:C59</xm:sqref>
        </x14:conditionalFormatting>
        <x14:conditionalFormatting xmlns:xm="http://schemas.microsoft.com/office/excel/2006/main">
          <x14:cfRule type="dataBar" id="{9E3FC92F-FC09-490B-8686-63C052BA5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E98F10C-80F3-4EA6-93B8-A3CCB50053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B59:C75</xm:sqref>
        </x14:conditionalFormatting>
        <x14:conditionalFormatting xmlns:xm="http://schemas.microsoft.com/office/excel/2006/main">
          <x14:cfRule type="dataBar" id="{93C7D234-430A-4211-908D-F7A2EFECA2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B60:C75</xm:sqref>
        </x14:conditionalFormatting>
        <x14:conditionalFormatting xmlns:xm="http://schemas.microsoft.com/office/excel/2006/main">
          <x14:cfRule type="dataBar" id="{D502FBFD-CE44-4943-9D4B-F0A9F003C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5344B84-CE0B-4645-A96C-A1EA5637A3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C78:C80</xm:sqref>
        </x14:conditionalFormatting>
        <x14:conditionalFormatting xmlns:xm="http://schemas.microsoft.com/office/excel/2006/main">
          <x14:cfRule type="dataBar" id="{AB292FFE-8811-41BF-BF77-77B7ACFC1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C254:C255 C257</xm:sqref>
        </x14:conditionalFormatting>
        <x14:conditionalFormatting xmlns:xm="http://schemas.microsoft.com/office/excel/2006/main">
          <x14:cfRule type="dataBar" id="{0D5A522F-662E-4D5C-89ED-75D5FFDF86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C256</xm:sqref>
        </x14:conditionalFormatting>
        <x14:conditionalFormatting xmlns:xm="http://schemas.microsoft.com/office/excel/2006/main">
          <x14:cfRule type="dataBar" id="{8DDA390B-1641-4E68-B9D0-0153329C0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C258</xm:sqref>
        </x14:conditionalFormatting>
        <x14:conditionalFormatting xmlns:xm="http://schemas.microsoft.com/office/excel/2006/main">
          <x14:cfRule type="dataBar" id="{AF737ECA-1C2F-4D32-9FF9-7AD2D519F1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C261:C262 C264</xm:sqref>
        </x14:conditionalFormatting>
        <x14:conditionalFormatting xmlns:xm="http://schemas.microsoft.com/office/excel/2006/main">
          <x14:cfRule type="dataBar" id="{8AD40156-F138-4816-B780-FF114D545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C263</xm:sqref>
        </x14:conditionalFormatting>
        <x14:conditionalFormatting xmlns:xm="http://schemas.microsoft.com/office/excel/2006/main">
          <x14:cfRule type="dataBar" id="{D869F212-A5F5-428D-A9EB-B703697C7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C265</xm:sqref>
        </x14:conditionalFormatting>
        <x14:conditionalFormatting xmlns:xm="http://schemas.microsoft.com/office/excel/2006/main">
          <x14:cfRule type="dataBar" id="{12BD5686-3AC2-4E40-AE35-3B2D6C5AAF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C268:C269 C271</xm:sqref>
        </x14:conditionalFormatting>
        <x14:conditionalFormatting xmlns:xm="http://schemas.microsoft.com/office/excel/2006/main">
          <x14:cfRule type="dataBar" id="{A1A94A6D-E1C5-4285-9748-E343BB2D73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C270</xm:sqref>
        </x14:conditionalFormatting>
        <x14:conditionalFormatting xmlns:xm="http://schemas.microsoft.com/office/excel/2006/main">
          <x14:cfRule type="dataBar" id="{879A8685-71E1-4432-A91B-24B7D48BC8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C272</xm:sqref>
        </x14:conditionalFormatting>
        <x14:conditionalFormatting xmlns:xm="http://schemas.microsoft.com/office/excel/2006/main">
          <x14:cfRule type="dataBar" id="{25281012-1D5C-4041-9481-37AEF610A9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C275:C276 C278</xm:sqref>
        </x14:conditionalFormatting>
        <x14:conditionalFormatting xmlns:xm="http://schemas.microsoft.com/office/excel/2006/main">
          <x14:cfRule type="dataBar" id="{F3613B55-56FE-496C-B9EC-0ADA4AA993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C277</xm:sqref>
        </x14:conditionalFormatting>
        <x14:conditionalFormatting xmlns:xm="http://schemas.microsoft.com/office/excel/2006/main">
          <x14:cfRule type="dataBar" id="{BE0E59C3-B6D1-4E8E-890B-9FDD3542D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C279</xm:sqref>
        </x14:conditionalFormatting>
        <x14:conditionalFormatting xmlns:xm="http://schemas.microsoft.com/office/excel/2006/main">
          <x14:cfRule type="dataBar" id="{77EB7C4E-EE69-49F8-AD21-508FE8A4B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D144:D193</xm:sqref>
        </x14:conditionalFormatting>
        <x14:conditionalFormatting xmlns:xm="http://schemas.microsoft.com/office/excel/2006/main">
          <x14:cfRule type="dataBar" id="{7B568356-DFB9-43FA-97A4-4E2B3664D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D254:D258</xm:sqref>
        </x14:conditionalFormatting>
        <x14:conditionalFormatting xmlns:xm="http://schemas.microsoft.com/office/excel/2006/main">
          <x14:cfRule type="dataBar" id="{0FA83254-C945-4256-8B19-24F0E8386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D261:D265</xm:sqref>
        </x14:conditionalFormatting>
        <x14:conditionalFormatting xmlns:xm="http://schemas.microsoft.com/office/excel/2006/main">
          <x14:cfRule type="dataBar" id="{11A386C3-CD78-40B2-A48F-CFD08626A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D268:D272</xm:sqref>
        </x14:conditionalFormatting>
        <x14:conditionalFormatting xmlns:xm="http://schemas.microsoft.com/office/excel/2006/main">
          <x14:cfRule type="dataBar" id="{FDE3ADF9-CBEE-4D9F-BDF0-B26FDFF62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D275:D279</xm:sqref>
        </x14:conditionalFormatting>
        <x14:conditionalFormatting xmlns:xm="http://schemas.microsoft.com/office/excel/2006/main">
          <x14:cfRule type="dataBar" id="{D62D1775-3E98-4B30-BCD7-ED0E456C69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D283:D306</xm:sqref>
        </x14:conditionalFormatting>
        <x14:conditionalFormatting xmlns:xm="http://schemas.microsoft.com/office/excel/2006/main">
          <x14:cfRule type="dataBar" id="{B59DDF34-F5B5-46AD-B503-2C0FD70D6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D310:D333</xm:sqref>
        </x14:conditionalFormatting>
        <x14:conditionalFormatting xmlns:xm="http://schemas.microsoft.com/office/excel/2006/main">
          <x14:cfRule type="dataBar" id="{74654B09-9F8F-477D-95DC-E69AF96239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D337:D360</xm:sqref>
        </x14:conditionalFormatting>
        <x14:conditionalFormatting xmlns:xm="http://schemas.microsoft.com/office/excel/2006/main">
          <x14:cfRule type="dataBar" id="{4DE964A2-8663-4CD2-9987-7CC43D424A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D364:D387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016A0-4698-49DE-8765-E38F066FA467}">
  <dimension ref="A1:T61"/>
  <sheetViews>
    <sheetView zoomScale="85" zoomScaleNormal="85" workbookViewId="0">
      <selection activeCell="A22" sqref="A22:C26"/>
    </sheetView>
  </sheetViews>
  <sheetFormatPr defaultRowHeight="14.25" x14ac:dyDescent="0.2"/>
  <cols>
    <col min="1" max="1" width="16" style="84" customWidth="1"/>
    <col min="2" max="2" width="37.625" style="84" customWidth="1"/>
    <col min="3" max="3" width="52.625" style="84" bestFit="1" customWidth="1"/>
    <col min="4" max="5" width="14.75" style="84" customWidth="1"/>
    <col min="6" max="6" width="9" style="84"/>
    <col min="7" max="8" width="9" style="94"/>
    <col min="9" max="17" width="9" style="84"/>
    <col min="18" max="18" width="18" style="84" customWidth="1"/>
    <col min="19" max="19" width="26.25" style="84" bestFit="1" customWidth="1"/>
    <col min="20" max="20" width="21.375" style="84" bestFit="1" customWidth="1"/>
    <col min="21" max="16384" width="9" style="84"/>
  </cols>
  <sheetData>
    <row r="1" spans="1:16" x14ac:dyDescent="0.2">
      <c r="A1" s="151" t="s">
        <v>1949</v>
      </c>
      <c r="B1" s="151" t="s">
        <v>1950</v>
      </c>
      <c r="C1" s="151" t="s">
        <v>1951</v>
      </c>
      <c r="D1" s="151" t="s">
        <v>1952</v>
      </c>
      <c r="E1" s="151" t="s">
        <v>391</v>
      </c>
      <c r="G1" s="94" t="s">
        <v>1953</v>
      </c>
      <c r="N1" s="84" t="s">
        <v>2024</v>
      </c>
    </row>
    <row r="2" spans="1:16" x14ac:dyDescent="0.2">
      <c r="A2" s="178" t="s">
        <v>1959</v>
      </c>
      <c r="B2" s="152" t="s">
        <v>1960</v>
      </c>
      <c r="C2" s="152" t="s">
        <v>1964</v>
      </c>
      <c r="D2" s="152"/>
      <c r="E2" s="152"/>
      <c r="H2" s="94" t="s">
        <v>1967</v>
      </c>
      <c r="O2" s="153" t="s">
        <v>2028</v>
      </c>
    </row>
    <row r="3" spans="1:16" x14ac:dyDescent="0.2">
      <c r="A3" s="178"/>
      <c r="B3" s="152" t="s">
        <v>1961</v>
      </c>
      <c r="C3" s="152" t="s">
        <v>1965</v>
      </c>
      <c r="D3" s="152"/>
      <c r="E3" s="152"/>
      <c r="G3" s="94" t="s">
        <v>1954</v>
      </c>
      <c r="P3" s="84" t="s">
        <v>2029</v>
      </c>
    </row>
    <row r="4" spans="1:16" x14ac:dyDescent="0.2">
      <c r="A4" s="178"/>
      <c r="B4" s="152" t="s">
        <v>1962</v>
      </c>
      <c r="C4" s="152" t="s">
        <v>1966</v>
      </c>
      <c r="D4" s="152"/>
      <c r="E4" s="152"/>
      <c r="H4" s="94" t="s">
        <v>1968</v>
      </c>
      <c r="O4" s="84" t="s">
        <v>2025</v>
      </c>
    </row>
    <row r="5" spans="1:16" x14ac:dyDescent="0.2">
      <c r="A5" s="178"/>
      <c r="B5" s="152" t="s">
        <v>1963</v>
      </c>
      <c r="C5" s="152"/>
      <c r="D5" s="152"/>
      <c r="E5" s="152"/>
      <c r="H5" s="94" t="s">
        <v>1969</v>
      </c>
      <c r="O5" s="84" t="s">
        <v>2026</v>
      </c>
    </row>
    <row r="6" spans="1:16" x14ac:dyDescent="0.2">
      <c r="A6" s="178"/>
      <c r="B6" s="152" t="s">
        <v>1958</v>
      </c>
      <c r="C6" s="152"/>
      <c r="D6" s="152"/>
      <c r="E6" s="152"/>
      <c r="G6" s="94" t="s">
        <v>1955</v>
      </c>
      <c r="O6" s="84" t="s">
        <v>2027</v>
      </c>
    </row>
    <row r="7" spans="1:16" x14ac:dyDescent="0.2">
      <c r="A7" s="178" t="s">
        <v>13</v>
      </c>
      <c r="B7" s="152" t="s">
        <v>2004</v>
      </c>
      <c r="C7" s="152" t="s">
        <v>2017</v>
      </c>
      <c r="D7" s="152"/>
      <c r="E7" s="152"/>
      <c r="H7" s="94" t="s">
        <v>1970</v>
      </c>
    </row>
    <row r="8" spans="1:16" x14ac:dyDescent="0.2">
      <c r="A8" s="178"/>
      <c r="B8" s="152" t="s">
        <v>2005</v>
      </c>
      <c r="C8" s="152" t="s">
        <v>2015</v>
      </c>
      <c r="D8" s="152"/>
      <c r="E8" s="152"/>
      <c r="H8" s="94" t="s">
        <v>1971</v>
      </c>
    </row>
    <row r="9" spans="1:16" x14ac:dyDescent="0.2">
      <c r="A9" s="178"/>
      <c r="B9" s="152" t="s">
        <v>2006</v>
      </c>
      <c r="C9" s="152" t="s">
        <v>2016</v>
      </c>
      <c r="D9" s="152"/>
      <c r="E9" s="152"/>
      <c r="H9" s="94" t="s">
        <v>1972</v>
      </c>
    </row>
    <row r="10" spans="1:16" x14ac:dyDescent="0.2">
      <c r="A10" s="178"/>
      <c r="B10" s="152" t="s">
        <v>1963</v>
      </c>
      <c r="C10" s="152"/>
      <c r="D10" s="152"/>
      <c r="E10" s="152"/>
    </row>
    <row r="11" spans="1:16" x14ac:dyDescent="0.2">
      <c r="A11" s="178"/>
      <c r="B11" s="152" t="s">
        <v>1958</v>
      </c>
      <c r="C11" s="152"/>
      <c r="D11" s="152"/>
      <c r="E11" s="152"/>
      <c r="G11" s="94" t="s">
        <v>1973</v>
      </c>
    </row>
    <row r="12" spans="1:16" x14ac:dyDescent="0.2">
      <c r="A12" s="178" t="s">
        <v>673</v>
      </c>
      <c r="B12" s="152" t="s">
        <v>1996</v>
      </c>
      <c r="C12" s="152" t="s">
        <v>2010</v>
      </c>
      <c r="D12" s="152"/>
      <c r="E12" s="152"/>
      <c r="H12" s="94" t="s">
        <v>1974</v>
      </c>
    </row>
    <row r="13" spans="1:16" x14ac:dyDescent="0.2">
      <c r="A13" s="178"/>
      <c r="B13" s="152" t="s">
        <v>1995</v>
      </c>
      <c r="C13" s="152" t="s">
        <v>2008</v>
      </c>
      <c r="D13" s="152"/>
      <c r="E13" s="152"/>
    </row>
    <row r="14" spans="1:16" x14ac:dyDescent="0.2">
      <c r="A14" s="178"/>
      <c r="B14" s="152" t="s">
        <v>1997</v>
      </c>
      <c r="C14" s="152" t="s">
        <v>2009</v>
      </c>
      <c r="D14" s="152"/>
      <c r="E14" s="152"/>
      <c r="G14" s="94" t="s">
        <v>1449</v>
      </c>
    </row>
    <row r="15" spans="1:16" x14ac:dyDescent="0.2">
      <c r="A15" s="178"/>
      <c r="B15" s="152" t="s">
        <v>1963</v>
      </c>
      <c r="C15" s="152"/>
      <c r="D15" s="152"/>
      <c r="E15" s="152"/>
      <c r="H15" s="94" t="s">
        <v>2018</v>
      </c>
    </row>
    <row r="16" spans="1:16" x14ac:dyDescent="0.2">
      <c r="A16" s="178"/>
      <c r="B16" s="152" t="s">
        <v>1958</v>
      </c>
      <c r="C16" s="152"/>
      <c r="D16" s="152"/>
      <c r="E16" s="152"/>
      <c r="H16" s="94" t="s">
        <v>2019</v>
      </c>
    </row>
    <row r="17" spans="1:20" x14ac:dyDescent="0.2">
      <c r="A17" s="178" t="s">
        <v>674</v>
      </c>
      <c r="B17" s="152" t="s">
        <v>2002</v>
      </c>
      <c r="C17" s="152" t="s">
        <v>2012</v>
      </c>
      <c r="D17" s="152"/>
      <c r="E17" s="152"/>
      <c r="F17" s="84" t="s">
        <v>1977</v>
      </c>
      <c r="L17" s="84" t="s">
        <v>1978</v>
      </c>
      <c r="M17" s="94"/>
      <c r="N17" s="94"/>
      <c r="R17" s="84" t="s">
        <v>1979</v>
      </c>
    </row>
    <row r="18" spans="1:20" x14ac:dyDescent="0.2">
      <c r="A18" s="178"/>
      <c r="B18" s="152" t="s">
        <v>1998</v>
      </c>
      <c r="C18" s="152" t="s">
        <v>2011</v>
      </c>
      <c r="D18" s="152"/>
      <c r="E18" s="152"/>
      <c r="F18" s="84" t="s">
        <v>1975</v>
      </c>
      <c r="G18" s="94" t="s">
        <v>1607</v>
      </c>
      <c r="H18" s="94" t="s">
        <v>1953</v>
      </c>
      <c r="I18" s="84" t="s">
        <v>1954</v>
      </c>
      <c r="J18" s="84" t="s">
        <v>1955</v>
      </c>
      <c r="L18" s="84" t="s">
        <v>1975</v>
      </c>
      <c r="M18" s="94" t="s">
        <v>1607</v>
      </c>
      <c r="N18" s="94" t="s">
        <v>1953</v>
      </c>
      <c r="O18" s="84" t="s">
        <v>1954</v>
      </c>
      <c r="P18" s="84" t="s">
        <v>1955</v>
      </c>
      <c r="R18" s="94" t="s">
        <v>1953</v>
      </c>
      <c r="S18" s="84" t="s">
        <v>1954</v>
      </c>
      <c r="T18" s="84" t="s">
        <v>1955</v>
      </c>
    </row>
    <row r="19" spans="1:20" x14ac:dyDescent="0.2">
      <c r="A19" s="178"/>
      <c r="B19" s="152" t="s">
        <v>1999</v>
      </c>
      <c r="C19" s="152" t="s">
        <v>2009</v>
      </c>
      <c r="D19" s="152"/>
      <c r="E19" s="152"/>
      <c r="G19" s="94" t="s">
        <v>1980</v>
      </c>
      <c r="H19" s="94">
        <v>0</v>
      </c>
      <c r="I19" s="84">
        <v>0</v>
      </c>
      <c r="J19" s="84">
        <v>0</v>
      </c>
      <c r="M19" s="94" t="s">
        <v>1980</v>
      </c>
      <c r="N19" s="94">
        <v>0</v>
      </c>
      <c r="O19" s="84">
        <v>0</v>
      </c>
      <c r="P19" s="84">
        <v>0</v>
      </c>
      <c r="R19" s="84" t="s">
        <v>51</v>
      </c>
      <c r="S19" s="84" t="s">
        <v>51</v>
      </c>
      <c r="T19" s="84" t="s">
        <v>51</v>
      </c>
    </row>
    <row r="20" spans="1:20" x14ac:dyDescent="0.2">
      <c r="A20" s="178"/>
      <c r="B20" s="152" t="s">
        <v>1963</v>
      </c>
      <c r="C20" s="152"/>
      <c r="D20" s="152"/>
      <c r="E20" s="152"/>
      <c r="G20" s="94" t="s">
        <v>1377</v>
      </c>
      <c r="H20" s="94">
        <v>5</v>
      </c>
      <c r="I20" s="84">
        <v>0.5</v>
      </c>
      <c r="J20" s="84">
        <v>1</v>
      </c>
      <c r="M20" s="94" t="s">
        <v>1377</v>
      </c>
      <c r="N20" s="94">
        <v>3</v>
      </c>
      <c r="O20" s="84">
        <v>1</v>
      </c>
      <c r="P20" s="84">
        <v>1</v>
      </c>
      <c r="R20" s="84" t="s">
        <v>1981</v>
      </c>
      <c r="S20" s="84" t="s">
        <v>1985</v>
      </c>
    </row>
    <row r="21" spans="1:20" x14ac:dyDescent="0.2">
      <c r="A21" s="178"/>
      <c r="B21" s="152" t="s">
        <v>1958</v>
      </c>
      <c r="C21" s="152"/>
      <c r="D21" s="152"/>
      <c r="E21" s="152"/>
      <c r="G21" s="94" t="s">
        <v>673</v>
      </c>
      <c r="H21" s="94">
        <v>2</v>
      </c>
      <c r="I21" s="84">
        <v>1</v>
      </c>
      <c r="J21" s="84">
        <v>2</v>
      </c>
      <c r="M21" s="94" t="s">
        <v>673</v>
      </c>
      <c r="N21" s="94">
        <v>3</v>
      </c>
      <c r="O21" s="84">
        <v>2</v>
      </c>
      <c r="P21" s="84">
        <v>1</v>
      </c>
      <c r="R21" s="84" t="s">
        <v>1982</v>
      </c>
      <c r="S21" s="84" t="s">
        <v>1986</v>
      </c>
      <c r="T21" s="84" t="s">
        <v>1992</v>
      </c>
    </row>
    <row r="22" spans="1:20" x14ac:dyDescent="0.2">
      <c r="A22" s="178" t="s">
        <v>675</v>
      </c>
      <c r="B22" s="152" t="s">
        <v>2002</v>
      </c>
      <c r="C22" s="152" t="s">
        <v>2012</v>
      </c>
      <c r="D22" s="152"/>
      <c r="E22" s="152"/>
      <c r="G22" s="94" t="s">
        <v>674</v>
      </c>
      <c r="H22" s="94">
        <v>3</v>
      </c>
      <c r="I22" s="84">
        <v>1.5</v>
      </c>
      <c r="J22" s="84">
        <v>3</v>
      </c>
      <c r="M22" s="94" t="s">
        <v>674</v>
      </c>
      <c r="N22" s="94">
        <v>4</v>
      </c>
      <c r="O22" s="84">
        <v>3</v>
      </c>
      <c r="P22" s="84">
        <v>1</v>
      </c>
      <c r="R22" s="84" t="s">
        <v>1983</v>
      </c>
      <c r="S22" s="84" t="s">
        <v>1988</v>
      </c>
      <c r="T22" s="84" t="s">
        <v>1992</v>
      </c>
    </row>
    <row r="23" spans="1:20" x14ac:dyDescent="0.2">
      <c r="A23" s="178"/>
      <c r="B23" s="152" t="s">
        <v>2000</v>
      </c>
      <c r="C23" s="152" t="s">
        <v>2011</v>
      </c>
      <c r="D23" s="152"/>
      <c r="E23" s="152"/>
      <c r="G23" s="94" t="s">
        <v>675</v>
      </c>
      <c r="H23" s="94">
        <v>4</v>
      </c>
      <c r="I23" s="84">
        <v>2</v>
      </c>
      <c r="J23" s="84">
        <v>2</v>
      </c>
      <c r="M23" s="94" t="s">
        <v>675</v>
      </c>
      <c r="N23" s="94">
        <v>4</v>
      </c>
      <c r="O23" s="84">
        <v>4</v>
      </c>
      <c r="P23" s="84">
        <v>2</v>
      </c>
      <c r="R23" s="84" t="s">
        <v>1983</v>
      </c>
      <c r="S23" s="84" t="s">
        <v>1987</v>
      </c>
      <c r="T23" s="84" t="s">
        <v>1993</v>
      </c>
    </row>
    <row r="24" spans="1:20" x14ac:dyDescent="0.2">
      <c r="A24" s="178"/>
      <c r="B24" s="152" t="s">
        <v>2001</v>
      </c>
      <c r="C24" s="152" t="s">
        <v>2013</v>
      </c>
      <c r="D24" s="152"/>
      <c r="E24" s="152"/>
      <c r="G24" s="94" t="s">
        <v>676</v>
      </c>
      <c r="H24" s="94">
        <v>2</v>
      </c>
      <c r="I24" s="84">
        <v>2.5</v>
      </c>
      <c r="J24" s="84">
        <v>3</v>
      </c>
      <c r="M24" s="94" t="s">
        <v>676</v>
      </c>
      <c r="N24" s="94">
        <v>4</v>
      </c>
      <c r="O24" s="84">
        <v>5</v>
      </c>
      <c r="P24" s="84">
        <v>2</v>
      </c>
      <c r="R24" s="84" t="s">
        <v>1983</v>
      </c>
      <c r="T24" s="84" t="s">
        <v>1994</v>
      </c>
    </row>
    <row r="25" spans="1:20" x14ac:dyDescent="0.2">
      <c r="A25" s="178"/>
      <c r="B25" s="152" t="s">
        <v>1963</v>
      </c>
      <c r="C25" s="152"/>
      <c r="D25" s="152"/>
      <c r="E25" s="152"/>
      <c r="G25" s="94" t="s">
        <v>1976</v>
      </c>
      <c r="H25" s="94">
        <v>10</v>
      </c>
      <c r="I25" s="84">
        <v>3</v>
      </c>
      <c r="J25" s="84">
        <v>4</v>
      </c>
      <c r="M25" s="94" t="s">
        <v>1976</v>
      </c>
      <c r="N25" s="94">
        <v>6</v>
      </c>
      <c r="O25" s="84">
        <v>5</v>
      </c>
      <c r="P25" s="84">
        <v>4</v>
      </c>
      <c r="R25" s="84" t="s">
        <v>1984</v>
      </c>
    </row>
    <row r="26" spans="1:20" x14ac:dyDescent="0.2">
      <c r="A26" s="178"/>
      <c r="B26" s="152" t="s">
        <v>1958</v>
      </c>
      <c r="C26" s="152"/>
      <c r="D26" s="152"/>
      <c r="E26" s="152"/>
      <c r="G26" s="94" t="s">
        <v>1976</v>
      </c>
      <c r="H26" s="94">
        <v>5</v>
      </c>
      <c r="I26" s="84">
        <v>3.5</v>
      </c>
      <c r="J26" s="84">
        <v>3</v>
      </c>
      <c r="M26" s="94" t="s">
        <v>1976</v>
      </c>
      <c r="N26" s="94">
        <v>5</v>
      </c>
      <c r="O26" s="84">
        <v>5</v>
      </c>
      <c r="P26" s="84">
        <v>3</v>
      </c>
    </row>
    <row r="27" spans="1:20" x14ac:dyDescent="0.2">
      <c r="A27" s="178" t="s">
        <v>676</v>
      </c>
      <c r="B27" s="152" t="s">
        <v>2002</v>
      </c>
      <c r="C27" s="152" t="s">
        <v>2012</v>
      </c>
      <c r="D27" s="152"/>
      <c r="E27" s="152"/>
      <c r="M27" s="94"/>
      <c r="N27" s="94"/>
      <c r="S27" s="84" t="s">
        <v>1989</v>
      </c>
    </row>
    <row r="28" spans="1:20" x14ac:dyDescent="0.2">
      <c r="A28" s="178"/>
      <c r="B28" s="152" t="s">
        <v>2003</v>
      </c>
      <c r="C28" s="152" t="s">
        <v>2011</v>
      </c>
      <c r="D28" s="152"/>
      <c r="E28" s="152"/>
      <c r="M28" s="94"/>
      <c r="N28" s="94"/>
      <c r="S28" s="84" t="s">
        <v>1990</v>
      </c>
    </row>
    <row r="29" spans="1:20" x14ac:dyDescent="0.2">
      <c r="A29" s="178"/>
      <c r="B29" s="152" t="s">
        <v>1999</v>
      </c>
      <c r="C29" s="152" t="s">
        <v>2014</v>
      </c>
      <c r="D29" s="152"/>
      <c r="E29" s="152"/>
      <c r="M29" s="94"/>
      <c r="N29" s="94"/>
      <c r="S29" s="84" t="s">
        <v>1991</v>
      </c>
    </row>
    <row r="30" spans="1:20" x14ac:dyDescent="0.2">
      <c r="A30" s="178"/>
      <c r="B30" s="152" t="s">
        <v>1963</v>
      </c>
      <c r="C30" s="152"/>
      <c r="D30" s="152"/>
      <c r="E30" s="152"/>
      <c r="F30" s="84" t="s">
        <v>936</v>
      </c>
      <c r="G30" s="94" t="s">
        <v>1607</v>
      </c>
      <c r="H30" s="94" t="s">
        <v>1953</v>
      </c>
      <c r="I30" s="84" t="s">
        <v>1954</v>
      </c>
      <c r="J30" s="84" t="s">
        <v>1955</v>
      </c>
      <c r="L30" s="84" t="s">
        <v>936</v>
      </c>
      <c r="M30" s="94" t="s">
        <v>1607</v>
      </c>
      <c r="N30" s="94" t="s">
        <v>1953</v>
      </c>
      <c r="O30" s="84" t="s">
        <v>1954</v>
      </c>
      <c r="P30" s="84" t="s">
        <v>1955</v>
      </c>
    </row>
    <row r="31" spans="1:20" x14ac:dyDescent="0.2">
      <c r="A31" s="178"/>
      <c r="B31" s="152" t="s">
        <v>1958</v>
      </c>
      <c r="C31" s="152"/>
      <c r="D31" s="152"/>
      <c r="E31" s="152"/>
      <c r="G31" s="94" t="s">
        <v>1980</v>
      </c>
      <c r="H31" s="94">
        <v>0</v>
      </c>
      <c r="I31" s="94">
        <v>0</v>
      </c>
      <c r="J31" s="94">
        <v>0</v>
      </c>
      <c r="M31" s="94" t="s">
        <v>1608</v>
      </c>
      <c r="N31" s="94">
        <v>0</v>
      </c>
      <c r="O31" s="94">
        <v>0</v>
      </c>
      <c r="P31" s="94">
        <v>0</v>
      </c>
      <c r="S31" s="84" t="s">
        <v>2023</v>
      </c>
    </row>
    <row r="32" spans="1:20" x14ac:dyDescent="0.2">
      <c r="A32" s="178" t="s">
        <v>677</v>
      </c>
      <c r="B32" s="152" t="s">
        <v>2007</v>
      </c>
      <c r="C32" s="152"/>
      <c r="D32" s="152"/>
      <c r="E32" s="152"/>
      <c r="G32" s="94" t="s">
        <v>1608</v>
      </c>
      <c r="H32" s="94">
        <v>5</v>
      </c>
      <c r="I32" s="94">
        <v>1</v>
      </c>
      <c r="J32" s="94">
        <v>2</v>
      </c>
      <c r="K32" s="84" t="s">
        <v>1625</v>
      </c>
      <c r="M32" s="94" t="s">
        <v>2021</v>
      </c>
      <c r="N32" s="94">
        <v>0</v>
      </c>
      <c r="O32" s="94">
        <v>0</v>
      </c>
      <c r="P32" s="94">
        <v>0</v>
      </c>
    </row>
    <row r="33" spans="1:19" x14ac:dyDescent="0.2">
      <c r="A33" s="178"/>
      <c r="B33" s="152" t="s">
        <v>1956</v>
      </c>
      <c r="C33" s="152"/>
      <c r="D33" s="152"/>
      <c r="E33" s="152"/>
      <c r="G33" s="94" t="s">
        <v>2021</v>
      </c>
      <c r="H33" s="94">
        <v>4</v>
      </c>
      <c r="I33" s="94">
        <v>2</v>
      </c>
      <c r="J33" s="94">
        <v>4</v>
      </c>
      <c r="M33" s="94" t="s">
        <v>1613</v>
      </c>
      <c r="N33" s="94">
        <v>0</v>
      </c>
      <c r="O33" s="94">
        <v>0</v>
      </c>
      <c r="P33" s="94">
        <v>0</v>
      </c>
      <c r="S33" s="84" t="s">
        <v>2023</v>
      </c>
    </row>
    <row r="34" spans="1:19" x14ac:dyDescent="0.2">
      <c r="A34" s="178"/>
      <c r="B34" s="152" t="s">
        <v>1957</v>
      </c>
      <c r="C34" s="152"/>
      <c r="D34" s="152"/>
      <c r="E34" s="152"/>
      <c r="G34" s="94" t="s">
        <v>1613</v>
      </c>
      <c r="H34" s="94">
        <v>3</v>
      </c>
      <c r="I34" s="94">
        <v>3</v>
      </c>
      <c r="J34" s="94">
        <v>3</v>
      </c>
      <c r="M34" s="94" t="s">
        <v>1614</v>
      </c>
      <c r="N34" s="94">
        <v>0</v>
      </c>
      <c r="O34" s="94">
        <v>0</v>
      </c>
      <c r="P34" s="94">
        <v>0</v>
      </c>
    </row>
    <row r="35" spans="1:19" x14ac:dyDescent="0.2">
      <c r="A35" s="178"/>
      <c r="B35" s="152" t="s">
        <v>1963</v>
      </c>
      <c r="C35" s="152"/>
      <c r="D35" s="152"/>
      <c r="E35" s="152"/>
      <c r="G35" s="94" t="s">
        <v>1614</v>
      </c>
      <c r="H35" s="94">
        <v>5</v>
      </c>
      <c r="I35" s="94">
        <v>4</v>
      </c>
      <c r="J35" s="94">
        <v>5</v>
      </c>
      <c r="K35" s="84" t="s">
        <v>2020</v>
      </c>
      <c r="M35" s="94" t="s">
        <v>1615</v>
      </c>
      <c r="N35" s="94">
        <v>0</v>
      </c>
      <c r="O35" s="94">
        <v>0</v>
      </c>
      <c r="P35" s="94">
        <v>0</v>
      </c>
      <c r="S35" s="84" t="s">
        <v>2022</v>
      </c>
    </row>
    <row r="36" spans="1:19" x14ac:dyDescent="0.2">
      <c r="A36" s="178"/>
      <c r="B36" s="152" t="s">
        <v>1958</v>
      </c>
      <c r="C36" s="152"/>
      <c r="D36" s="152"/>
      <c r="E36" s="152"/>
      <c r="G36" s="94" t="s">
        <v>1615</v>
      </c>
      <c r="H36" s="94">
        <v>3</v>
      </c>
      <c r="I36" s="94">
        <v>5</v>
      </c>
      <c r="J36" s="94">
        <v>4</v>
      </c>
      <c r="M36" s="94" t="s">
        <v>1616</v>
      </c>
      <c r="N36" s="94">
        <v>0</v>
      </c>
      <c r="O36" s="94">
        <v>0</v>
      </c>
      <c r="P36" s="94">
        <v>0</v>
      </c>
    </row>
    <row r="37" spans="1:19" x14ac:dyDescent="0.2">
      <c r="A37" s="178" t="s">
        <v>949</v>
      </c>
      <c r="B37" s="152" t="s">
        <v>2002</v>
      </c>
      <c r="C37" s="152"/>
      <c r="D37" s="152"/>
      <c r="E37" s="152"/>
      <c r="G37" s="94" t="s">
        <v>1616</v>
      </c>
      <c r="H37" s="94">
        <v>10</v>
      </c>
      <c r="I37" s="94">
        <v>6</v>
      </c>
      <c r="J37" s="94">
        <v>6</v>
      </c>
      <c r="K37" s="84" t="s">
        <v>2020</v>
      </c>
      <c r="M37" s="94" t="s">
        <v>1617</v>
      </c>
      <c r="N37" s="94">
        <v>0</v>
      </c>
      <c r="O37" s="94">
        <v>0</v>
      </c>
      <c r="P37" s="94">
        <v>0</v>
      </c>
      <c r="S37" s="84" t="s">
        <v>2022</v>
      </c>
    </row>
    <row r="38" spans="1:19" x14ac:dyDescent="0.2">
      <c r="A38" s="178"/>
      <c r="B38" s="152" t="s">
        <v>1956</v>
      </c>
      <c r="C38" s="152"/>
      <c r="D38" s="152"/>
      <c r="E38" s="152"/>
      <c r="G38" s="94" t="s">
        <v>1617</v>
      </c>
      <c r="H38" s="94">
        <v>3</v>
      </c>
      <c r="I38" s="94">
        <v>7</v>
      </c>
      <c r="J38" s="94">
        <v>5</v>
      </c>
      <c r="M38" s="94" t="s">
        <v>1623</v>
      </c>
      <c r="N38" s="94">
        <v>0</v>
      </c>
      <c r="O38" s="94">
        <v>0</v>
      </c>
      <c r="P38" s="94">
        <v>0</v>
      </c>
    </row>
    <row r="39" spans="1:19" x14ac:dyDescent="0.2">
      <c r="A39" s="178"/>
      <c r="B39" s="152" t="s">
        <v>1957</v>
      </c>
      <c r="C39" s="152"/>
      <c r="D39" s="152"/>
      <c r="E39" s="152"/>
    </row>
    <row r="40" spans="1:19" x14ac:dyDescent="0.2">
      <c r="A40" s="178"/>
      <c r="B40" s="152" t="s">
        <v>1963</v>
      </c>
      <c r="C40" s="152"/>
      <c r="D40" s="152"/>
      <c r="E40" s="152"/>
    </row>
    <row r="41" spans="1:19" x14ac:dyDescent="0.2">
      <c r="A41" s="178"/>
      <c r="B41" s="152" t="s">
        <v>1958</v>
      </c>
      <c r="C41" s="152"/>
      <c r="D41" s="152"/>
      <c r="E41" s="152"/>
    </row>
    <row r="42" spans="1:19" x14ac:dyDescent="0.2">
      <c r="A42" s="178" t="s">
        <v>950</v>
      </c>
      <c r="B42" s="152" t="s">
        <v>2007</v>
      </c>
      <c r="C42" s="152"/>
      <c r="D42" s="152"/>
      <c r="E42" s="152"/>
    </row>
    <row r="43" spans="1:19" x14ac:dyDescent="0.2">
      <c r="A43" s="178"/>
      <c r="B43" s="152" t="s">
        <v>1956</v>
      </c>
      <c r="C43" s="152"/>
      <c r="D43" s="152"/>
      <c r="E43" s="152"/>
    </row>
    <row r="44" spans="1:19" x14ac:dyDescent="0.2">
      <c r="A44" s="178"/>
      <c r="B44" s="152" t="s">
        <v>1957</v>
      </c>
      <c r="C44" s="152"/>
      <c r="D44" s="152"/>
      <c r="E44" s="152"/>
    </row>
    <row r="45" spans="1:19" x14ac:dyDescent="0.2">
      <c r="A45" s="178"/>
      <c r="B45" s="152" t="s">
        <v>1963</v>
      </c>
      <c r="C45" s="152"/>
      <c r="D45" s="152"/>
      <c r="E45" s="152"/>
    </row>
    <row r="46" spans="1:19" x14ac:dyDescent="0.2">
      <c r="A46" s="178"/>
      <c r="B46" s="152" t="s">
        <v>1958</v>
      </c>
      <c r="C46" s="152"/>
      <c r="D46" s="152"/>
      <c r="E46" s="152"/>
    </row>
    <row r="47" spans="1:19" x14ac:dyDescent="0.2">
      <c r="A47" s="178" t="s">
        <v>951</v>
      </c>
      <c r="B47" s="152" t="s">
        <v>2002</v>
      </c>
      <c r="C47" s="152"/>
      <c r="D47" s="152"/>
      <c r="E47" s="152"/>
    </row>
    <row r="48" spans="1:19" x14ac:dyDescent="0.2">
      <c r="A48" s="178"/>
      <c r="B48" s="152" t="s">
        <v>1956</v>
      </c>
      <c r="C48" s="152"/>
      <c r="D48" s="152"/>
      <c r="E48" s="152"/>
    </row>
    <row r="49" spans="1:5" x14ac:dyDescent="0.2">
      <c r="A49" s="178"/>
      <c r="B49" s="152" t="s">
        <v>1957</v>
      </c>
      <c r="C49" s="152"/>
      <c r="D49" s="152"/>
      <c r="E49" s="152"/>
    </row>
    <row r="50" spans="1:5" x14ac:dyDescent="0.2">
      <c r="A50" s="178"/>
      <c r="B50" s="152" t="s">
        <v>1963</v>
      </c>
      <c r="C50" s="152"/>
      <c r="D50" s="152"/>
      <c r="E50" s="152"/>
    </row>
    <row r="51" spans="1:5" x14ac:dyDescent="0.2">
      <c r="A51" s="178"/>
      <c r="B51" s="152" t="s">
        <v>1958</v>
      </c>
      <c r="C51" s="152"/>
      <c r="D51" s="152"/>
      <c r="E51" s="152"/>
    </row>
    <row r="52" spans="1:5" x14ac:dyDescent="0.2">
      <c r="A52" s="178" t="s">
        <v>952</v>
      </c>
      <c r="B52" s="152" t="s">
        <v>2007</v>
      </c>
      <c r="C52" s="152"/>
      <c r="D52" s="152"/>
      <c r="E52" s="152"/>
    </row>
    <row r="53" spans="1:5" x14ac:dyDescent="0.2">
      <c r="A53" s="178"/>
      <c r="B53" s="152" t="s">
        <v>1956</v>
      </c>
      <c r="C53" s="152"/>
      <c r="D53" s="152"/>
      <c r="E53" s="152"/>
    </row>
    <row r="54" spans="1:5" x14ac:dyDescent="0.2">
      <c r="A54" s="178"/>
      <c r="B54" s="152" t="s">
        <v>1957</v>
      </c>
      <c r="C54" s="152"/>
      <c r="D54" s="152"/>
      <c r="E54" s="152"/>
    </row>
    <row r="55" spans="1:5" x14ac:dyDescent="0.2">
      <c r="A55" s="178"/>
      <c r="B55" s="152" t="s">
        <v>1963</v>
      </c>
      <c r="C55" s="152"/>
      <c r="D55" s="152"/>
      <c r="E55" s="152"/>
    </row>
    <row r="56" spans="1:5" x14ac:dyDescent="0.2">
      <c r="A56" s="178"/>
      <c r="B56" s="152" t="s">
        <v>1958</v>
      </c>
      <c r="C56" s="152"/>
      <c r="D56" s="152"/>
      <c r="E56" s="152"/>
    </row>
    <row r="57" spans="1:5" x14ac:dyDescent="0.2">
      <c r="A57" s="178" t="s">
        <v>953</v>
      </c>
      <c r="B57" s="152" t="s">
        <v>2002</v>
      </c>
      <c r="C57" s="152"/>
      <c r="D57" s="152"/>
      <c r="E57" s="152"/>
    </row>
    <row r="58" spans="1:5" x14ac:dyDescent="0.2">
      <c r="A58" s="178"/>
      <c r="B58" s="152" t="s">
        <v>1956</v>
      </c>
      <c r="C58" s="152"/>
      <c r="D58" s="152"/>
      <c r="E58" s="152"/>
    </row>
    <row r="59" spans="1:5" x14ac:dyDescent="0.2">
      <c r="A59" s="178"/>
      <c r="B59" s="152" t="s">
        <v>1957</v>
      </c>
      <c r="C59" s="152"/>
      <c r="D59" s="152"/>
      <c r="E59" s="152"/>
    </row>
    <row r="60" spans="1:5" x14ac:dyDescent="0.2">
      <c r="A60" s="178"/>
      <c r="B60" s="152" t="s">
        <v>1963</v>
      </c>
      <c r="C60" s="152"/>
      <c r="D60" s="152"/>
      <c r="E60" s="152"/>
    </row>
    <row r="61" spans="1:5" x14ac:dyDescent="0.2">
      <c r="A61" s="178"/>
      <c r="B61" s="152" t="s">
        <v>1958</v>
      </c>
      <c r="C61" s="152"/>
      <c r="D61" s="152"/>
      <c r="E61" s="152"/>
    </row>
  </sheetData>
  <mergeCells count="12">
    <mergeCell ref="A57:A61"/>
    <mergeCell ref="A7:A11"/>
    <mergeCell ref="A2:A6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B905-BD30-4AD7-83C7-9D3E6D5A97A2}">
  <dimension ref="A1:L37"/>
  <sheetViews>
    <sheetView workbookViewId="0">
      <selection activeCell="B33" sqref="B33"/>
    </sheetView>
  </sheetViews>
  <sheetFormatPr defaultRowHeight="14.25" x14ac:dyDescent="0.2"/>
  <cols>
    <col min="2" max="2" width="21.375" bestFit="1" customWidth="1"/>
  </cols>
  <sheetData>
    <row r="1" spans="1:12" s="4" customFormat="1" x14ac:dyDescent="0.2">
      <c r="A1" s="4" t="s">
        <v>1682</v>
      </c>
    </row>
    <row r="2" spans="1:12" x14ac:dyDescent="0.2">
      <c r="A2" t="s">
        <v>1679</v>
      </c>
    </row>
    <row r="3" spans="1:12" x14ac:dyDescent="0.2">
      <c r="A3" t="s">
        <v>1680</v>
      </c>
    </row>
    <row r="4" spans="1:12" x14ac:dyDescent="0.2">
      <c r="A4" t="s">
        <v>1681</v>
      </c>
    </row>
    <row r="5" spans="1:12" x14ac:dyDescent="0.2">
      <c r="A5" t="s">
        <v>1703</v>
      </c>
    </row>
    <row r="7" spans="1:12" s="4" customFormat="1" x14ac:dyDescent="0.2">
      <c r="A7" s="4" t="s">
        <v>1678</v>
      </c>
    </row>
    <row r="8" spans="1:12" x14ac:dyDescent="0.2">
      <c r="A8" s="40" t="s">
        <v>1683</v>
      </c>
      <c r="B8" s="40" t="s">
        <v>1684</v>
      </c>
      <c r="C8" s="40" t="s">
        <v>1685</v>
      </c>
      <c r="D8" s="179" t="s">
        <v>1686</v>
      </c>
      <c r="E8" s="180"/>
      <c r="F8" s="180"/>
      <c r="G8" s="180"/>
      <c r="H8" s="180"/>
      <c r="I8" s="180"/>
      <c r="J8" s="180"/>
      <c r="K8" s="181"/>
    </row>
    <row r="9" spans="1:12" x14ac:dyDescent="0.2">
      <c r="A9" s="40" t="s">
        <v>1687</v>
      </c>
      <c r="B9" s="40" t="s">
        <v>1689</v>
      </c>
      <c r="C9" s="40" t="s">
        <v>1402</v>
      </c>
      <c r="D9" s="7" t="s">
        <v>1690</v>
      </c>
      <c r="E9" s="7" t="s">
        <v>1691</v>
      </c>
      <c r="F9" s="7" t="s">
        <v>1692</v>
      </c>
      <c r="G9" s="7" t="s">
        <v>1693</v>
      </c>
      <c r="H9" s="7" t="s">
        <v>1694</v>
      </c>
      <c r="I9" s="7" t="s">
        <v>1695</v>
      </c>
      <c r="J9" s="7" t="s">
        <v>1696</v>
      </c>
      <c r="K9" s="7"/>
      <c r="L9" s="146"/>
    </row>
    <row r="10" spans="1:12" x14ac:dyDescent="0.2">
      <c r="A10" s="40" t="s">
        <v>1688</v>
      </c>
      <c r="B10" s="40" t="s">
        <v>1698</v>
      </c>
      <c r="C10" s="40" t="s">
        <v>12</v>
      </c>
      <c r="D10" s="139" t="s">
        <v>12</v>
      </c>
      <c r="E10" s="7" t="s">
        <v>1699</v>
      </c>
      <c r="F10" s="7"/>
      <c r="G10" s="7"/>
      <c r="H10" s="7"/>
      <c r="I10" s="7"/>
      <c r="J10" s="7"/>
      <c r="K10" s="7"/>
    </row>
    <row r="11" spans="1:12" x14ac:dyDescent="0.2">
      <c r="A11" s="40" t="s">
        <v>1700</v>
      </c>
      <c r="B11" s="40" t="s">
        <v>1701</v>
      </c>
      <c r="C11" s="40" t="s">
        <v>13</v>
      </c>
      <c r="D11" s="7" t="s">
        <v>13</v>
      </c>
      <c r="E11" s="139" t="s">
        <v>1702</v>
      </c>
      <c r="F11" s="7"/>
      <c r="G11" s="7"/>
      <c r="H11" s="7"/>
      <c r="I11" s="7"/>
      <c r="J11" s="7"/>
      <c r="K11" s="7"/>
    </row>
    <row r="12" spans="1:12" x14ac:dyDescent="0.2">
      <c r="A12" s="40" t="s">
        <v>673</v>
      </c>
      <c r="B12" s="40" t="s">
        <v>1745</v>
      </c>
      <c r="C12" s="40" t="s">
        <v>1737</v>
      </c>
      <c r="D12" s="7" t="s">
        <v>1749</v>
      </c>
      <c r="E12" s="7" t="s">
        <v>1759</v>
      </c>
      <c r="F12" s="7" t="s">
        <v>1750</v>
      </c>
      <c r="G12" s="7" t="s">
        <v>1697</v>
      </c>
      <c r="H12" s="7" t="s">
        <v>1751</v>
      </c>
      <c r="I12" s="7" t="s">
        <v>1759</v>
      </c>
      <c r="J12" s="7" t="s">
        <v>1750</v>
      </c>
      <c r="K12" s="7"/>
      <c r="L12" s="146"/>
    </row>
    <row r="13" spans="1:12" x14ac:dyDescent="0.2">
      <c r="A13" s="40" t="s">
        <v>1738</v>
      </c>
      <c r="B13" s="40" t="s">
        <v>1744</v>
      </c>
      <c r="C13" s="40" t="s">
        <v>1739</v>
      </c>
      <c r="D13" s="7" t="s">
        <v>1752</v>
      </c>
      <c r="E13" s="7" t="s">
        <v>1759</v>
      </c>
      <c r="F13" s="7" t="s">
        <v>1750</v>
      </c>
      <c r="G13" s="7" t="s">
        <v>1697</v>
      </c>
      <c r="H13" s="7" t="s">
        <v>1754</v>
      </c>
      <c r="I13" s="7" t="s">
        <v>1759</v>
      </c>
      <c r="J13" s="7" t="s">
        <v>1750</v>
      </c>
      <c r="K13" s="7"/>
      <c r="L13" s="146"/>
    </row>
    <row r="14" spans="1:12" x14ac:dyDescent="0.2">
      <c r="A14" s="40" t="s">
        <v>1746</v>
      </c>
      <c r="B14" s="40" t="s">
        <v>1743</v>
      </c>
      <c r="C14" s="40" t="s">
        <v>1740</v>
      </c>
      <c r="D14" s="7" t="s">
        <v>1753</v>
      </c>
      <c r="E14" s="7" t="s">
        <v>1759</v>
      </c>
      <c r="F14" s="7" t="s">
        <v>1750</v>
      </c>
      <c r="G14" s="7" t="s">
        <v>1697</v>
      </c>
      <c r="H14" s="7" t="s">
        <v>1760</v>
      </c>
      <c r="I14" s="7" t="s">
        <v>1759</v>
      </c>
      <c r="J14" s="7" t="s">
        <v>1750</v>
      </c>
      <c r="K14" s="7"/>
      <c r="L14" s="146"/>
    </row>
    <row r="15" spans="1:12" x14ac:dyDescent="0.2">
      <c r="A15" s="40" t="s">
        <v>1747</v>
      </c>
      <c r="B15" s="40" t="s">
        <v>1741</v>
      </c>
      <c r="C15" s="40" t="s">
        <v>1756</v>
      </c>
      <c r="D15" s="7" t="s">
        <v>1755</v>
      </c>
      <c r="E15" s="7" t="s">
        <v>1759</v>
      </c>
      <c r="F15" s="7" t="s">
        <v>1750</v>
      </c>
      <c r="G15" s="7" t="s">
        <v>1697</v>
      </c>
      <c r="H15" s="7" t="s">
        <v>1755</v>
      </c>
      <c r="I15" s="7" t="s">
        <v>1759</v>
      </c>
      <c r="J15" s="7" t="s">
        <v>1342</v>
      </c>
      <c r="K15" s="7" t="s">
        <v>1750</v>
      </c>
      <c r="L15" s="146"/>
    </row>
    <row r="16" spans="1:12" x14ac:dyDescent="0.2">
      <c r="A16" s="40" t="s">
        <v>1748</v>
      </c>
      <c r="B16" s="40" t="s">
        <v>1742</v>
      </c>
      <c r="C16" s="40" t="s">
        <v>1757</v>
      </c>
      <c r="D16" s="7" t="s">
        <v>1749</v>
      </c>
      <c r="E16" s="7" t="s">
        <v>1759</v>
      </c>
      <c r="F16" s="7" t="s">
        <v>1750</v>
      </c>
      <c r="G16" s="7" t="s">
        <v>1758</v>
      </c>
      <c r="H16" s="7"/>
      <c r="I16" s="7"/>
      <c r="J16" s="7"/>
      <c r="K16" s="7"/>
      <c r="L16" s="146"/>
    </row>
    <row r="20" spans="1:2" x14ac:dyDescent="0.2">
      <c r="A20" t="s">
        <v>2081</v>
      </c>
    </row>
    <row r="21" spans="1:2" x14ac:dyDescent="0.2">
      <c r="A21" t="s">
        <v>2082</v>
      </c>
    </row>
    <row r="27" spans="1:2" x14ac:dyDescent="0.2">
      <c r="A27" t="s">
        <v>2083</v>
      </c>
    </row>
    <row r="29" spans="1:2" x14ac:dyDescent="0.2">
      <c r="A29" t="s">
        <v>2095</v>
      </c>
    </row>
    <row r="30" spans="1:2" x14ac:dyDescent="0.2">
      <c r="A30" t="s">
        <v>2098</v>
      </c>
      <c r="B30" t="s">
        <v>2101</v>
      </c>
    </row>
    <row r="31" spans="1:2" x14ac:dyDescent="0.2">
      <c r="A31" t="s">
        <v>2099</v>
      </c>
      <c r="B31" t="s">
        <v>2101</v>
      </c>
    </row>
    <row r="32" spans="1:2" x14ac:dyDescent="0.2">
      <c r="A32" t="s">
        <v>2100</v>
      </c>
      <c r="B32" t="s">
        <v>2101</v>
      </c>
    </row>
    <row r="34" spans="1:4" x14ac:dyDescent="0.2">
      <c r="A34" t="s">
        <v>2084</v>
      </c>
      <c r="B34" t="s">
        <v>2096</v>
      </c>
      <c r="C34" t="s">
        <v>2085</v>
      </c>
      <c r="D34" t="s">
        <v>2086</v>
      </c>
    </row>
    <row r="35" spans="1:4" x14ac:dyDescent="0.2">
      <c r="A35" t="s">
        <v>2087</v>
      </c>
      <c r="B35" t="s">
        <v>2097</v>
      </c>
      <c r="C35" t="s">
        <v>2088</v>
      </c>
      <c r="D35" t="s">
        <v>2089</v>
      </c>
    </row>
    <row r="36" spans="1:4" x14ac:dyDescent="0.2">
      <c r="A36" t="s">
        <v>2090</v>
      </c>
      <c r="B36" t="s">
        <v>2092</v>
      </c>
      <c r="C36" t="s">
        <v>2091</v>
      </c>
      <c r="D36" t="s">
        <v>2092</v>
      </c>
    </row>
    <row r="37" spans="1:4" x14ac:dyDescent="0.2">
      <c r="A37" t="s">
        <v>2094</v>
      </c>
      <c r="C37" t="s">
        <v>2093</v>
      </c>
    </row>
  </sheetData>
  <mergeCells count="1">
    <mergeCell ref="D8:K8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0283-F964-47FE-92F3-5DC86C081B5C}">
  <dimension ref="A1:I14"/>
  <sheetViews>
    <sheetView workbookViewId="0">
      <selection activeCell="M11" sqref="L11:M12"/>
    </sheetView>
  </sheetViews>
  <sheetFormatPr defaultRowHeight="14.25" x14ac:dyDescent="0.2"/>
  <sheetData>
    <row r="1" spans="1:9" x14ac:dyDescent="0.2">
      <c r="A1" s="40" t="s">
        <v>62</v>
      </c>
      <c r="B1" s="40" t="s">
        <v>1282</v>
      </c>
      <c r="C1" s="40" t="s">
        <v>63</v>
      </c>
      <c r="D1" s="40" t="s">
        <v>64</v>
      </c>
      <c r="E1" s="40" t="s">
        <v>65</v>
      </c>
      <c r="F1" s="40" t="s">
        <v>66</v>
      </c>
      <c r="G1" s="40" t="s">
        <v>1283</v>
      </c>
      <c r="H1" s="121" t="s">
        <v>1284</v>
      </c>
    </row>
    <row r="2" spans="1:9" x14ac:dyDescent="0.2">
      <c r="A2" s="40" t="s">
        <v>60</v>
      </c>
      <c r="B2" s="7">
        <v>450</v>
      </c>
      <c r="C2" s="7">
        <v>8</v>
      </c>
      <c r="D2" s="7">
        <v>20</v>
      </c>
      <c r="E2" s="7">
        <v>10</v>
      </c>
      <c r="F2" s="7">
        <v>9999</v>
      </c>
      <c r="G2" s="7">
        <v>200</v>
      </c>
      <c r="H2" s="41">
        <f>B2-G2</f>
        <v>250</v>
      </c>
    </row>
    <row r="3" spans="1:9" x14ac:dyDescent="0.2">
      <c r="A3" s="40" t="s">
        <v>61</v>
      </c>
      <c r="B3" s="7">
        <v>600</v>
      </c>
      <c r="C3" s="41">
        <f>INT('⚪设计'!$D$55/'⚪设计'!$C$55)</f>
        <v>8</v>
      </c>
      <c r="D3" s="7">
        <v>20</v>
      </c>
      <c r="E3" s="7">
        <v>20</v>
      </c>
      <c r="F3" s="7">
        <v>60</v>
      </c>
      <c r="G3" s="7">
        <v>200</v>
      </c>
      <c r="H3" s="41">
        <f t="shared" ref="H3:H13" si="0">B3-G3</f>
        <v>400</v>
      </c>
    </row>
    <row r="4" spans="1:9" x14ac:dyDescent="0.2">
      <c r="A4" s="40">
        <v>1</v>
      </c>
      <c r="B4" s="7">
        <v>200</v>
      </c>
      <c r="C4" s="41">
        <f>INT('⚪设计'!$D$55/'⚪设计'!$C$55)</f>
        <v>8</v>
      </c>
      <c r="D4" s="7">
        <v>20</v>
      </c>
      <c r="E4" s="7">
        <v>10</v>
      </c>
      <c r="F4" s="7">
        <v>60</v>
      </c>
      <c r="G4" s="7">
        <v>200</v>
      </c>
      <c r="H4" s="41">
        <f t="shared" si="0"/>
        <v>0</v>
      </c>
      <c r="I4" s="90" t="s">
        <v>673</v>
      </c>
    </row>
    <row r="5" spans="1:9" x14ac:dyDescent="0.2">
      <c r="A5" s="40">
        <v>2</v>
      </c>
      <c r="B5" s="7">
        <v>200</v>
      </c>
      <c r="C5" s="41">
        <f>INT('⚪设计'!$D$55/'⚪设计'!$C$55)</f>
        <v>8</v>
      </c>
      <c r="D5" s="7">
        <v>20</v>
      </c>
      <c r="E5" s="7">
        <v>0</v>
      </c>
      <c r="F5" s="7">
        <v>60</v>
      </c>
      <c r="G5" s="7">
        <v>200</v>
      </c>
      <c r="H5" s="41">
        <f t="shared" si="0"/>
        <v>0</v>
      </c>
      <c r="I5" s="90" t="s">
        <v>674</v>
      </c>
    </row>
    <row r="6" spans="1:9" x14ac:dyDescent="0.2">
      <c r="A6" s="40">
        <v>3</v>
      </c>
      <c r="B6" s="7">
        <v>400</v>
      </c>
      <c r="C6" s="41">
        <f>INT('⚪设计'!$D$55/'⚪设计'!$C$55)</f>
        <v>8</v>
      </c>
      <c r="D6" s="7">
        <v>20</v>
      </c>
      <c r="E6" s="7">
        <v>10</v>
      </c>
      <c r="F6" s="7">
        <v>60</v>
      </c>
      <c r="G6" s="7">
        <v>200</v>
      </c>
      <c r="H6" s="41">
        <f t="shared" si="0"/>
        <v>200</v>
      </c>
      <c r="I6" s="90" t="s">
        <v>675</v>
      </c>
    </row>
    <row r="7" spans="1:9" x14ac:dyDescent="0.2">
      <c r="A7" s="40">
        <v>4</v>
      </c>
      <c r="B7" s="7">
        <v>550</v>
      </c>
      <c r="C7" s="41">
        <f>INT('⚪设计'!$D$55/'⚪设计'!$C$55)</f>
        <v>8</v>
      </c>
      <c r="D7" s="7">
        <v>20</v>
      </c>
      <c r="E7" s="7">
        <v>10</v>
      </c>
      <c r="F7" s="7">
        <v>60</v>
      </c>
      <c r="G7" s="7">
        <v>200</v>
      </c>
      <c r="H7" s="41">
        <f t="shared" si="0"/>
        <v>350</v>
      </c>
      <c r="I7" s="90" t="s">
        <v>676</v>
      </c>
    </row>
    <row r="8" spans="1:9" x14ac:dyDescent="0.2">
      <c r="A8" s="40">
        <v>5</v>
      </c>
      <c r="B8" s="7">
        <v>720</v>
      </c>
      <c r="C8" s="41">
        <f>INT('⚪设计'!$D$55/'⚪设计'!$C$55)</f>
        <v>8</v>
      </c>
      <c r="D8" s="7">
        <v>20</v>
      </c>
      <c r="E8" s="7">
        <v>10</v>
      </c>
      <c r="F8" s="7">
        <v>60</v>
      </c>
      <c r="G8" s="7">
        <v>200</v>
      </c>
      <c r="H8" s="41">
        <f t="shared" si="0"/>
        <v>520</v>
      </c>
      <c r="I8" s="90" t="s">
        <v>1748</v>
      </c>
    </row>
    <row r="9" spans="1:9" x14ac:dyDescent="0.2">
      <c r="A9" s="40">
        <v>6</v>
      </c>
      <c r="B9" s="7">
        <v>720</v>
      </c>
      <c r="C9" s="41">
        <f>INT('⚪设计'!$D$55/'⚪设计'!$C$55)</f>
        <v>8</v>
      </c>
      <c r="D9" s="7">
        <v>20</v>
      </c>
      <c r="E9" s="7">
        <v>10</v>
      </c>
      <c r="F9" s="7">
        <v>60</v>
      </c>
      <c r="G9" s="7">
        <v>200</v>
      </c>
      <c r="H9" s="41">
        <f t="shared" si="0"/>
        <v>520</v>
      </c>
      <c r="I9" s="90" t="s">
        <v>949</v>
      </c>
    </row>
    <row r="10" spans="1:9" x14ac:dyDescent="0.2">
      <c r="A10" s="40">
        <v>7</v>
      </c>
      <c r="B10" s="7">
        <v>720</v>
      </c>
      <c r="C10" s="41">
        <f>INT('⚪设计'!$D$55/'⚪设计'!$C$55)</f>
        <v>8</v>
      </c>
      <c r="D10" s="7">
        <v>20</v>
      </c>
      <c r="E10" s="7">
        <v>10</v>
      </c>
      <c r="F10" s="7">
        <v>60</v>
      </c>
      <c r="G10" s="7">
        <v>200</v>
      </c>
      <c r="H10" s="41">
        <f t="shared" si="0"/>
        <v>520</v>
      </c>
      <c r="I10" s="90" t="s">
        <v>950</v>
      </c>
    </row>
    <row r="11" spans="1:9" x14ac:dyDescent="0.2">
      <c r="A11" s="40">
        <v>8</v>
      </c>
      <c r="B11" s="7">
        <v>720</v>
      </c>
      <c r="C11" s="41">
        <f>INT('⚪设计'!$D$55/'⚪设计'!$C$55)</f>
        <v>8</v>
      </c>
      <c r="D11" s="7">
        <v>20</v>
      </c>
      <c r="E11" s="7">
        <v>10</v>
      </c>
      <c r="F11" s="7">
        <v>60</v>
      </c>
      <c r="G11" s="7">
        <v>200</v>
      </c>
      <c r="H11" s="41">
        <f t="shared" si="0"/>
        <v>520</v>
      </c>
      <c r="I11" s="90" t="s">
        <v>951</v>
      </c>
    </row>
    <row r="12" spans="1:9" x14ac:dyDescent="0.2">
      <c r="A12" s="40">
        <v>9</v>
      </c>
      <c r="B12" s="7">
        <v>720</v>
      </c>
      <c r="C12" s="41">
        <f>INT('⚪设计'!$D$55/'⚪设计'!$C$55)</f>
        <v>8</v>
      </c>
      <c r="D12" s="7">
        <v>20</v>
      </c>
      <c r="E12" s="7">
        <v>10</v>
      </c>
      <c r="F12" s="7">
        <v>60</v>
      </c>
      <c r="G12" s="7">
        <v>200</v>
      </c>
      <c r="H12" s="41">
        <f t="shared" si="0"/>
        <v>520</v>
      </c>
      <c r="I12" s="90" t="s">
        <v>952</v>
      </c>
    </row>
    <row r="13" spans="1:9" x14ac:dyDescent="0.2">
      <c r="A13" s="40">
        <v>10</v>
      </c>
      <c r="B13" s="7">
        <v>720</v>
      </c>
      <c r="C13" s="41">
        <f>INT('⚪设计'!$D$55/'⚪设计'!$C$55)</f>
        <v>8</v>
      </c>
      <c r="D13" s="7">
        <v>20</v>
      </c>
      <c r="E13" s="7">
        <v>10</v>
      </c>
      <c r="F13" s="7">
        <v>60</v>
      </c>
      <c r="G13" s="7">
        <v>200</v>
      </c>
      <c r="H13" s="41">
        <f t="shared" si="0"/>
        <v>520</v>
      </c>
      <c r="I13" s="90" t="s">
        <v>953</v>
      </c>
    </row>
    <row r="14" spans="1:9" x14ac:dyDescent="0.2">
      <c r="A14" t="s">
        <v>2203</v>
      </c>
      <c r="B14" s="7">
        <v>600</v>
      </c>
      <c r="C14" s="41">
        <f>INT('⚪设计'!$D$55/'⚪设计'!$C$55)</f>
        <v>8</v>
      </c>
      <c r="D14" s="7">
        <v>20</v>
      </c>
      <c r="E14" s="7">
        <v>20</v>
      </c>
      <c r="F14" s="7">
        <v>60</v>
      </c>
      <c r="G14" s="7">
        <v>200</v>
      </c>
      <c r="H14" s="41">
        <f t="shared" ref="H14" si="1">B14-G14</f>
        <v>400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04A0-B1F7-4B6B-B416-335E2938FA4C}">
  <dimension ref="A1:P78"/>
  <sheetViews>
    <sheetView tabSelected="1" workbookViewId="0">
      <selection activeCell="J15" sqref="J15"/>
    </sheetView>
  </sheetViews>
  <sheetFormatPr defaultRowHeight="14.25" x14ac:dyDescent="0.2"/>
  <cols>
    <col min="11" max="11" width="15" bestFit="1" customWidth="1"/>
  </cols>
  <sheetData>
    <row r="1" spans="1:16" x14ac:dyDescent="0.2">
      <c r="A1" s="40" t="s">
        <v>82</v>
      </c>
      <c r="B1" s="40" t="s">
        <v>83</v>
      </c>
      <c r="C1" s="40" t="s">
        <v>87</v>
      </c>
      <c r="D1" s="40" t="s">
        <v>93</v>
      </c>
      <c r="E1" s="40" t="s">
        <v>88</v>
      </c>
      <c r="F1" s="40" t="s">
        <v>1291</v>
      </c>
      <c r="G1" s="40" t="s">
        <v>89</v>
      </c>
      <c r="H1" s="40" t="s">
        <v>90</v>
      </c>
      <c r="I1" s="40" t="s">
        <v>91</v>
      </c>
      <c r="J1" s="40" t="s">
        <v>92</v>
      </c>
      <c r="K1" s="40" t="s">
        <v>94</v>
      </c>
      <c r="L1" s="40" t="s">
        <v>1297</v>
      </c>
      <c r="M1" s="40" t="s">
        <v>1298</v>
      </c>
      <c r="N1" s="40" t="s">
        <v>1299</v>
      </c>
      <c r="O1" s="40" t="s">
        <v>1300</v>
      </c>
    </row>
    <row r="2" spans="1:16" x14ac:dyDescent="0.2">
      <c r="A2" s="40" t="s">
        <v>86</v>
      </c>
      <c r="B2" s="7">
        <v>200</v>
      </c>
      <c r="C2" s="41">
        <f>VLOOKUP(防御塔!A2,'⚪设计'!$A$59:$C$74,2,FALSE)*B2</f>
        <v>200</v>
      </c>
      <c r="D2" s="41">
        <f>VLOOKUP(防御塔!A2,'⚪设计'!$A$59:$C$74,3,FALSE)*B2</f>
        <v>200</v>
      </c>
      <c r="E2" s="7">
        <v>1</v>
      </c>
      <c r="F2" s="7">
        <v>1</v>
      </c>
      <c r="G2" s="7">
        <v>7.5</v>
      </c>
      <c r="H2" s="41">
        <f>INT(C2/F2/(1/E2))</f>
        <v>200</v>
      </c>
      <c r="I2" s="41">
        <f>INT($H2/'⚪设计'!$C$78*'⚪设计'!$C$79)</f>
        <v>900</v>
      </c>
      <c r="J2" s="41">
        <f>INT($H2/'⚪设计'!$C$78*'⚪设计'!$C$80)</f>
        <v>3600</v>
      </c>
      <c r="K2" s="40"/>
      <c r="L2" s="122"/>
      <c r="M2" s="122"/>
      <c r="N2" s="50"/>
      <c r="O2" s="50"/>
    </row>
    <row r="3" spans="1:16" x14ac:dyDescent="0.2">
      <c r="A3" s="40" t="s">
        <v>33</v>
      </c>
      <c r="B3" s="7">
        <v>150</v>
      </c>
      <c r="C3" s="41">
        <f>VLOOKUP(防御塔!A3,'⚪设计'!$A$59:$C$74,2,FALSE)*B3</f>
        <v>300</v>
      </c>
      <c r="D3" s="41">
        <f>VLOOKUP(防御塔!A3,'⚪设计'!$A$59:$C$74,3,FALSE)*B3</f>
        <v>300</v>
      </c>
      <c r="E3" s="7">
        <v>0.5</v>
      </c>
      <c r="F3" s="7">
        <v>1</v>
      </c>
      <c r="G3" s="7">
        <v>15</v>
      </c>
      <c r="H3" s="41">
        <f>INT(C3/F3/(1/E3))</f>
        <v>150</v>
      </c>
      <c r="I3" s="41">
        <f>INT($H3/'⚪设计'!$C$78*'⚪设计'!$C$79)</f>
        <v>675</v>
      </c>
      <c r="J3" s="41">
        <f>INT($H3/'⚪设计'!$C$78*'⚪设计'!$C$80/(L3*(1+M3)+(1-L3)))</f>
        <v>2076</v>
      </c>
      <c r="K3" s="40" t="s">
        <v>1294</v>
      </c>
      <c r="L3" s="52">
        <v>0.15</v>
      </c>
      <c r="M3" s="52">
        <v>2</v>
      </c>
      <c r="N3" s="50"/>
      <c r="O3" s="50"/>
    </row>
    <row r="4" spans="1:16" x14ac:dyDescent="0.2">
      <c r="A4" s="40" t="s">
        <v>34</v>
      </c>
      <c r="B4" s="7">
        <v>150</v>
      </c>
      <c r="C4" s="41">
        <f>VLOOKUP(防御塔!A4,'⚪设计'!$A$59:$C$74,2,FALSE)*B4</f>
        <v>300</v>
      </c>
      <c r="D4" s="41">
        <f>VLOOKUP(防御塔!A4,'⚪设计'!$A$59:$C$74,3,FALSE)*B4</f>
        <v>300</v>
      </c>
      <c r="E4" s="7">
        <v>0.5</v>
      </c>
      <c r="F4" s="7">
        <v>3</v>
      </c>
      <c r="G4" s="7">
        <v>15</v>
      </c>
      <c r="H4" s="41">
        <f>INT(C4/F4/(1/E4))</f>
        <v>50</v>
      </c>
      <c r="I4" s="41">
        <f>INT($H4/'⚪设计'!$C$78*'⚪设计'!$C$79)</f>
        <v>225</v>
      </c>
      <c r="J4" s="41">
        <f>INT($H4/'⚪设计'!$C$78*'⚪设计'!$C$80)</f>
        <v>900</v>
      </c>
      <c r="K4" s="40"/>
      <c r="L4" s="50"/>
      <c r="M4" s="50"/>
      <c r="N4" s="50"/>
      <c r="O4" s="50"/>
    </row>
    <row r="5" spans="1:16" x14ac:dyDescent="0.2">
      <c r="A5" s="40" t="s">
        <v>35</v>
      </c>
      <c r="B5" s="7">
        <v>200</v>
      </c>
      <c r="C5" s="41">
        <f>VLOOKUP(防御塔!A5,'⚪设计'!$A$59:$C$74,2,FALSE)*B5</f>
        <v>800</v>
      </c>
      <c r="D5" s="41">
        <f>VLOOKUP(防御塔!A5,'⚪设计'!$A$59:$C$74,3,FALSE)*B5</f>
        <v>100</v>
      </c>
      <c r="E5" s="7">
        <v>0.3</v>
      </c>
      <c r="F5" s="7">
        <v>15</v>
      </c>
      <c r="G5" s="7">
        <v>15</v>
      </c>
      <c r="H5" s="41">
        <f>INT(C5/F5/(1/E5))</f>
        <v>16</v>
      </c>
      <c r="I5" s="41">
        <f>INT($H5/'⚪设计'!$C$78*'⚪设计'!$C$79)</f>
        <v>72</v>
      </c>
      <c r="J5" s="41">
        <f>INT($H5/'⚪设计'!$C$78*'⚪设计'!$C$80*(1-L5))</f>
        <v>144</v>
      </c>
      <c r="K5" s="40" t="s">
        <v>1305</v>
      </c>
      <c r="L5" s="52">
        <v>0.5</v>
      </c>
      <c r="M5" s="124">
        <v>10</v>
      </c>
      <c r="N5" s="124">
        <v>0.3</v>
      </c>
      <c r="O5" s="41">
        <f>ROUND(J5/(1-L5)*L5*(M5/E5)/(M5/N5)/J5,3)</f>
        <v>1</v>
      </c>
    </row>
    <row r="6" spans="1:16" x14ac:dyDescent="0.2">
      <c r="A6" s="40" t="s">
        <v>36</v>
      </c>
      <c r="B6" s="7">
        <v>200</v>
      </c>
      <c r="C6" s="41">
        <f>VLOOKUP(防御塔!A6,'⚪设计'!$A$59:$C$74,2,FALSE)*B6</f>
        <v>800</v>
      </c>
      <c r="D6" s="41">
        <f>VLOOKUP(防御塔!A6,'⚪设计'!$A$59:$C$74,3,FALSE)*B6</f>
        <v>100</v>
      </c>
      <c r="E6" s="7">
        <v>0.3</v>
      </c>
      <c r="F6" s="7">
        <v>15</v>
      </c>
      <c r="G6" s="7">
        <v>15</v>
      </c>
      <c r="H6" s="41">
        <f>INT(D6/F6/(1/E6))</f>
        <v>2</v>
      </c>
      <c r="I6" s="41">
        <f>INT($H6/'⚪设计'!$C$78*'⚪设计'!$C$79)</f>
        <v>9</v>
      </c>
      <c r="J6" s="41">
        <f>INT($H6/'⚪设计'!$C$78*'⚪设计'!$C$80)*(C6/D6)</f>
        <v>288</v>
      </c>
      <c r="K6" s="40" t="s">
        <v>1301</v>
      </c>
      <c r="L6" s="41">
        <f>ROUND((C6-D6)/D6/G6,2)</f>
        <v>0.47</v>
      </c>
      <c r="M6" s="41">
        <f>L6</f>
        <v>0.47</v>
      </c>
      <c r="N6" s="41"/>
      <c r="O6" s="50"/>
    </row>
    <row r="7" spans="1:16" x14ac:dyDescent="0.2">
      <c r="A7" s="40" t="s">
        <v>37</v>
      </c>
      <c r="B7" s="7">
        <v>200</v>
      </c>
      <c r="C7" s="41">
        <f>VLOOKUP(防御塔!A7,'⚪设计'!$A$59:$C$74,2,FALSE)*B7</f>
        <v>400</v>
      </c>
      <c r="D7" s="41">
        <f>VLOOKUP(防御塔!A7,'⚪设计'!$A$59:$C$74,3,FALSE)*B7</f>
        <v>0</v>
      </c>
      <c r="E7" s="7">
        <v>3</v>
      </c>
      <c r="F7" s="7">
        <v>1</v>
      </c>
      <c r="G7" s="7">
        <v>15</v>
      </c>
      <c r="H7" s="41">
        <f>INT(C7/F7/(1/E7))</f>
        <v>1200</v>
      </c>
      <c r="I7" s="41">
        <f>INT($H7/'⚪设计'!$C$78*'⚪设计'!$C$79)</f>
        <v>5400</v>
      </c>
      <c r="J7" s="41">
        <f>INT($H7/'⚪设计'!$C$78*'⚪设计'!$C$80/3)</f>
        <v>7200</v>
      </c>
      <c r="K7" s="40"/>
      <c r="L7" s="50"/>
      <c r="M7" s="50"/>
      <c r="N7" s="50"/>
      <c r="O7" s="50"/>
    </row>
    <row r="8" spans="1:16" x14ac:dyDescent="0.2">
      <c r="A8" s="40" t="s">
        <v>38</v>
      </c>
      <c r="B8" s="7">
        <v>200</v>
      </c>
      <c r="C8" s="41">
        <f>VLOOKUP(防御塔!A8,'⚪设计'!$A$59:$C$74,2,FALSE)*B8</f>
        <v>800</v>
      </c>
      <c r="D8" s="41">
        <f>VLOOKUP(防御塔!A8,'⚪设计'!$A$59:$C$74,3,FALSE)*B8</f>
        <v>100</v>
      </c>
      <c r="E8" s="7">
        <v>1</v>
      </c>
      <c r="F8" s="7">
        <v>1</v>
      </c>
      <c r="G8" s="7">
        <v>10</v>
      </c>
      <c r="H8" s="41">
        <f>INT(D8/F8/(1/E8))</f>
        <v>100</v>
      </c>
      <c r="I8" s="41">
        <f>INT($H8/'⚪设计'!$C$78*'⚪设计'!$C$79)</f>
        <v>450</v>
      </c>
      <c r="J8" s="41">
        <f>INT($H8/'⚪设计'!$C$78*'⚪设计'!$C$80/2)</f>
        <v>900</v>
      </c>
      <c r="K8" s="40" t="s">
        <v>1302</v>
      </c>
      <c r="L8" s="41">
        <f>ROUND((C8-D8)/D8/10,2)</f>
        <v>0.7</v>
      </c>
      <c r="M8" s="41">
        <f>L8</f>
        <v>0.7</v>
      </c>
      <c r="N8" s="41">
        <f>L8</f>
        <v>0.7</v>
      </c>
      <c r="O8" s="50"/>
      <c r="P8" s="51" t="s">
        <v>96</v>
      </c>
    </row>
    <row r="9" spans="1:16" x14ac:dyDescent="0.2">
      <c r="A9" s="40" t="s">
        <v>39</v>
      </c>
      <c r="B9" s="7">
        <v>250</v>
      </c>
      <c r="C9" s="41">
        <f>VLOOKUP(防御塔!A9,'⚪设计'!$A$59:$C$74,2,FALSE)*B9</f>
        <v>250</v>
      </c>
      <c r="D9" s="41">
        <f>VLOOKUP(防御塔!A9,'⚪设计'!$A$59:$C$74,3,FALSE)*B9</f>
        <v>62.5</v>
      </c>
      <c r="E9" s="7">
        <v>1</v>
      </c>
      <c r="F9" s="7">
        <v>5</v>
      </c>
      <c r="G9" s="7">
        <v>7.5</v>
      </c>
      <c r="H9" s="41">
        <f>INT(D9/F9/(1/E9))</f>
        <v>12</v>
      </c>
      <c r="I9" s="41">
        <f>INT($H9/'⚪设计'!$C$78*'⚪设计'!$C$79)</f>
        <v>54</v>
      </c>
      <c r="J9" s="41">
        <f>INT($H9/'⚪设计'!$C$78*'⚪设计'!$C$80)</f>
        <v>216</v>
      </c>
      <c r="K9" s="40" t="s">
        <v>1303</v>
      </c>
      <c r="L9" s="52">
        <v>0.25</v>
      </c>
      <c r="M9" s="52">
        <v>0.4</v>
      </c>
      <c r="N9" s="52">
        <v>0.5</v>
      </c>
      <c r="O9" s="50"/>
    </row>
    <row r="10" spans="1:16" x14ac:dyDescent="0.2">
      <c r="A10" s="40" t="s">
        <v>40</v>
      </c>
      <c r="B10" s="7">
        <v>250</v>
      </c>
      <c r="C10" s="41">
        <f>VLOOKUP(防御塔!A10,'⚪设计'!$A$59:$C$74,2,FALSE)*B10</f>
        <v>500</v>
      </c>
      <c r="D10" s="41">
        <f>VLOOKUP(防御塔!A10,'⚪设计'!$A$59:$C$74,3,FALSE)*B10</f>
        <v>125</v>
      </c>
      <c r="E10" s="7">
        <v>1</v>
      </c>
      <c r="F10" s="7">
        <v>8</v>
      </c>
      <c r="G10" s="7">
        <v>7.5</v>
      </c>
      <c r="H10" s="41">
        <f>INT(D10/F10/(1/E10))</f>
        <v>15</v>
      </c>
      <c r="I10" s="41">
        <f>INT($H10/'⚪设计'!$C$78*'⚪设计'!$C$79)</f>
        <v>67</v>
      </c>
      <c r="J10" s="41">
        <f>INT($H10/'⚪设计'!$C$78*'⚪设计'!$C$80)</f>
        <v>270</v>
      </c>
      <c r="K10" s="40" t="s">
        <v>1304</v>
      </c>
      <c r="L10" s="53">
        <v>0.3</v>
      </c>
      <c r="M10" s="53">
        <v>0.5</v>
      </c>
      <c r="N10" s="53">
        <v>0.6</v>
      </c>
      <c r="O10" s="50"/>
    </row>
    <row r="11" spans="1:16" x14ac:dyDescent="0.2">
      <c r="A11" s="8" t="s">
        <v>1501</v>
      </c>
      <c r="B11" s="7">
        <v>200</v>
      </c>
      <c r="C11" s="41">
        <f>VLOOKUP(防御塔!A11,'⚪设计'!$A$59:$C$74,2,FALSE)*B11</f>
        <v>800</v>
      </c>
      <c r="D11" s="41">
        <f>VLOOKUP(防御塔!A11,'⚪设计'!$A$59:$C$74,3,FALSE)*B11</f>
        <v>50</v>
      </c>
      <c r="E11" s="7">
        <v>1</v>
      </c>
      <c r="F11" s="130">
        <v>1</v>
      </c>
      <c r="G11" s="7">
        <v>15</v>
      </c>
      <c r="H11" s="41">
        <f t="shared" ref="H11:H13" si="0">INT(D11/F11/(1/E11))</f>
        <v>50</v>
      </c>
      <c r="I11" s="41">
        <f>INT($H11/'⚪设计'!$C$78*'⚪设计'!$C$79)</f>
        <v>225</v>
      </c>
      <c r="J11" s="41">
        <f>INT($H11/'⚪设计'!$C$78*'⚪设计'!$C$80/3)</f>
        <v>300</v>
      </c>
      <c r="K11" s="40" t="s">
        <v>1505</v>
      </c>
      <c r="L11" s="98">
        <v>0.01</v>
      </c>
      <c r="M11" s="98">
        <v>0.02</v>
      </c>
      <c r="N11" s="98">
        <v>0.03</v>
      </c>
      <c r="O11" s="50"/>
    </row>
    <row r="12" spans="1:16" x14ac:dyDescent="0.2">
      <c r="A12" s="8" t="s">
        <v>1553</v>
      </c>
      <c r="B12" s="7">
        <v>50</v>
      </c>
      <c r="C12" s="41">
        <f>VLOOKUP(防御塔!A12,'⚪设计'!$A$59:$C$74,2,FALSE)*B12</f>
        <v>100</v>
      </c>
      <c r="D12" s="41">
        <f>VLOOKUP(防御塔!A12,'⚪设计'!$A$59:$C$74,3,FALSE)*B12</f>
        <v>25</v>
      </c>
      <c r="E12" s="7">
        <v>1</v>
      </c>
      <c r="F12" s="131">
        <v>5</v>
      </c>
      <c r="G12" s="7">
        <v>7.5</v>
      </c>
      <c r="H12" s="41">
        <f>INT(D12/F12/(1/E12))*L12</f>
        <v>2000</v>
      </c>
      <c r="I12" s="41">
        <f>INT($H12/'⚪设计'!$C$78*'⚪设计'!$C$79)</f>
        <v>9000</v>
      </c>
      <c r="J12" s="41">
        <f>INT($H12/'⚪设计'!$C$78*'⚪设计'!$C$80)</f>
        <v>36000</v>
      </c>
      <c r="K12" s="40" t="s">
        <v>1564</v>
      </c>
      <c r="L12" s="98">
        <v>400</v>
      </c>
      <c r="M12" s="98">
        <v>1</v>
      </c>
      <c r="N12" s="41"/>
      <c r="O12" s="41"/>
    </row>
    <row r="13" spans="1:16" x14ac:dyDescent="0.2">
      <c r="A13" s="8" t="s">
        <v>1502</v>
      </c>
      <c r="B13" s="7">
        <v>250</v>
      </c>
      <c r="C13" s="41">
        <f>VLOOKUP(防御塔!A13,'⚪设计'!$A$59:$C$74,2,FALSE)*B13</f>
        <v>62.5</v>
      </c>
      <c r="D13" s="41">
        <f>VLOOKUP(防御塔!A13,'⚪设计'!$A$59:$C$74,3,FALSE)*B13</f>
        <v>62.5</v>
      </c>
      <c r="E13" s="7">
        <v>1</v>
      </c>
      <c r="F13" s="131">
        <v>1</v>
      </c>
      <c r="G13" s="7">
        <v>7.5</v>
      </c>
      <c r="H13" s="41">
        <f t="shared" si="0"/>
        <v>62</v>
      </c>
      <c r="I13" s="41">
        <f>INT($H13/'⚪设计'!$C$78*'⚪设计'!$C$79)</f>
        <v>279</v>
      </c>
      <c r="J13" s="41">
        <f>INT($H13/'⚪设计'!$C$78*'⚪设计'!$C$80/2)</f>
        <v>558</v>
      </c>
      <c r="K13" s="40" t="s">
        <v>1506</v>
      </c>
      <c r="L13" s="41">
        <v>1</v>
      </c>
      <c r="M13" s="41">
        <v>4</v>
      </c>
      <c r="N13" s="41">
        <v>15</v>
      </c>
      <c r="O13" s="41"/>
    </row>
    <row r="14" spans="1:16" x14ac:dyDescent="0.2">
      <c r="A14" s="8" t="s">
        <v>3213</v>
      </c>
      <c r="B14" s="7">
        <v>200</v>
      </c>
      <c r="C14" s="41">
        <f>VLOOKUP(防御塔!A14,'⚪设计'!$A$59:$C$74,2,FALSE)*B14</f>
        <v>800</v>
      </c>
      <c r="D14" s="41">
        <f>VLOOKUP(防御塔!A14,'⚪设计'!$A$59:$C$74,3,FALSE)*B14</f>
        <v>100</v>
      </c>
      <c r="E14" s="7">
        <v>2</v>
      </c>
      <c r="F14" s="7">
        <v>3</v>
      </c>
      <c r="G14" s="7">
        <v>15</v>
      </c>
      <c r="H14" s="41">
        <f t="shared" ref="H14" si="1">INT(D14/F14/(1/E14))</f>
        <v>66</v>
      </c>
      <c r="I14" s="41">
        <f>INT($H14/'⚪设计'!$C$78*'⚪设计'!$C$79)</f>
        <v>297</v>
      </c>
      <c r="J14" s="41">
        <f>INT($H14/'⚪设计'!$C$78*'⚪设计'!$C$80/2)</f>
        <v>594</v>
      </c>
      <c r="K14" s="40" t="s">
        <v>1301</v>
      </c>
      <c r="L14" s="41">
        <f>ROUND((C14-D14)/D14/G14,2)</f>
        <v>0.47</v>
      </c>
      <c r="M14" s="41">
        <f>L14</f>
        <v>0.47</v>
      </c>
      <c r="N14" s="41">
        <f>M14</f>
        <v>0.47</v>
      </c>
      <c r="P14" s="51" t="s">
        <v>2111</v>
      </c>
    </row>
    <row r="15" spans="1:16" x14ac:dyDescent="0.2">
      <c r="A15" s="8" t="s">
        <v>3180</v>
      </c>
      <c r="B15" s="7">
        <v>250</v>
      </c>
      <c r="C15" s="41">
        <f>VLOOKUP(防御塔!A15,'⚪设计'!$A$59:$C$74,2,FALSE)*B15</f>
        <v>1000</v>
      </c>
      <c r="D15" s="41">
        <f>VLOOKUP(防御塔!A15,'⚪设计'!$A$59:$C$74,3,FALSE)*B15</f>
        <v>125</v>
      </c>
      <c r="E15" s="7">
        <v>2</v>
      </c>
      <c r="F15" s="7">
        <v>3</v>
      </c>
      <c r="G15" s="7">
        <v>7.5</v>
      </c>
      <c r="H15" s="41">
        <f>INT(D15/F15/(1/E15))</f>
        <v>83</v>
      </c>
      <c r="I15" s="41">
        <f>INT($H15/'⚪设计'!$C$78*'⚪设计'!$C$79)</f>
        <v>373</v>
      </c>
      <c r="J15" s="41">
        <f>INT($H15/'⚪设计'!$C$78*'⚪设计'!$C$80/2)</f>
        <v>747</v>
      </c>
      <c r="K15" s="40" t="s">
        <v>2109</v>
      </c>
      <c r="L15" s="41">
        <f>-ROUND((C15-D15)/D15/G15,2)</f>
        <v>-0.93</v>
      </c>
      <c r="M15" s="41">
        <f>L15</f>
        <v>-0.93</v>
      </c>
      <c r="N15" s="41">
        <f>M15</f>
        <v>-0.93</v>
      </c>
      <c r="O15" s="7">
        <v>3</v>
      </c>
      <c r="P15" s="7">
        <v>0.5</v>
      </c>
    </row>
    <row r="16" spans="1:16" x14ac:dyDescent="0.2">
      <c r="A16" s="8" t="s">
        <v>3214</v>
      </c>
      <c r="B16" s="7">
        <v>200</v>
      </c>
      <c r="C16" s="41">
        <f>VLOOKUP(防御塔!A16,'⚪设计'!$A$59:$C$74,2,FALSE)*B16</f>
        <v>800</v>
      </c>
      <c r="D16" s="41">
        <f>VLOOKUP(防御塔!A16,'⚪设计'!$A$59:$C$74,3,FALSE)*B16</f>
        <v>100</v>
      </c>
      <c r="E16" s="7">
        <v>2</v>
      </c>
      <c r="F16" s="7">
        <v>3</v>
      </c>
      <c r="G16" s="7">
        <v>7.5</v>
      </c>
      <c r="H16" s="41">
        <f>INT(C16/F16/(1/E16))</f>
        <v>533</v>
      </c>
      <c r="I16" s="41">
        <f>INT($H16/'⚪设计'!$C$78*'⚪设计'!$C$79)</f>
        <v>2398</v>
      </c>
      <c r="J16" s="41">
        <f>INT($H16/'⚪设计'!$C$78*'⚪设计'!$C$80/2)</f>
        <v>4797</v>
      </c>
      <c r="K16" s="40" t="s">
        <v>2110</v>
      </c>
      <c r="L16" s="7">
        <v>15</v>
      </c>
    </row>
    <row r="17" spans="1:13" x14ac:dyDescent="0.2">
      <c r="A17" s="8" t="s">
        <v>3215</v>
      </c>
      <c r="B17" s="7">
        <v>150</v>
      </c>
      <c r="C17" s="41">
        <f>VLOOKUP(防御塔!A17,'⚪设计'!$A$59:$C$74,2,FALSE)*B17</f>
        <v>300</v>
      </c>
      <c r="D17" s="41">
        <f>VLOOKUP(防御塔!A17,'⚪设计'!$A$59:$C$74,3,FALSE)*B17</f>
        <v>300</v>
      </c>
      <c r="E17" s="7">
        <v>2</v>
      </c>
      <c r="F17" s="7">
        <v>1</v>
      </c>
      <c r="G17" s="7">
        <v>10</v>
      </c>
      <c r="H17" s="41">
        <f>INT(D17/F17/(1/E17))/L17</f>
        <v>100</v>
      </c>
      <c r="I17" s="41">
        <f>INT($H17/'⚪设计'!$C$78*'⚪设计'!$C$79)</f>
        <v>450</v>
      </c>
      <c r="J17" s="41">
        <f>INT($H17/'⚪设计'!$C$78*'⚪设计'!$C$80/2)*L17/M17</f>
        <v>600</v>
      </c>
      <c r="K17" s="40" t="s">
        <v>3223</v>
      </c>
      <c r="L17" s="7">
        <v>6</v>
      </c>
      <c r="M17" s="7">
        <v>9</v>
      </c>
    </row>
    <row r="19" spans="1:13" x14ac:dyDescent="0.2">
      <c r="J19">
        <v>1</v>
      </c>
      <c r="K19">
        <v>1</v>
      </c>
      <c r="L19">
        <v>0.05</v>
      </c>
    </row>
    <row r="20" spans="1:13" x14ac:dyDescent="0.2">
      <c r="J20">
        <v>2</v>
      </c>
      <c r="K20">
        <f>K19*(1-$L$19)</f>
        <v>0.95</v>
      </c>
    </row>
    <row r="21" spans="1:13" x14ac:dyDescent="0.2">
      <c r="J21">
        <v>3</v>
      </c>
      <c r="K21">
        <f t="shared" ref="K21:K78" si="2">K20*(1-$L$19)</f>
        <v>0.90249999999999997</v>
      </c>
    </row>
    <row r="22" spans="1:13" x14ac:dyDescent="0.2">
      <c r="B22" s="54"/>
      <c r="J22">
        <v>4</v>
      </c>
      <c r="K22">
        <f t="shared" si="2"/>
        <v>0.85737499999999989</v>
      </c>
    </row>
    <row r="23" spans="1:13" x14ac:dyDescent="0.2">
      <c r="B23" s="54"/>
      <c r="J23">
        <v>5</v>
      </c>
      <c r="K23">
        <f t="shared" si="2"/>
        <v>0.81450624999999988</v>
      </c>
    </row>
    <row r="24" spans="1:13" x14ac:dyDescent="0.2">
      <c r="B24" s="54"/>
      <c r="J24">
        <v>6</v>
      </c>
      <c r="K24">
        <f t="shared" si="2"/>
        <v>0.77378093749999988</v>
      </c>
    </row>
    <row r="25" spans="1:13" x14ac:dyDescent="0.2">
      <c r="B25" s="54"/>
      <c r="J25">
        <v>7</v>
      </c>
      <c r="K25">
        <f t="shared" si="2"/>
        <v>0.7350918906249998</v>
      </c>
    </row>
    <row r="26" spans="1:13" x14ac:dyDescent="0.2">
      <c r="J26">
        <v>8</v>
      </c>
      <c r="K26">
        <f t="shared" si="2"/>
        <v>0.69833729609374973</v>
      </c>
    </row>
    <row r="27" spans="1:13" x14ac:dyDescent="0.2">
      <c r="J27">
        <v>9</v>
      </c>
      <c r="K27">
        <f t="shared" si="2"/>
        <v>0.66342043128906225</v>
      </c>
    </row>
    <row r="28" spans="1:13" x14ac:dyDescent="0.2">
      <c r="J28">
        <v>10</v>
      </c>
      <c r="K28">
        <f t="shared" si="2"/>
        <v>0.63024940972460908</v>
      </c>
    </row>
    <row r="29" spans="1:13" x14ac:dyDescent="0.2">
      <c r="J29">
        <v>11</v>
      </c>
      <c r="K29">
        <f t="shared" si="2"/>
        <v>0.59873693923837856</v>
      </c>
    </row>
    <row r="30" spans="1:13" x14ac:dyDescent="0.2">
      <c r="J30">
        <v>12</v>
      </c>
      <c r="K30">
        <f t="shared" si="2"/>
        <v>0.56880009227645956</v>
      </c>
    </row>
    <row r="31" spans="1:13" x14ac:dyDescent="0.2">
      <c r="J31">
        <v>13</v>
      </c>
      <c r="K31">
        <f t="shared" si="2"/>
        <v>0.54036008766263655</v>
      </c>
    </row>
    <row r="32" spans="1:13" x14ac:dyDescent="0.2">
      <c r="J32">
        <v>14</v>
      </c>
      <c r="K32">
        <f t="shared" si="2"/>
        <v>0.5133420832795047</v>
      </c>
    </row>
    <row r="33" spans="10:11" x14ac:dyDescent="0.2">
      <c r="J33">
        <v>15</v>
      </c>
      <c r="K33">
        <f t="shared" si="2"/>
        <v>0.48767497911552943</v>
      </c>
    </row>
    <row r="34" spans="10:11" x14ac:dyDescent="0.2">
      <c r="J34">
        <v>16</v>
      </c>
      <c r="K34">
        <f t="shared" si="2"/>
        <v>0.46329123015975293</v>
      </c>
    </row>
    <row r="35" spans="10:11" x14ac:dyDescent="0.2">
      <c r="J35">
        <v>17</v>
      </c>
      <c r="K35">
        <f t="shared" si="2"/>
        <v>0.44012666865176525</v>
      </c>
    </row>
    <row r="36" spans="10:11" x14ac:dyDescent="0.2">
      <c r="J36">
        <v>18</v>
      </c>
      <c r="K36">
        <f t="shared" si="2"/>
        <v>0.41812033521917696</v>
      </c>
    </row>
    <row r="37" spans="10:11" x14ac:dyDescent="0.2">
      <c r="J37">
        <v>19</v>
      </c>
      <c r="K37">
        <f t="shared" si="2"/>
        <v>0.39721431845821809</v>
      </c>
    </row>
    <row r="38" spans="10:11" x14ac:dyDescent="0.2">
      <c r="J38">
        <v>20</v>
      </c>
      <c r="K38">
        <f t="shared" si="2"/>
        <v>0.37735360253530714</v>
      </c>
    </row>
    <row r="39" spans="10:11" x14ac:dyDescent="0.2">
      <c r="J39">
        <v>21</v>
      </c>
      <c r="K39">
        <f t="shared" si="2"/>
        <v>0.35848592240854177</v>
      </c>
    </row>
    <row r="40" spans="10:11" x14ac:dyDescent="0.2">
      <c r="J40">
        <v>22</v>
      </c>
      <c r="K40">
        <f t="shared" si="2"/>
        <v>0.34056162628811465</v>
      </c>
    </row>
    <row r="41" spans="10:11" x14ac:dyDescent="0.2">
      <c r="J41">
        <v>23</v>
      </c>
      <c r="K41">
        <f t="shared" si="2"/>
        <v>0.3235335449737089</v>
      </c>
    </row>
    <row r="42" spans="10:11" x14ac:dyDescent="0.2">
      <c r="J42">
        <v>24</v>
      </c>
      <c r="K42">
        <f t="shared" si="2"/>
        <v>0.30735686772502346</v>
      </c>
    </row>
    <row r="43" spans="10:11" x14ac:dyDescent="0.2">
      <c r="J43">
        <v>25</v>
      </c>
      <c r="K43">
        <f t="shared" si="2"/>
        <v>0.29198902433877227</v>
      </c>
    </row>
    <row r="44" spans="10:11" x14ac:dyDescent="0.2">
      <c r="J44">
        <v>26</v>
      </c>
      <c r="K44">
        <f t="shared" si="2"/>
        <v>0.27738957312183365</v>
      </c>
    </row>
    <row r="45" spans="10:11" x14ac:dyDescent="0.2">
      <c r="J45">
        <v>27</v>
      </c>
      <c r="K45">
        <f t="shared" si="2"/>
        <v>0.26352009446574198</v>
      </c>
    </row>
    <row r="46" spans="10:11" x14ac:dyDescent="0.2">
      <c r="J46">
        <v>28</v>
      </c>
      <c r="K46">
        <f t="shared" si="2"/>
        <v>0.25034408974245487</v>
      </c>
    </row>
    <row r="47" spans="10:11" x14ac:dyDescent="0.2">
      <c r="J47">
        <v>29</v>
      </c>
      <c r="K47">
        <f t="shared" si="2"/>
        <v>0.2378268852553321</v>
      </c>
    </row>
    <row r="48" spans="10:11" x14ac:dyDescent="0.2">
      <c r="J48">
        <v>30</v>
      </c>
      <c r="K48">
        <f t="shared" si="2"/>
        <v>0.22593554099256549</v>
      </c>
    </row>
    <row r="49" spans="10:11" x14ac:dyDescent="0.2">
      <c r="J49">
        <v>31</v>
      </c>
      <c r="K49">
        <f t="shared" si="2"/>
        <v>0.21463876394293721</v>
      </c>
    </row>
    <row r="50" spans="10:11" x14ac:dyDescent="0.2">
      <c r="J50">
        <v>32</v>
      </c>
      <c r="K50">
        <f t="shared" si="2"/>
        <v>0.20390682574579033</v>
      </c>
    </row>
    <row r="51" spans="10:11" x14ac:dyDescent="0.2">
      <c r="J51">
        <v>33</v>
      </c>
      <c r="K51">
        <f t="shared" si="2"/>
        <v>0.19371148445850081</v>
      </c>
    </row>
    <row r="52" spans="10:11" x14ac:dyDescent="0.2">
      <c r="J52">
        <v>34</v>
      </c>
      <c r="K52">
        <f t="shared" si="2"/>
        <v>0.18402591023557577</v>
      </c>
    </row>
    <row r="53" spans="10:11" x14ac:dyDescent="0.2">
      <c r="J53">
        <v>35</v>
      </c>
      <c r="K53">
        <f t="shared" si="2"/>
        <v>0.17482461472379698</v>
      </c>
    </row>
    <row r="54" spans="10:11" x14ac:dyDescent="0.2">
      <c r="J54">
        <v>36</v>
      </c>
      <c r="K54">
        <f t="shared" si="2"/>
        <v>0.16608338398760714</v>
      </c>
    </row>
    <row r="55" spans="10:11" x14ac:dyDescent="0.2">
      <c r="J55">
        <v>37</v>
      </c>
      <c r="K55">
        <f t="shared" si="2"/>
        <v>0.15777921478822676</v>
      </c>
    </row>
    <row r="56" spans="10:11" x14ac:dyDescent="0.2">
      <c r="J56">
        <v>38</v>
      </c>
      <c r="K56">
        <f t="shared" si="2"/>
        <v>0.14989025404881542</v>
      </c>
    </row>
    <row r="57" spans="10:11" x14ac:dyDescent="0.2">
      <c r="J57">
        <v>39</v>
      </c>
      <c r="K57">
        <f t="shared" si="2"/>
        <v>0.14239574134637464</v>
      </c>
    </row>
    <row r="58" spans="10:11" x14ac:dyDescent="0.2">
      <c r="J58">
        <v>40</v>
      </c>
      <c r="K58">
        <f t="shared" si="2"/>
        <v>0.13527595427905589</v>
      </c>
    </row>
    <row r="59" spans="10:11" x14ac:dyDescent="0.2">
      <c r="J59">
        <v>41</v>
      </c>
      <c r="K59">
        <f t="shared" si="2"/>
        <v>0.12851215656510309</v>
      </c>
    </row>
    <row r="60" spans="10:11" x14ac:dyDescent="0.2">
      <c r="J60">
        <v>42</v>
      </c>
      <c r="K60">
        <f t="shared" si="2"/>
        <v>0.12208654873684793</v>
      </c>
    </row>
    <row r="61" spans="10:11" x14ac:dyDescent="0.2">
      <c r="J61">
        <v>43</v>
      </c>
      <c r="K61">
        <f t="shared" si="2"/>
        <v>0.11598222130000553</v>
      </c>
    </row>
    <row r="62" spans="10:11" x14ac:dyDescent="0.2">
      <c r="J62">
        <v>44</v>
      </c>
      <c r="K62">
        <f t="shared" si="2"/>
        <v>0.11018311023500525</v>
      </c>
    </row>
    <row r="63" spans="10:11" x14ac:dyDescent="0.2">
      <c r="J63">
        <v>45</v>
      </c>
      <c r="K63">
        <f t="shared" si="2"/>
        <v>0.10467395472325498</v>
      </c>
    </row>
    <row r="64" spans="10:11" x14ac:dyDescent="0.2">
      <c r="J64">
        <v>46</v>
      </c>
      <c r="K64">
        <f t="shared" si="2"/>
        <v>9.9440256987092232E-2</v>
      </c>
    </row>
    <row r="65" spans="10:11" x14ac:dyDescent="0.2">
      <c r="J65">
        <v>47</v>
      </c>
      <c r="K65">
        <f t="shared" si="2"/>
        <v>9.446824413773762E-2</v>
      </c>
    </row>
    <row r="66" spans="10:11" x14ac:dyDescent="0.2">
      <c r="J66">
        <v>48</v>
      </c>
      <c r="K66">
        <f t="shared" si="2"/>
        <v>8.9744831930850741E-2</v>
      </c>
    </row>
    <row r="67" spans="10:11" x14ac:dyDescent="0.2">
      <c r="J67">
        <v>49</v>
      </c>
      <c r="K67">
        <f t="shared" si="2"/>
        <v>8.52575903343082E-2</v>
      </c>
    </row>
    <row r="68" spans="10:11" x14ac:dyDescent="0.2">
      <c r="J68">
        <v>50</v>
      </c>
      <c r="K68">
        <f t="shared" si="2"/>
        <v>8.0994710817592783E-2</v>
      </c>
    </row>
    <row r="69" spans="10:11" x14ac:dyDescent="0.2">
      <c r="J69">
        <v>51</v>
      </c>
      <c r="K69">
        <f t="shared" si="2"/>
        <v>7.6944975276713137E-2</v>
      </c>
    </row>
    <row r="70" spans="10:11" x14ac:dyDescent="0.2">
      <c r="J70">
        <v>52</v>
      </c>
      <c r="K70">
        <f t="shared" si="2"/>
        <v>7.3097726512877478E-2</v>
      </c>
    </row>
    <row r="71" spans="10:11" x14ac:dyDescent="0.2">
      <c r="J71">
        <v>53</v>
      </c>
      <c r="K71">
        <f t="shared" si="2"/>
        <v>6.9442840187233595E-2</v>
      </c>
    </row>
    <row r="72" spans="10:11" x14ac:dyDescent="0.2">
      <c r="J72">
        <v>54</v>
      </c>
      <c r="K72">
        <f t="shared" si="2"/>
        <v>6.5970698177871906E-2</v>
      </c>
    </row>
    <row r="73" spans="10:11" x14ac:dyDescent="0.2">
      <c r="J73">
        <v>55</v>
      </c>
      <c r="K73">
        <f t="shared" si="2"/>
        <v>6.2672163268978301E-2</v>
      </c>
    </row>
    <row r="74" spans="10:11" x14ac:dyDescent="0.2">
      <c r="J74">
        <v>56</v>
      </c>
      <c r="K74">
        <f t="shared" si="2"/>
        <v>5.9538555105529384E-2</v>
      </c>
    </row>
    <row r="75" spans="10:11" x14ac:dyDescent="0.2">
      <c r="J75">
        <v>57</v>
      </c>
      <c r="K75">
        <f t="shared" si="2"/>
        <v>5.6561627350252913E-2</v>
      </c>
    </row>
    <row r="76" spans="10:11" x14ac:dyDescent="0.2">
      <c r="J76">
        <v>58</v>
      </c>
      <c r="K76">
        <f t="shared" si="2"/>
        <v>5.3733545982740265E-2</v>
      </c>
    </row>
    <row r="77" spans="10:11" x14ac:dyDescent="0.2">
      <c r="J77">
        <v>59</v>
      </c>
      <c r="K77">
        <f t="shared" si="2"/>
        <v>5.1046868683603253E-2</v>
      </c>
    </row>
    <row r="78" spans="10:11" x14ac:dyDescent="0.2">
      <c r="J78">
        <v>60</v>
      </c>
      <c r="K78">
        <f t="shared" si="2"/>
        <v>4.849452524942309E-2</v>
      </c>
    </row>
  </sheetData>
  <phoneticPr fontId="4" type="noConversion"/>
  <conditionalFormatting sqref="K19:K7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{38C7F090-46B4-4443-86AC-14DD0C6FA069}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C7F090-46B4-4443-86AC-14DD0C6FA0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K19:K78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B692-E10F-479F-ABFA-C16A979BA6F0}">
  <dimension ref="A1:X5"/>
  <sheetViews>
    <sheetView workbookViewId="0">
      <selection activeCell="A5" sqref="A5:XFD5"/>
    </sheetView>
  </sheetViews>
  <sheetFormatPr defaultRowHeight="14.25" x14ac:dyDescent="0.2"/>
  <cols>
    <col min="5" max="5" width="14.125" customWidth="1"/>
    <col min="10" max="10" width="13.625" bestFit="1" customWidth="1"/>
    <col min="15" max="15" width="8.625" customWidth="1"/>
  </cols>
  <sheetData>
    <row r="1" spans="1:24" s="66" customFormat="1" x14ac:dyDescent="0.2">
      <c r="A1" s="182" t="s">
        <v>380</v>
      </c>
      <c r="B1" s="182" t="s">
        <v>428</v>
      </c>
      <c r="C1" s="184" t="s">
        <v>430</v>
      </c>
      <c r="D1" s="184" t="s">
        <v>396</v>
      </c>
      <c r="E1" s="182" t="s">
        <v>400</v>
      </c>
      <c r="F1" s="183"/>
      <c r="G1" s="183"/>
      <c r="H1" s="183"/>
      <c r="I1" s="183"/>
      <c r="J1" s="182" t="s">
        <v>401</v>
      </c>
      <c r="K1" s="183"/>
      <c r="L1" s="183"/>
      <c r="M1" s="183"/>
      <c r="N1" s="183"/>
      <c r="O1" s="182" t="s">
        <v>402</v>
      </c>
      <c r="P1" s="183"/>
      <c r="Q1" s="183"/>
      <c r="R1" s="183"/>
      <c r="S1" s="183"/>
      <c r="T1" s="182" t="s">
        <v>403</v>
      </c>
      <c r="U1" s="183"/>
      <c r="V1" s="183"/>
      <c r="W1" s="183"/>
      <c r="X1" s="184"/>
    </row>
    <row r="2" spans="1:24" s="66" customFormat="1" x14ac:dyDescent="0.2">
      <c r="A2" s="185"/>
      <c r="B2" s="185"/>
      <c r="C2" s="186"/>
      <c r="D2" s="186"/>
      <c r="E2" s="93" t="s">
        <v>397</v>
      </c>
      <c r="F2" s="87" t="s">
        <v>283</v>
      </c>
      <c r="G2" s="87" t="s">
        <v>404</v>
      </c>
      <c r="H2" s="87" t="s">
        <v>398</v>
      </c>
      <c r="I2" s="87" t="s">
        <v>399</v>
      </c>
      <c r="J2" s="85" t="s">
        <v>397</v>
      </c>
      <c r="K2" s="87" t="s">
        <v>283</v>
      </c>
      <c r="L2" s="87" t="s">
        <v>404</v>
      </c>
      <c r="M2" s="87" t="s">
        <v>398</v>
      </c>
      <c r="N2" s="87" t="s">
        <v>399</v>
      </c>
      <c r="O2" s="93" t="s">
        <v>397</v>
      </c>
      <c r="P2" s="87" t="s">
        <v>283</v>
      </c>
      <c r="Q2" s="87" t="s">
        <v>404</v>
      </c>
      <c r="R2" s="87" t="s">
        <v>398</v>
      </c>
      <c r="S2" s="87" t="s">
        <v>399</v>
      </c>
      <c r="T2" s="85" t="s">
        <v>397</v>
      </c>
      <c r="U2" s="87" t="s">
        <v>283</v>
      </c>
      <c r="V2" s="87" t="s">
        <v>404</v>
      </c>
      <c r="W2" s="87" t="s">
        <v>398</v>
      </c>
      <c r="X2" s="86" t="s">
        <v>399</v>
      </c>
    </row>
    <row r="3" spans="1:24" s="66" customFormat="1" x14ac:dyDescent="0.2">
      <c r="A3" s="84">
        <v>1</v>
      </c>
      <c r="B3" s="88">
        <f>MAX(MIN(战斗节奏!$C$2-INT(A3/'⚪设计'!$C$55),MOD(A3,'⚪设计'!$C$55)),0)*'⚪设计'!$C$79*防御塔!$C$2+MIN(INT(A3/'⚪设计'!$C$55),战斗节奏!$C$2)*'⚪设计'!$C$80*防御塔!$C$2</f>
        <v>900</v>
      </c>
      <c r="C3" s="7">
        <v>1</v>
      </c>
      <c r="D3" s="7">
        <v>10</v>
      </c>
      <c r="E3" s="71" t="str">
        <f>IF(VLOOKUP(A3,'⚪设计'!$A$124:$G$126,4,FALSE)="","",VLOOKUP(VLOOKUP(A3,'⚪设计'!$A$124:$G$126,4,FALSE),'⚪设计'!$B$85:$D$101,2,FALSE))</f>
        <v>ResUnit_MiFeng1</v>
      </c>
      <c r="F3" s="88">
        <f>IF(E3="",0,IF(G3=0,1,ROUND($D3/G3,0)))</f>
        <v>13</v>
      </c>
      <c r="G3" s="7">
        <v>0.75</v>
      </c>
      <c r="H3" s="88">
        <f>IF(E3="",0,ROUND(VLOOKUP($A3,'⚪设计'!$A$124:$B$221,2,FALSE)*$B3/SUM(IF($E3="",0,VLOOKUP($E3,'⚪设计'!$C$85:$E$101,3,FALSE))*$F3,IF($J3="",0,VLOOKUP($J3,'⚪设计'!$C$85:$E$101,3,FALSE))*$K3,IF($O3="",0,VLOOKUP($O3,'⚪设计'!$C$85:$E$101,3,FALSE))*$P3,IF($T3="",0,VLOOKUP($T3,'⚪设计'!$C$85:$E$101,3,FALSE))*$U3)*VLOOKUP(E3,'⚪设计'!$C$85:$E$101,3,FALSE),0))</f>
        <v>208</v>
      </c>
      <c r="I3" s="88">
        <f>ROUND(战斗节奏!$B$2/SUM(IF($E3="",0,VLOOKUP($E3,'⚪设计'!$C$85:$G$101,4,FALSE)*$F3),IF($J3="",0,VLOOKUP($J3,'⚪设计'!$C$85:$G$101,4,FALSE)*$K3),IF($O3="",0,VLOOKUP($O3,'⚪设计'!$C$85:$G$101,4,FALSE)*$P3),IF($T3="",0,VLOOKUP($T3,'⚪设计'!$C$85:$G$101,4,FALSE)*$U3))*IF(E3="",0,VLOOKUP(E3,'⚪设计'!$C$85:$G$101,4,FALSE)),0)</f>
        <v>35</v>
      </c>
      <c r="J3" s="88" t="str">
        <f>IF(VLOOKUP(A3,'⚪设计'!$A$124:$G$126,5,FALSE)="","",VLOOKUP(VLOOKUP(A3,'⚪设计'!$A$124:$G$126,5,FALSE),'⚪设计'!$B$85:$D$101,2,FALSE))</f>
        <v/>
      </c>
      <c r="K3" s="88">
        <f>IF(J3="",0,IF(L3=0,1,ROUND($D3/L3,0)))</f>
        <v>0</v>
      </c>
      <c r="L3" s="7"/>
      <c r="M3" s="88">
        <f>IF(J3="",0,ROUND(VLOOKUP($A3,'⚪设计'!$A$124:$B$221,2,FALSE)*$B3/SUM(IF($E3="",0,VLOOKUP($E3,'⚪设计'!$C$85:$E$101,3,FALSE))*$F3,IF($J3="",0,VLOOKUP($J3,'⚪设计'!$C$85:$E$101,3,FALSE))*$K3,IF($O3="",0,VLOOKUP($O3,'⚪设计'!$C$85:$E$101,3,FALSE))*$P3,IF($T3="",0,VLOOKUP($T3,'⚪设计'!$C$85:$E$101,3,FALSE))*$U3)*VLOOKUP(J3,'⚪设计'!$C$85:$E$101,3,FALSE),0))</f>
        <v>0</v>
      </c>
      <c r="N3" s="88">
        <f>ROUND(战斗节奏!$B$2/SUM(IF($E3="",0,VLOOKUP($E3,'⚪设计'!$C$85:$G$101,4,FALSE)*$F3),IF($J3="",0,VLOOKUP($J3,'⚪设计'!$C$85:$G$101,4,FALSE)*$K3),IF($O3="",0,VLOOKUP($O3,'⚪设计'!$C$85:$G$101,4,FALSE)*$P3),IF($T3="",0,VLOOKUP($T3,'⚪设计'!$C$85:$G$101,4,FALSE)*$U3))*IF(J3="",0,VLOOKUP(J3,'⚪设计'!$C$85:$G$101,4,FALSE)),0)</f>
        <v>0</v>
      </c>
      <c r="O3" s="71" t="str">
        <f>IF(VLOOKUP(A3,'⚪设计'!$A$124:$G$126,6,FALSE)="","",VLOOKUP(VLOOKUP(A3,'⚪设计'!$A$124:$G$126,6,FALSE),'⚪设计'!$B$85:$D$101,2,FALSE))</f>
        <v/>
      </c>
      <c r="P3" s="88">
        <f>IF(O3="",0,IF(Q3=0,1,ROUND($D3/Q3,0)))</f>
        <v>0</v>
      </c>
      <c r="Q3" s="7"/>
      <c r="R3" s="88">
        <f>IF(O3="",0,ROUND(VLOOKUP($A3,'⚪设计'!$A$124:$B$221,2,FALSE)*$B3/SUM(IF($E3="",0,VLOOKUP($E3,'⚪设计'!$C$85:$E$101,3,FALSE))*$F3,IF($J3="",0,VLOOKUP($J3,'⚪设计'!$C$85:$E$101,3,FALSE))*$K3,IF($O3="",0,VLOOKUP($O3,'⚪设计'!$C$85:$E$101,3,FALSE))*$P3,IF($T3="",0,VLOOKUP($T3,'⚪设计'!$C$85:$E$101,3,FALSE))*$U3)*VLOOKUP(O3,'⚪设计'!$C$85:$E$101,3,FALSE),0))</f>
        <v>0</v>
      </c>
      <c r="S3" s="88">
        <f>ROUND(战斗节奏!$B$2/SUM(IF($E3="",0,VLOOKUP($E3,'⚪设计'!$C$85:$G$101,4,FALSE)*$F3),IF($J3="",0,VLOOKUP($J3,'⚪设计'!$C$85:$G$101,4,FALSE)*$K3),IF($O3="",0,VLOOKUP($O3,'⚪设计'!$C$85:$G$101,4,FALSE)*$P3),IF($T3="",0,VLOOKUP($T3,'⚪设计'!$C$85:$G$101,4,FALSE)*$U3))*IF(O3="",0,VLOOKUP(O3,'⚪设计'!$C$85:$G$101,4,FALSE)),0)</f>
        <v>0</v>
      </c>
      <c r="T3" s="88" t="str">
        <f>IF(VLOOKUP(A3,'⚪设计'!$A$124:$G$126,7,FALSE)="","",VLOOKUP(VLOOKUP(A3,'⚪设计'!$A$124:$G$126,7,FALSE),'⚪设计'!$B$85:$D$101,2,FALSE))</f>
        <v/>
      </c>
      <c r="U3" s="88">
        <f>IF(T3="",0,IF(V3=0,1,ROUND($D3/V3,0)))</f>
        <v>0</v>
      </c>
      <c r="V3" s="7"/>
      <c r="W3" s="88">
        <f>IF(T3="",0,ROUND(VLOOKUP($A3,'⚪设计'!$A$124:$B$221,2,FALSE)*$B3/SUM(IF($E3="",0,VLOOKUP($E3,'⚪设计'!$C$85:$E$101,3,FALSE))*$F3,IF($J3="",0,VLOOKUP($J3,'⚪设计'!$C$85:$E$101,3,FALSE))*$K3,IF($O3="",0,VLOOKUP($O3,'⚪设计'!$C$85:$E$101,3,FALSE))*$P3,IF($T3="",0,VLOOKUP($T3,'⚪设计'!$C$85:$E$101,3,FALSE))*$U3)*VLOOKUP(T3,'⚪设计'!$C$85:$E$101,3,FALSE),0))</f>
        <v>0</v>
      </c>
      <c r="X3" s="88">
        <f>ROUND(战斗节奏!$B$2/SUM(IF($E3="",0,VLOOKUP($E3,'⚪设计'!$C$85:$G$101,4,FALSE)*$F3),IF($J3="",0,VLOOKUP($J3,'⚪设计'!$C$85:$G$101,4,FALSE)*$K3),IF($O3="",0,VLOOKUP($O3,'⚪设计'!$C$85:$G$101,4,FALSE)*$P3),IF($T3="",0,VLOOKUP($T3,'⚪设计'!$C$85:$G$101,4,FALSE)*$U3))*IF(T3="",0,VLOOKUP(T3,'⚪设计'!$C$85:$G$101,4,FALSE)),0)</f>
        <v>0</v>
      </c>
    </row>
    <row r="4" spans="1:24" s="66" customFormat="1" x14ac:dyDescent="0.2">
      <c r="A4" s="84">
        <v>2</v>
      </c>
      <c r="B4" s="88">
        <f>MAX(MIN(战斗节奏!$C$2-INT(A4/'⚪设计'!$C$55),MOD(A4,'⚪设计'!$C$55)),0)*'⚪设计'!$C$79*防御塔!$C$2+MIN(INT(A4/'⚪设计'!$C$55),战斗节奏!$C$2)*'⚪设计'!$C$80*防御塔!$C$2</f>
        <v>1800</v>
      </c>
      <c r="C4" s="7">
        <v>1.05</v>
      </c>
      <c r="D4" s="7">
        <v>11</v>
      </c>
      <c r="E4" s="71" t="str">
        <f>IF(VLOOKUP(A4,'⚪设计'!$A$124:$G$126,4,FALSE)="","",VLOOKUP(VLOOKUP(A4,'⚪设计'!$A$124:$G$126,4,FALSE),'⚪设计'!$B$85:$D$101,2,FALSE))</f>
        <v>ResUnit_MiFeng1</v>
      </c>
      <c r="F4" s="88">
        <f t="shared" ref="F4:F5" si="0">IF(E4="",0,IF(G4=0,1,ROUND($D4/G4,0)))</f>
        <v>7</v>
      </c>
      <c r="G4" s="7">
        <v>1.5</v>
      </c>
      <c r="H4" s="88">
        <f>IF(E4="",0,ROUND(VLOOKUP($A4,'⚪设计'!$A$124:$B$221,2,FALSE)*$B4/SUM(IF($E4="",0,VLOOKUP($E4,'⚪设计'!$C$85:$E$101,3,FALSE))*$F4,IF($J4="",0,VLOOKUP($J4,'⚪设计'!$C$85:$E$101,3,FALSE))*$K4,IF($O4="",0,VLOOKUP($O4,'⚪设计'!$C$85:$E$101,3,FALSE))*$P4,IF($T4="",0,VLOOKUP($T4,'⚪设计'!$C$85:$E$101,3,FALSE))*$U4)*VLOOKUP(E4,'⚪设计'!$C$85:$E$101,3,FALSE),0))</f>
        <v>321</v>
      </c>
      <c r="I4" s="88">
        <f>ROUND(战斗节奏!$B$2/SUM(IF($E4="",0,VLOOKUP($E4,'⚪设计'!$C$85:$G$101,4,FALSE)*$F4),IF($J4="",0,VLOOKUP($J4,'⚪设计'!$C$85:$G$101,4,FALSE)*$K4),IF($O4="",0,VLOOKUP($O4,'⚪设计'!$C$85:$G$101,4,FALSE)*$P4),IF($T4="",0,VLOOKUP($T4,'⚪设计'!$C$85:$G$101,4,FALSE)*$U4))*IF(E4="",0,VLOOKUP(E4,'⚪设计'!$C$85:$G$101,4,FALSE)),0)</f>
        <v>64</v>
      </c>
      <c r="J4" s="88" t="str">
        <f>IF(VLOOKUP(A4,'⚪设计'!$A$124:$G$126,5,FALSE)="","",VLOOKUP(VLOOKUP(A4,'⚪设计'!$A$124:$G$126,5,FALSE),'⚪设计'!$B$85:$D$101,2,FALSE))</f>
        <v/>
      </c>
      <c r="K4" s="88">
        <f t="shared" ref="K4:K5" si="1">IF(J4="",0,IF(L4=0,1,ROUND($D4/L4,0)))</f>
        <v>0</v>
      </c>
      <c r="L4" s="7"/>
      <c r="M4" s="88">
        <f>IF(J4="",0,ROUND(VLOOKUP($A4,'⚪设计'!$A$124:$B$221,2,FALSE)*$B4/SUM(IF($E4="",0,VLOOKUP($E4,'⚪设计'!$C$85:$E$101,3,FALSE))*$F4,IF($J4="",0,VLOOKUP($J4,'⚪设计'!$C$85:$E$101,3,FALSE))*$K4,IF($O4="",0,VLOOKUP($O4,'⚪设计'!$C$85:$E$101,3,FALSE))*$P4,IF($T4="",0,VLOOKUP($T4,'⚪设计'!$C$85:$E$101,3,FALSE))*$U4)*VLOOKUP(J4,'⚪设计'!$C$85:$E$101,3,FALSE),0))</f>
        <v>0</v>
      </c>
      <c r="N4" s="88">
        <f>ROUND(战斗节奏!$B$2/SUM(IF($E4="",0,VLOOKUP($E4,'⚪设计'!$C$85:$G$101,4,FALSE)*$F4),IF($J4="",0,VLOOKUP($J4,'⚪设计'!$C$85:$G$101,4,FALSE)*$K4),IF($O4="",0,VLOOKUP($O4,'⚪设计'!$C$85:$G$101,4,FALSE)*$P4),IF($T4="",0,VLOOKUP($T4,'⚪设计'!$C$85:$G$101,4,FALSE)*$U4))*IF(J4="",0,VLOOKUP(J4,'⚪设计'!$C$85:$G$101,4,FALSE)),0)</f>
        <v>0</v>
      </c>
      <c r="O4" s="71" t="str">
        <f>IF(VLOOKUP(A4,'⚪设计'!$A$124:$G$126,6,FALSE)="","",VLOOKUP(VLOOKUP(A4,'⚪设计'!$A$124:$G$126,6,FALSE),'⚪设计'!$B$85:$D$101,2,FALSE))</f>
        <v/>
      </c>
      <c r="P4" s="88">
        <f t="shared" ref="P4:P5" si="2">IF(O4="",0,IF(Q4=0,1,ROUND($D4/Q4,0)))</f>
        <v>0</v>
      </c>
      <c r="Q4" s="7"/>
      <c r="R4" s="88">
        <f>IF(O4="",0,ROUND(VLOOKUP($A4,'⚪设计'!$A$124:$B$221,2,FALSE)*$B4/SUM(IF($E4="",0,VLOOKUP($E4,'⚪设计'!$C$85:$E$101,3,FALSE))*$F4,IF($J4="",0,VLOOKUP($J4,'⚪设计'!$C$85:$E$101,3,FALSE))*$K4,IF($O4="",0,VLOOKUP($O4,'⚪设计'!$C$85:$E$101,3,FALSE))*$P4,IF($T4="",0,VLOOKUP($T4,'⚪设计'!$C$85:$E$101,3,FALSE))*$U4)*VLOOKUP(O4,'⚪设计'!$C$85:$E$101,3,FALSE),0))</f>
        <v>0</v>
      </c>
      <c r="S4" s="88">
        <f>ROUND(战斗节奏!$B$2/SUM(IF($E4="",0,VLOOKUP($E4,'⚪设计'!$C$85:$G$101,4,FALSE)*$F4),IF($J4="",0,VLOOKUP($J4,'⚪设计'!$C$85:$G$101,4,FALSE)*$K4),IF($O4="",0,VLOOKUP($O4,'⚪设计'!$C$85:$G$101,4,FALSE)*$P4),IF($T4="",0,VLOOKUP($T4,'⚪设计'!$C$85:$G$101,4,FALSE)*$U4))*IF(O4="",0,VLOOKUP(O4,'⚪设计'!$C$85:$G$101,4,FALSE)),0)</f>
        <v>0</v>
      </c>
      <c r="T4" s="88" t="str">
        <f>IF(VLOOKUP(A4,'⚪设计'!$A$124:$G$126,7,FALSE)="","",VLOOKUP(VLOOKUP(A4,'⚪设计'!$A$124:$G$126,7,FALSE),'⚪设计'!$B$85:$D$101,2,FALSE))</f>
        <v/>
      </c>
      <c r="U4" s="88">
        <f t="shared" ref="U4:U5" si="3">IF(T4="",0,IF(V4=0,1,ROUND($D4/V4,0)))</f>
        <v>0</v>
      </c>
      <c r="V4" s="7"/>
      <c r="W4" s="88">
        <f>IF(T4="",0,ROUND(VLOOKUP($A4,'⚪设计'!$A$124:$B$221,2,FALSE)*$B4/SUM(IF($E4="",0,VLOOKUP($E4,'⚪设计'!$C$85:$E$101,3,FALSE))*$F4,IF($J4="",0,VLOOKUP($J4,'⚪设计'!$C$85:$E$101,3,FALSE))*$K4,IF($O4="",0,VLOOKUP($O4,'⚪设计'!$C$85:$E$101,3,FALSE))*$P4,IF($T4="",0,VLOOKUP($T4,'⚪设计'!$C$85:$E$101,3,FALSE))*$U4)*VLOOKUP(T4,'⚪设计'!$C$85:$E$101,3,FALSE),0))</f>
        <v>0</v>
      </c>
      <c r="X4" s="88">
        <f>ROUND(战斗节奏!$B$2/SUM(IF($E4="",0,VLOOKUP($E4,'⚪设计'!$C$85:$G$101,4,FALSE)*$F4),IF($J4="",0,VLOOKUP($J4,'⚪设计'!$C$85:$G$101,4,FALSE)*$K4),IF($O4="",0,VLOOKUP($O4,'⚪设计'!$C$85:$G$101,4,FALSE)*$P4),IF($T4="",0,VLOOKUP($T4,'⚪设计'!$C$85:$G$101,4,FALSE)*$U4))*IF(T4="",0,VLOOKUP(T4,'⚪设计'!$C$85:$G$101,4,FALSE)),0)</f>
        <v>0</v>
      </c>
    </row>
    <row r="5" spans="1:24" s="66" customFormat="1" x14ac:dyDescent="0.2">
      <c r="A5" s="84">
        <v>3</v>
      </c>
      <c r="B5" s="88">
        <f>MAX(MIN(战斗节奏!$C$2-INT(A5/'⚪设计'!$C$55),MOD(A5,'⚪设计'!$C$55)),0)*'⚪设计'!$C$79*防御塔!$C$2+MIN(INT(A5/'⚪设计'!$C$55),战斗节奏!$C$2)*'⚪设计'!$C$80*防御塔!$C$2</f>
        <v>3600</v>
      </c>
      <c r="C5" s="7">
        <v>1.1000000000000001</v>
      </c>
      <c r="D5" s="7">
        <v>12</v>
      </c>
      <c r="E5" s="71" t="str">
        <f>IF(VLOOKUP(A5,'⚪设计'!$A$124:$G$126,4,FALSE)="","",VLOOKUP(VLOOKUP(A5,'⚪设计'!$A$124:$G$126,4,FALSE),'⚪设计'!$B$85:$D$101,2,FALSE))</f>
        <v>ResUnit_MiFeng1</v>
      </c>
      <c r="F5" s="88">
        <f t="shared" si="0"/>
        <v>16</v>
      </c>
      <c r="G5" s="7">
        <v>0.75</v>
      </c>
      <c r="H5" s="88">
        <f>IF(E5="",0,ROUND(VLOOKUP($A5,'⚪设计'!$A$124:$B$221,2,FALSE)*$B5/SUM(IF($E5="",0,VLOOKUP($E5,'⚪设计'!$C$85:$E$101,3,FALSE))*$F5,IF($J5="",0,VLOOKUP($J5,'⚪设计'!$C$85:$E$101,3,FALSE))*$K5,IF($O5="",0,VLOOKUP($O5,'⚪设计'!$C$85:$E$101,3,FALSE))*$P5,IF($T5="",0,VLOOKUP($T5,'⚪设计'!$C$85:$E$101,3,FALSE))*$U5)*VLOOKUP(E5,'⚪设计'!$C$85:$E$101,3,FALSE),0))</f>
        <v>110</v>
      </c>
      <c r="I5" s="88">
        <f>ROUND(战斗节奏!$B$2/SUM(IF($E5="",0,VLOOKUP($E5,'⚪设计'!$C$85:$G$101,4,FALSE)*$F5),IF($J5="",0,VLOOKUP($J5,'⚪设计'!$C$85:$G$101,4,FALSE)*$K5),IF($O5="",0,VLOOKUP($O5,'⚪设计'!$C$85:$G$101,4,FALSE)*$P5),IF($T5="",0,VLOOKUP($T5,'⚪设计'!$C$85:$G$101,4,FALSE)*$U5))*IF(E5="",0,VLOOKUP(E5,'⚪设计'!$C$85:$G$101,4,FALSE)),0)</f>
        <v>6</v>
      </c>
      <c r="J5" s="88" t="str">
        <f>IF(VLOOKUP(A5,'⚪设计'!$A$124:$G$126,5,FALSE)="","",VLOOKUP(VLOOKUP(A5,'⚪设计'!$A$124:$G$126,5,FALSE),'⚪设计'!$B$85:$D$101,2,FALSE))</f>
        <v>ResUnit_Dan1</v>
      </c>
      <c r="K5" s="88">
        <f t="shared" si="1"/>
        <v>8</v>
      </c>
      <c r="L5" s="7">
        <v>1.5</v>
      </c>
      <c r="M5" s="88">
        <f>IF(J5="",0,ROUND(VLOOKUP($A5,'⚪设计'!$A$124:$B$221,2,FALSE)*$B5/SUM(IF($E5="",0,VLOOKUP($E5,'⚪设计'!$C$85:$E$101,3,FALSE))*$F5,IF($J5="",0,VLOOKUP($J5,'⚪设计'!$C$85:$E$101,3,FALSE))*$K5,IF($O5="",0,VLOOKUP($O5,'⚪设计'!$C$85:$E$101,3,FALSE))*$P5,IF($T5="",0,VLOOKUP($T5,'⚪设计'!$C$85:$E$101,3,FALSE))*$U5)*VLOOKUP(J5,'⚪设计'!$C$85:$E$101,3,FALSE),0))</f>
        <v>440</v>
      </c>
      <c r="N5" s="88">
        <f>ROUND(战斗节奏!$B$2/SUM(IF($E5="",0,VLOOKUP($E5,'⚪设计'!$C$85:$G$101,4,FALSE)*$F5),IF($J5="",0,VLOOKUP($J5,'⚪设计'!$C$85:$G$101,4,FALSE)*$K5),IF($O5="",0,VLOOKUP($O5,'⚪设计'!$C$85:$G$101,4,FALSE)*$P5),IF($T5="",0,VLOOKUP($T5,'⚪设计'!$C$85:$G$101,4,FALSE)*$U5))*IF(J5="",0,VLOOKUP(J5,'⚪设计'!$C$85:$G$101,4,FALSE)),0)</f>
        <v>25</v>
      </c>
      <c r="O5" s="71" t="str">
        <f>IF(VLOOKUP(A5,'⚪设计'!$A$124:$G$126,6,FALSE)="","",VLOOKUP(VLOOKUP(A5,'⚪设计'!$A$124:$G$126,6,FALSE),'⚪设计'!$B$85:$D$101,2,FALSE))</f>
        <v>ResUnit_ZhiZhu1</v>
      </c>
      <c r="P5" s="88">
        <f t="shared" si="2"/>
        <v>12</v>
      </c>
      <c r="Q5" s="7">
        <v>1</v>
      </c>
      <c r="R5" s="88">
        <f>IF(O5="",0,ROUND(VLOOKUP($A5,'⚪设计'!$A$124:$B$221,2,FALSE)*$B5/SUM(IF($E5="",0,VLOOKUP($E5,'⚪设计'!$C$85:$E$101,3,FALSE))*$F5,IF($J5="",0,VLOOKUP($J5,'⚪设计'!$C$85:$E$101,3,FALSE))*$K5,IF($O5="",0,VLOOKUP($O5,'⚪设计'!$C$85:$E$101,3,FALSE))*$P5,IF($T5="",0,VLOOKUP($T5,'⚪设计'!$C$85:$E$101,3,FALSE))*$U5)*VLOOKUP(O5,'⚪设计'!$C$85:$E$101,3,FALSE),0))</f>
        <v>220</v>
      </c>
      <c r="S5" s="88">
        <f>ROUND(战斗节奏!$B$2/SUM(IF($E5="",0,VLOOKUP($E5,'⚪设计'!$C$85:$G$101,4,FALSE)*$F5),IF($J5="",0,VLOOKUP($J5,'⚪设计'!$C$85:$G$101,4,FALSE)*$K5),IF($O5="",0,VLOOKUP($O5,'⚪设计'!$C$85:$G$101,4,FALSE)*$P5),IF($T5="",0,VLOOKUP($T5,'⚪设计'!$C$85:$G$101,4,FALSE)*$U5))*IF(O5="",0,VLOOKUP(O5,'⚪设计'!$C$85:$G$101,4,FALSE)),0)</f>
        <v>13</v>
      </c>
      <c r="T5" s="88" t="str">
        <f>IF(VLOOKUP(A5,'⚪设计'!$A$124:$G$126,7,FALSE)="","",VLOOKUP(VLOOKUP(A5,'⚪设计'!$A$124:$G$126,7,FALSE),'⚪设计'!$B$85:$D$101,2,FALSE))</f>
        <v/>
      </c>
      <c r="U5" s="88">
        <f t="shared" si="3"/>
        <v>0</v>
      </c>
      <c r="V5" s="7"/>
      <c r="W5" s="88">
        <f>IF(T5="",0,ROUND(VLOOKUP($A5,'⚪设计'!$A$124:$B$221,2,FALSE)*$B5/SUM(IF($E5="",0,VLOOKUP($E5,'⚪设计'!$C$85:$E$101,3,FALSE))*$F5,IF($J5="",0,VLOOKUP($J5,'⚪设计'!$C$85:$E$101,3,FALSE))*$K5,IF($O5="",0,VLOOKUP($O5,'⚪设计'!$C$85:$E$101,3,FALSE))*$P5,IF($T5="",0,VLOOKUP($T5,'⚪设计'!$C$85:$E$101,3,FALSE))*$U5)*VLOOKUP(T5,'⚪设计'!$C$85:$E$101,3,FALSE),0))</f>
        <v>0</v>
      </c>
      <c r="X5" s="88">
        <f>ROUND(战斗节奏!$B$2/SUM(IF($E5="",0,VLOOKUP($E5,'⚪设计'!$C$85:$G$101,4,FALSE)*$F5),IF($J5="",0,VLOOKUP($J5,'⚪设计'!$C$85:$G$101,4,FALSE)*$K5),IF($O5="",0,VLOOKUP($O5,'⚪设计'!$C$85:$G$101,4,FALSE)*$P5),IF($T5="",0,VLOOKUP($T5,'⚪设计'!$C$85:$G$101,4,FALSE)*$U5))*IF(T5="",0,VLOOKUP(T5,'⚪设计'!$C$85:$G$101,4,FALSE)),0)</f>
        <v>0</v>
      </c>
    </row>
  </sheetData>
  <mergeCells count="8">
    <mergeCell ref="E1:I1"/>
    <mergeCell ref="J1:N1"/>
    <mergeCell ref="O1:S1"/>
    <mergeCell ref="T1:X1"/>
    <mergeCell ref="A1:A2"/>
    <mergeCell ref="B1:B2"/>
    <mergeCell ref="C1:C2"/>
    <mergeCell ref="D1:D2"/>
  </mergeCells>
  <phoneticPr fontId="4" type="noConversion"/>
  <conditionalFormatting sqref="A3:X5">
    <cfRule type="cellIs" dxfId="19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02F0-2EB0-43F1-9C67-E9B8E603D573}">
  <dimension ref="A1:Z52"/>
  <sheetViews>
    <sheetView topLeftCell="A25" zoomScale="85" zoomScaleNormal="85" workbookViewId="0">
      <selection activeCell="A25" sqref="A25:XFD25"/>
    </sheetView>
  </sheetViews>
  <sheetFormatPr defaultColWidth="9" defaultRowHeight="14.25" x14ac:dyDescent="0.2"/>
  <cols>
    <col min="1" max="16384" width="9" style="96"/>
  </cols>
  <sheetData>
    <row r="1" spans="1:26" x14ac:dyDescent="0.2">
      <c r="A1" s="182" t="s">
        <v>665</v>
      </c>
      <c r="B1" s="182" t="s">
        <v>62</v>
      </c>
      <c r="C1" s="182" t="s">
        <v>380</v>
      </c>
      <c r="D1" s="182" t="s">
        <v>428</v>
      </c>
      <c r="E1" s="184" t="s">
        <v>430</v>
      </c>
      <c r="F1" s="184" t="s">
        <v>396</v>
      </c>
      <c r="G1" s="182" t="s">
        <v>400</v>
      </c>
      <c r="H1" s="183"/>
      <c r="I1" s="183"/>
      <c r="J1" s="183"/>
      <c r="K1" s="183"/>
      <c r="L1" s="182" t="s">
        <v>401</v>
      </c>
      <c r="M1" s="183"/>
      <c r="N1" s="183"/>
      <c r="O1" s="183"/>
      <c r="P1" s="183"/>
      <c r="Q1" s="182" t="s">
        <v>402</v>
      </c>
      <c r="R1" s="183"/>
      <c r="S1" s="183"/>
      <c r="T1" s="183"/>
      <c r="U1" s="183"/>
      <c r="V1" s="182" t="s">
        <v>403</v>
      </c>
      <c r="W1" s="183"/>
      <c r="X1" s="183"/>
      <c r="Y1" s="183"/>
      <c r="Z1" s="184"/>
    </row>
    <row r="2" spans="1:26" x14ac:dyDescent="0.2">
      <c r="A2" s="185"/>
      <c r="B2" s="185"/>
      <c r="C2" s="185"/>
      <c r="D2" s="185"/>
      <c r="E2" s="186"/>
      <c r="F2" s="186"/>
      <c r="G2" s="85" t="s">
        <v>397</v>
      </c>
      <c r="H2" s="87" t="s">
        <v>283</v>
      </c>
      <c r="I2" s="87" t="s">
        <v>404</v>
      </c>
      <c r="J2" s="87" t="s">
        <v>398</v>
      </c>
      <c r="K2" s="87" t="s">
        <v>399</v>
      </c>
      <c r="L2" s="85" t="s">
        <v>397</v>
      </c>
      <c r="M2" s="87" t="s">
        <v>283</v>
      </c>
      <c r="N2" s="87" t="s">
        <v>404</v>
      </c>
      <c r="O2" s="87" t="s">
        <v>398</v>
      </c>
      <c r="P2" s="87" t="s">
        <v>399</v>
      </c>
      <c r="Q2" s="85" t="s">
        <v>397</v>
      </c>
      <c r="R2" s="87" t="s">
        <v>283</v>
      </c>
      <c r="S2" s="87" t="s">
        <v>404</v>
      </c>
      <c r="T2" s="87" t="s">
        <v>398</v>
      </c>
      <c r="U2" s="87" t="s">
        <v>399</v>
      </c>
      <c r="V2" s="85" t="s">
        <v>397</v>
      </c>
      <c r="W2" s="87" t="s">
        <v>283</v>
      </c>
      <c r="X2" s="87" t="s">
        <v>404</v>
      </c>
      <c r="Y2" s="87" t="s">
        <v>398</v>
      </c>
      <c r="Z2" s="86" t="s">
        <v>399</v>
      </c>
    </row>
    <row r="3" spans="1:26" x14ac:dyDescent="0.2">
      <c r="A3" s="2" t="str">
        <f>B3&amp;"_"&amp;C3</f>
        <v>1_1</v>
      </c>
      <c r="B3" s="2">
        <v>1</v>
      </c>
      <c r="C3" s="2">
        <v>1</v>
      </c>
      <c r="D3" s="97">
        <f>VLOOKUP(C3,无限模式!$A$3:$B$22,2,FALSE)</f>
        <v>900</v>
      </c>
      <c r="E3" s="98">
        <v>1</v>
      </c>
      <c r="F3" s="97">
        <f>'⚪设计'!F144</f>
        <v>10</v>
      </c>
      <c r="G3" s="97" t="str">
        <f>IF(VLOOKUP($A3,'⚪设计'!$A$144:$N$193,7,FALSE)="","",VLOOKUP($A3,'⚪设计'!$A$144:$N$193,7,FALSE))</f>
        <v>蜜蜂1</v>
      </c>
      <c r="H3" s="97">
        <f>IF(I3=0,1,IF(I3="","",ROUND($F3/I3,0)))</f>
        <v>5</v>
      </c>
      <c r="I3" s="97">
        <f>IF(VLOOKUP($A3,'⚪设计'!$A$144:$N$193,11,FALSE)="","",VLOOKUP($A3,'⚪设计'!$A$144:$N$193,11,FALSE))</f>
        <v>2</v>
      </c>
      <c r="J3" s="97">
        <f>IF(G3="","",ROUND($D3*'⚪设计'!$D144/(IF($G3="",0,VLOOKUP($G3,'⚪设计'!$B$85:$H$104,4,FALSE)*$H3)+IF($L3="",0,VLOOKUP($L3,'⚪设计'!$B$85:$H$104,4,FALSE)*$M3)+IF($Q3="",0,VLOOKUP($Q3,'⚪设计'!$B$85:$H$104,4,FALSE)*$R3)+IF($V3="",0,VLOOKUP($V3,'⚪设计'!$B$85:$H$104,4,FALSE)*$W3))*IF(G3="",0,VLOOKUP(G3,'⚪设计'!$B$85:$H$104,4,FALSE)),0))</f>
        <v>180</v>
      </c>
      <c r="K3" s="97">
        <f>IF(G3="","",ROUND(VLOOKUP($B3,战斗节奏!$A$4:$F$13,2,FALSE)/(IF($G3="",0,VLOOKUP($G3,'⚪设计'!$B$85:$H$104,5,FALSE)*$H3)+IF($L3="",0,VLOOKUP($L3,'⚪设计'!$B$85:$H$104,5,FALSE)*$M3)+IF($Q3="",0,VLOOKUP($Q3,'⚪设计'!$B$85:$H$104,5,FALSE)*$R3)+IF($V3="",0,VLOOKUP($V3,'⚪设计'!$B$85:$H$104,5,FALSE)*$W3))*IF(G3="",0,VLOOKUP(G3,'⚪设计'!$B$85:$H$104,5,FALSE)),0))</f>
        <v>40</v>
      </c>
      <c r="L3" s="97" t="str">
        <f>IF(VLOOKUP($A3,'⚪设计'!$A$144:$N$193,8,FALSE)="","",VLOOKUP($A3,'⚪设计'!$A$144:$N$193,8,FALSE))</f>
        <v/>
      </c>
      <c r="M3" s="97" t="str">
        <f>IF(N3=0,1,IF(N3="","",ROUND($F3/N3,0)))</f>
        <v/>
      </c>
      <c r="N3" s="97" t="str">
        <f>IF(VLOOKUP($A3,'⚪设计'!$A$144:$N$193,12,FALSE)="","",VLOOKUP($A3,'⚪设计'!$A$144:$N$193,12,FALSE))</f>
        <v/>
      </c>
      <c r="O3" s="97" t="str">
        <f>IF(L3="","",ROUND($D3*'⚪设计'!$D144/(IF($G3="",0,VLOOKUP($G3,'⚪设计'!$B$85:$H$104,4,FALSE)*$H3)+IF($L3="",0,VLOOKUP($L3,'⚪设计'!$B$85:$H$104,4,FALSE)*$M3)+IF($Q3="",0,VLOOKUP($Q3,'⚪设计'!$B$85:$H$104,4,FALSE)*$R3)+IF($V3="",0,VLOOKUP($V3,'⚪设计'!$B$85:$H$104,4,FALSE)*$W3))*IF(L3="",0,VLOOKUP(L3,'⚪设计'!$B$85:$H$104,4,FALSE)),0))</f>
        <v/>
      </c>
      <c r="P3" s="97" t="str">
        <f>IF(L3="","",ROUND(VLOOKUP($B3,战斗节奏!$A$4:$F$13,2,FALSE)/(IF($G3="",0,VLOOKUP($G3,'⚪设计'!$B$85:$H$104,5,FALSE)*$H3)+IF($L3="",0,VLOOKUP($L3,'⚪设计'!$B$85:$H$104,5,FALSE)*$M3)+IF($Q3="",0,VLOOKUP($Q3,'⚪设计'!$B$85:$H$104,5,FALSE)*$R3)+IF($V3="",0,VLOOKUP($V3,'⚪设计'!$B$85:$H$104,5,FALSE)*$W3))*IF(L3="",0,VLOOKUP(L3,'⚪设计'!$B$85:$H$104,5,FALSE)),0))</f>
        <v/>
      </c>
      <c r="Q3" s="97" t="str">
        <f>IF(VLOOKUP($A3,'⚪设计'!$A$144:$N$193,9,FALSE)="","",VLOOKUP($A3,'⚪设计'!$A$144:$N$193,9,FALSE))</f>
        <v/>
      </c>
      <c r="R3" s="97" t="str">
        <f>IF(S3=0,1,IF(S3="","",ROUND($F3/S3,0)))</f>
        <v/>
      </c>
      <c r="S3" s="97" t="str">
        <f>IF(VLOOKUP($A3,'⚪设计'!$A$144:$N$193,13,FALSE)="","",VLOOKUP($A3,'⚪设计'!$A$144:$N$193,13,FALSE))</f>
        <v/>
      </c>
      <c r="T3" s="97" t="str">
        <f>IF(Q3="","",ROUND($D3*'⚪设计'!$D144/(IF($G3="",0,VLOOKUP($G3,'⚪设计'!$B$85:$H$104,4,FALSE)*$H3)+IF($L3="",0,VLOOKUP($L3,'⚪设计'!$B$85:$H$104,4,FALSE)*$M3)+IF($Q3="",0,VLOOKUP($Q3,'⚪设计'!$B$85:$H$104,4,FALSE)*$R3)+IF($V3="",0,VLOOKUP($V3,'⚪设计'!$B$85:$H$104,4,FALSE)*$W3))*IF(Q3="",0,VLOOKUP(Q3,'⚪设计'!$B$85:$H$104,4,FALSE)),0))</f>
        <v/>
      </c>
      <c r="U3" s="97" t="str">
        <f>IF(Q3="","",ROUND(VLOOKUP($B3,战斗节奏!$A$4:$F$13,2,FALSE)/(IF($G3="",0,VLOOKUP($G3,'⚪设计'!$B$85:$H$104,5,FALSE)*$H3)+IF($L3="",0,VLOOKUP($L3,'⚪设计'!$B$85:$H$104,5,FALSE)*$M3)+IF($Q3="",0,VLOOKUP($Q3,'⚪设计'!$B$85:$H$104,5,FALSE)*$R3)+IF($V3="",0,VLOOKUP($V3,'⚪设计'!$B$85:$H$104,5,FALSE)*$W3))*IF(Q3="",0,VLOOKUP(Q3,'⚪设计'!$B$85:$H$104,5,FALSE)),0))</f>
        <v/>
      </c>
      <c r="V3" s="97" t="str">
        <f>IF(VLOOKUP($A3,'⚪设计'!$A$144:$N$193,10,FALSE)="","",VLOOKUP($A3,'⚪设计'!$A$144:$N$193,10,FALSE))</f>
        <v/>
      </c>
      <c r="W3" s="97" t="str">
        <f>IF(X3=0,1,IF(X3="","",ROUND($F3/X3,0)))</f>
        <v/>
      </c>
      <c r="X3" s="97" t="str">
        <f>IF(VLOOKUP($A3,'⚪设计'!$A$144:$N$193,14,FALSE)="","",VLOOKUP($A3,'⚪设计'!$A$144:$N$193,14,FALSE))</f>
        <v/>
      </c>
      <c r="Y3" s="97" t="str">
        <f>IF(V3="","",ROUND($D3*'⚪设计'!$D144/(IF($G3="",0,VLOOKUP($G3,'⚪设计'!$B$85:$H$104,4,FALSE)*$H3)+IF($L3="",0,VLOOKUP($L3,'⚪设计'!$B$85:$H$104,4,FALSE)*$M3)+IF($Q3="",0,VLOOKUP($Q3,'⚪设计'!$B$85:$H$104,4,FALSE)*$R3)+IF($V3="",0,VLOOKUP($V3,'⚪设计'!$B$85:$H$104,4,FALSE)*$W3))*IF(V3="",0,VLOOKUP(V3,'⚪设计'!$B$85:$H$104,4,FALSE)),0))</f>
        <v/>
      </c>
      <c r="Z3" s="97" t="str">
        <f>IF(V3="","",ROUND(VLOOKUP($B3,战斗节奏!$A$4:$F$13,2,FALSE)/(IF($G3="",0,VLOOKUP($G3,'⚪设计'!$B$85:$H$104,5,FALSE)*$H3)+IF($L3="",0,VLOOKUP($L3,'⚪设计'!$B$85:$H$104,5,FALSE)*$M3)+IF($Q3="",0,VLOOKUP($Q3,'⚪设计'!$B$85:$H$104,5,FALSE)*$R3)+IF($V3="",0,VLOOKUP($V3,'⚪设计'!$B$85:$H$104,5,FALSE)*$W3))*IF(V3="",0,VLOOKUP(V3,'⚪设计'!$B$85:$H$104,5,FALSE)),0))</f>
        <v/>
      </c>
    </row>
    <row r="4" spans="1:26" x14ac:dyDescent="0.2">
      <c r="A4" s="2" t="str">
        <f t="shared" ref="A4:A52" si="0">B4&amp;"_"&amp;C4</f>
        <v>1_2</v>
      </c>
      <c r="B4" s="2">
        <v>1</v>
      </c>
      <c r="C4" s="2">
        <v>2</v>
      </c>
      <c r="D4" s="97">
        <f>VLOOKUP(C4,无限模式!$A$3:$B$22,2,FALSE)</f>
        <v>1800</v>
      </c>
      <c r="E4" s="98">
        <v>1</v>
      </c>
      <c r="F4" s="97">
        <f>'⚪设计'!F145</f>
        <v>12.5</v>
      </c>
      <c r="G4" s="97" t="str">
        <f>IF(VLOOKUP($A4,'⚪设计'!$A$144:$N$193,7,FALSE)="","",VLOOKUP($A4,'⚪设计'!$A$144:$N$193,7,FALSE))</f>
        <v>蜜蜂1</v>
      </c>
      <c r="H4" s="97">
        <f t="shared" ref="H4:H52" si="1">IF(I4=0,1,IF(I4="","",ROUND($F4/I4,0)))</f>
        <v>25</v>
      </c>
      <c r="I4" s="97">
        <f>IF(VLOOKUP($A4,'⚪设计'!$A$144:$N$193,11,FALSE)="","",VLOOKUP($A4,'⚪设计'!$A$144:$N$193,11,FALSE))</f>
        <v>0.5</v>
      </c>
      <c r="J4" s="97">
        <f>IF(G4="","",ROUND($D4*'⚪设计'!$D145/(IF($G4="",0,VLOOKUP($G4,'⚪设计'!$B$85:$H$104,4,FALSE)*$H4)+IF($L4="",0,VLOOKUP($L4,'⚪设计'!$B$85:$H$104,4,FALSE)*$M4)+IF($Q4="",0,VLOOKUP($Q4,'⚪设计'!$B$85:$H$104,4,FALSE)*$R4)+IF($V4="",0,VLOOKUP($V4,'⚪设计'!$B$85:$H$104,4,FALSE)*$W4))*IF(G4="",0,VLOOKUP(G4,'⚪设计'!$B$85:$H$104,4,FALSE)),0))</f>
        <v>130</v>
      </c>
      <c r="K4" s="97">
        <f>IF(G4="","",ROUND(VLOOKUP($B4,战斗节奏!$A$4:$F$13,2,FALSE)/(IF($G4="",0,VLOOKUP($G4,'⚪设计'!$B$85:$H$104,5,FALSE)*$H4)+IF($L4="",0,VLOOKUP($L4,'⚪设计'!$B$85:$H$104,5,FALSE)*$M4)+IF($Q4="",0,VLOOKUP($Q4,'⚪设计'!$B$85:$H$104,5,FALSE)*$R4)+IF($V4="",0,VLOOKUP($V4,'⚪设计'!$B$85:$H$104,5,FALSE)*$W4))*IF(G4="",0,VLOOKUP(G4,'⚪设计'!$B$85:$H$104,5,FALSE)),0))</f>
        <v>8</v>
      </c>
      <c r="L4" s="97" t="str">
        <f>IF(VLOOKUP($A4,'⚪设计'!$A$144:$N$193,8,FALSE)="","",VLOOKUP($A4,'⚪设计'!$A$144:$N$193,8,FALSE))</f>
        <v/>
      </c>
      <c r="M4" s="97" t="str">
        <f t="shared" ref="M4:M52" si="2">IF(N4=0,1,IF(N4="","",ROUND($F4/N4,0)))</f>
        <v/>
      </c>
      <c r="N4" s="97" t="str">
        <f>IF(VLOOKUP($A4,'⚪设计'!$A$144:$N$193,12,FALSE)="","",VLOOKUP($A4,'⚪设计'!$A$144:$N$193,12,FALSE))</f>
        <v/>
      </c>
      <c r="O4" s="97" t="str">
        <f>IF(L4="","",ROUND($D4*'⚪设计'!$D145/(IF($G4="",0,VLOOKUP($G4,'⚪设计'!$B$85:$H$104,4,FALSE)*$H4)+IF($L4="",0,VLOOKUP($L4,'⚪设计'!$B$85:$H$104,4,FALSE)*$M4)+IF($Q4="",0,VLOOKUP($Q4,'⚪设计'!$B$85:$H$104,4,FALSE)*$R4)+IF($V4="",0,VLOOKUP($V4,'⚪设计'!$B$85:$H$104,4,FALSE)*$W4))*IF(L4="",0,VLOOKUP(L4,'⚪设计'!$B$85:$H$104,4,FALSE)),0))</f>
        <v/>
      </c>
      <c r="P4" s="97" t="str">
        <f>IF(L4="","",ROUND(VLOOKUP($B4,战斗节奏!$A$4:$F$13,2,FALSE)/(IF($G4="",0,VLOOKUP($G4,'⚪设计'!$B$85:$H$104,5,FALSE)*$H4)+IF($L4="",0,VLOOKUP($L4,'⚪设计'!$B$85:$H$104,5,FALSE)*$M4)+IF($Q4="",0,VLOOKUP($Q4,'⚪设计'!$B$85:$H$104,5,FALSE)*$R4)+IF($V4="",0,VLOOKUP($V4,'⚪设计'!$B$85:$H$104,5,FALSE)*$W4))*IF(L4="",0,VLOOKUP(L4,'⚪设计'!$B$85:$H$104,5,FALSE)),0))</f>
        <v/>
      </c>
      <c r="Q4" s="97" t="str">
        <f>IF(VLOOKUP($A4,'⚪设计'!$A$144:$N$193,9,FALSE)="","",VLOOKUP($A4,'⚪设计'!$A$144:$N$193,9,FALSE))</f>
        <v/>
      </c>
      <c r="R4" s="97" t="str">
        <f t="shared" ref="R4:R52" si="3">IF(S4=0,1,IF(S4="","",ROUND($F4/S4,0)))</f>
        <v/>
      </c>
      <c r="S4" s="97" t="str">
        <f>IF(VLOOKUP($A4,'⚪设计'!$A$144:$N$193,13,FALSE)="","",VLOOKUP($A4,'⚪设计'!$A$144:$N$193,13,FALSE))</f>
        <v/>
      </c>
      <c r="T4" s="97" t="str">
        <f>IF(Q4="","",ROUND($D4*'⚪设计'!$D145/(IF($G4="",0,VLOOKUP($G4,'⚪设计'!$B$85:$H$104,4,FALSE)*$H4)+IF($L4="",0,VLOOKUP($L4,'⚪设计'!$B$85:$H$104,4,FALSE)*$M4)+IF($Q4="",0,VLOOKUP($Q4,'⚪设计'!$B$85:$H$104,4,FALSE)*$R4)+IF($V4="",0,VLOOKUP($V4,'⚪设计'!$B$85:$H$104,4,FALSE)*$W4))*IF(Q4="",0,VLOOKUP(Q4,'⚪设计'!$B$85:$H$104,4,FALSE)),0))</f>
        <v/>
      </c>
      <c r="U4" s="97" t="str">
        <f>IF(Q4="","",ROUND(VLOOKUP($B4,战斗节奏!$A$4:$F$13,2,FALSE)/(IF($G4="",0,VLOOKUP($G4,'⚪设计'!$B$85:$H$104,5,FALSE)*$H4)+IF($L4="",0,VLOOKUP($L4,'⚪设计'!$B$85:$H$104,5,FALSE)*$M4)+IF($Q4="",0,VLOOKUP($Q4,'⚪设计'!$B$85:$H$104,5,FALSE)*$R4)+IF($V4="",0,VLOOKUP($V4,'⚪设计'!$B$85:$H$104,5,FALSE)*$W4))*IF(Q4="",0,VLOOKUP(Q4,'⚪设计'!$B$85:$H$104,5,FALSE)),0))</f>
        <v/>
      </c>
      <c r="V4" s="97" t="str">
        <f>IF(VLOOKUP($A4,'⚪设计'!$A$144:$N$193,10,FALSE)="","",VLOOKUP($A4,'⚪设计'!$A$144:$N$193,10,FALSE))</f>
        <v/>
      </c>
      <c r="W4" s="97" t="str">
        <f t="shared" ref="W4:W52" si="4">IF(X4=0,1,IF(X4="","",ROUND($F4/X4,0)))</f>
        <v/>
      </c>
      <c r="X4" s="97" t="str">
        <f>IF(VLOOKUP($A4,'⚪设计'!$A$144:$N$193,14,FALSE)="","",VLOOKUP($A4,'⚪设计'!$A$144:$N$193,14,FALSE))</f>
        <v/>
      </c>
      <c r="Y4" s="97" t="str">
        <f>IF(V4="","",ROUND($D4*'⚪设计'!$D145/(IF($G4="",0,VLOOKUP($G4,'⚪设计'!$B$85:$H$104,4,FALSE)*$H4)+IF($L4="",0,VLOOKUP($L4,'⚪设计'!$B$85:$H$104,4,FALSE)*$M4)+IF($Q4="",0,VLOOKUP($Q4,'⚪设计'!$B$85:$H$104,4,FALSE)*$R4)+IF($V4="",0,VLOOKUP($V4,'⚪设计'!$B$85:$H$104,4,FALSE)*$W4))*IF(V4="",0,VLOOKUP(V4,'⚪设计'!$B$85:$H$104,4,FALSE)),0))</f>
        <v/>
      </c>
      <c r="Z4" s="97" t="str">
        <f>IF(V4="","",ROUND(VLOOKUP($B4,战斗节奏!$A$4:$F$13,2,FALSE)/(IF($G4="",0,VLOOKUP($G4,'⚪设计'!$B$85:$H$104,5,FALSE)*$H4)+IF($L4="",0,VLOOKUP($L4,'⚪设计'!$B$85:$H$104,5,FALSE)*$M4)+IF($Q4="",0,VLOOKUP($Q4,'⚪设计'!$B$85:$H$104,5,FALSE)*$R4)+IF($V4="",0,VLOOKUP($V4,'⚪设计'!$B$85:$H$104,5,FALSE)*$W4))*IF(V4="",0,VLOOKUP(V4,'⚪设计'!$B$85:$H$104,5,FALSE)),0))</f>
        <v/>
      </c>
    </row>
    <row r="5" spans="1:26" x14ac:dyDescent="0.2">
      <c r="A5" s="2" t="str">
        <f t="shared" si="0"/>
        <v>1_3</v>
      </c>
      <c r="B5" s="2">
        <v>1</v>
      </c>
      <c r="C5" s="2">
        <v>3</v>
      </c>
      <c r="D5" s="97">
        <f>VLOOKUP(C5,无限模式!$A$3:$B$22,2,FALSE)</f>
        <v>3600</v>
      </c>
      <c r="E5" s="98">
        <v>1</v>
      </c>
      <c r="F5" s="97">
        <f>'⚪设计'!F146</f>
        <v>15</v>
      </c>
      <c r="G5" s="97" t="str">
        <f>IF(VLOOKUP($A5,'⚪设计'!$A$144:$N$193,7,FALSE)="","",VLOOKUP($A5,'⚪设计'!$A$144:$N$193,7,FALSE))</f>
        <v>蜜蜂1</v>
      </c>
      <c r="H5" s="97">
        <f t="shared" si="1"/>
        <v>30</v>
      </c>
      <c r="I5" s="97">
        <f>IF(VLOOKUP($A5,'⚪设计'!$A$144:$N$193,11,FALSE)="","",VLOOKUP($A5,'⚪设计'!$A$144:$N$193,11,FALSE))</f>
        <v>0.5</v>
      </c>
      <c r="J5" s="97">
        <f>IF(G5="","",ROUND($D5*'⚪设计'!$D146/(IF($G5="",0,VLOOKUP($G5,'⚪设计'!$B$85:$H$104,4,FALSE)*$H5)+IF($L5="",0,VLOOKUP($L5,'⚪设计'!$B$85:$H$104,4,FALSE)*$M5)+IF($Q5="",0,VLOOKUP($Q5,'⚪设计'!$B$85:$H$104,4,FALSE)*$R5)+IF($V5="",0,VLOOKUP($V5,'⚪设计'!$B$85:$H$104,4,FALSE)*$W5))*IF(G5="",0,VLOOKUP(G5,'⚪设计'!$B$85:$H$104,4,FALSE)),0))</f>
        <v>166</v>
      </c>
      <c r="K5" s="97">
        <f>IF(G5="","",ROUND(VLOOKUP($B5,战斗节奏!$A$4:$F$13,2,FALSE)/(IF($G5="",0,VLOOKUP($G5,'⚪设计'!$B$85:$H$104,5,FALSE)*$H5)+IF($L5="",0,VLOOKUP($L5,'⚪设计'!$B$85:$H$104,5,FALSE)*$M5)+IF($Q5="",0,VLOOKUP($Q5,'⚪设计'!$B$85:$H$104,5,FALSE)*$R5)+IF($V5="",0,VLOOKUP($V5,'⚪设计'!$B$85:$H$104,5,FALSE)*$W5))*IF(G5="",0,VLOOKUP(G5,'⚪设计'!$B$85:$H$104,5,FALSE)),0))</f>
        <v>4</v>
      </c>
      <c r="L5" s="97" t="str">
        <f>IF(VLOOKUP($A5,'⚪设计'!$A$144:$N$193,8,FALSE)="","",VLOOKUP($A5,'⚪设计'!$A$144:$N$193,8,FALSE))</f>
        <v>蜜蜂2</v>
      </c>
      <c r="M5" s="97">
        <f t="shared" si="2"/>
        <v>5</v>
      </c>
      <c r="N5" s="97">
        <f>IF(VLOOKUP($A5,'⚪设计'!$A$144:$N$193,12,FALSE)="","",VLOOKUP($A5,'⚪设计'!$A$144:$N$193,12,FALSE))</f>
        <v>3</v>
      </c>
      <c r="O5" s="97">
        <f>IF(L5="","",ROUND($D5*'⚪设计'!$D146/(IF($G5="",0,VLOOKUP($G5,'⚪设计'!$B$85:$H$104,4,FALSE)*$H5)+IF($L5="",0,VLOOKUP($L5,'⚪设计'!$B$85:$H$104,4,FALSE)*$M5)+IF($Q5="",0,VLOOKUP($Q5,'⚪设计'!$B$85:$H$104,4,FALSE)*$R5)+IF($V5="",0,VLOOKUP($V5,'⚪设计'!$B$85:$H$104,4,FALSE)*$W5))*IF(L5="",0,VLOOKUP(L5,'⚪设计'!$B$85:$H$104,4,FALSE)),0))</f>
        <v>662</v>
      </c>
      <c r="P5" s="97">
        <f>IF(L5="","",ROUND(VLOOKUP($B5,战斗节奏!$A$4:$F$13,2,FALSE)/(IF($G5="",0,VLOOKUP($G5,'⚪设计'!$B$85:$H$104,5,FALSE)*$H5)+IF($L5="",0,VLOOKUP($L5,'⚪设计'!$B$85:$H$104,5,FALSE)*$M5)+IF($Q5="",0,VLOOKUP($Q5,'⚪设计'!$B$85:$H$104,5,FALSE)*$R5)+IF($V5="",0,VLOOKUP($V5,'⚪设计'!$B$85:$H$104,5,FALSE)*$W5))*IF(L5="",0,VLOOKUP(L5,'⚪设计'!$B$85:$H$104,5,FALSE)),0))</f>
        <v>16</v>
      </c>
      <c r="Q5" s="97" t="str">
        <f>IF(VLOOKUP($A5,'⚪设计'!$A$144:$N$193,9,FALSE)="","",VLOOKUP($A5,'⚪设计'!$A$144:$N$193,9,FALSE))</f>
        <v/>
      </c>
      <c r="R5" s="97" t="str">
        <f t="shared" si="3"/>
        <v/>
      </c>
      <c r="S5" s="97" t="str">
        <f>IF(VLOOKUP($A5,'⚪设计'!$A$144:$N$193,13,FALSE)="","",VLOOKUP($A5,'⚪设计'!$A$144:$N$193,13,FALSE))</f>
        <v/>
      </c>
      <c r="T5" s="97" t="str">
        <f>IF(Q5="","",ROUND($D5*'⚪设计'!$D146/(IF($G5="",0,VLOOKUP($G5,'⚪设计'!$B$85:$H$104,4,FALSE)*$H5)+IF($L5="",0,VLOOKUP($L5,'⚪设计'!$B$85:$H$104,4,FALSE)*$M5)+IF($Q5="",0,VLOOKUP($Q5,'⚪设计'!$B$85:$H$104,4,FALSE)*$R5)+IF($V5="",0,VLOOKUP($V5,'⚪设计'!$B$85:$H$104,4,FALSE)*$W5))*IF(Q5="",0,VLOOKUP(Q5,'⚪设计'!$B$85:$H$104,4,FALSE)),0))</f>
        <v/>
      </c>
      <c r="U5" s="97" t="str">
        <f>IF(Q5="","",ROUND(VLOOKUP($B5,战斗节奏!$A$4:$F$13,2,FALSE)/(IF($G5="",0,VLOOKUP($G5,'⚪设计'!$B$85:$H$104,5,FALSE)*$H5)+IF($L5="",0,VLOOKUP($L5,'⚪设计'!$B$85:$H$104,5,FALSE)*$M5)+IF($Q5="",0,VLOOKUP($Q5,'⚪设计'!$B$85:$H$104,5,FALSE)*$R5)+IF($V5="",0,VLOOKUP($V5,'⚪设计'!$B$85:$H$104,5,FALSE)*$W5))*IF(Q5="",0,VLOOKUP(Q5,'⚪设计'!$B$85:$H$104,5,FALSE)),0))</f>
        <v/>
      </c>
      <c r="V5" s="97" t="str">
        <f>IF(VLOOKUP($A5,'⚪设计'!$A$144:$N$193,10,FALSE)="","",VLOOKUP($A5,'⚪设计'!$A$144:$N$193,10,FALSE))</f>
        <v/>
      </c>
      <c r="W5" s="97" t="str">
        <f t="shared" si="4"/>
        <v/>
      </c>
      <c r="X5" s="97" t="str">
        <f>IF(VLOOKUP($A5,'⚪设计'!$A$144:$N$193,14,FALSE)="","",VLOOKUP($A5,'⚪设计'!$A$144:$N$193,14,FALSE))</f>
        <v/>
      </c>
      <c r="Y5" s="97" t="str">
        <f>IF(V5="","",ROUND($D5*'⚪设计'!$D146/(IF($G5="",0,VLOOKUP($G5,'⚪设计'!$B$85:$H$104,4,FALSE)*$H5)+IF($L5="",0,VLOOKUP($L5,'⚪设计'!$B$85:$H$104,4,FALSE)*$M5)+IF($Q5="",0,VLOOKUP($Q5,'⚪设计'!$B$85:$H$104,4,FALSE)*$R5)+IF($V5="",0,VLOOKUP($V5,'⚪设计'!$B$85:$H$104,4,FALSE)*$W5))*IF(V5="",0,VLOOKUP(V5,'⚪设计'!$B$85:$H$104,4,FALSE)),0))</f>
        <v/>
      </c>
      <c r="Z5" s="97" t="str">
        <f>IF(V5="","",ROUND(VLOOKUP($B5,战斗节奏!$A$4:$F$13,2,FALSE)/(IF($G5="",0,VLOOKUP($G5,'⚪设计'!$B$85:$H$104,5,FALSE)*$H5)+IF($L5="",0,VLOOKUP($L5,'⚪设计'!$B$85:$H$104,5,FALSE)*$M5)+IF($Q5="",0,VLOOKUP($Q5,'⚪设计'!$B$85:$H$104,5,FALSE)*$R5)+IF($V5="",0,VLOOKUP($V5,'⚪设计'!$B$85:$H$104,5,FALSE)*$W5))*IF(V5="",0,VLOOKUP(V5,'⚪设计'!$B$85:$H$104,5,FALSE)),0))</f>
        <v/>
      </c>
    </row>
    <row r="6" spans="1:26" x14ac:dyDescent="0.2">
      <c r="A6" s="2" t="str">
        <f t="shared" si="0"/>
        <v>1_4</v>
      </c>
      <c r="B6" s="2">
        <v>1</v>
      </c>
      <c r="C6" s="2">
        <v>4</v>
      </c>
      <c r="D6" s="97">
        <f>VLOOKUP(C6,无限模式!$A$3:$B$22,2,FALSE)</f>
        <v>4500</v>
      </c>
      <c r="E6" s="98">
        <v>1</v>
      </c>
      <c r="F6" s="97">
        <f>'⚪设计'!F147</f>
        <v>17.5</v>
      </c>
      <c r="G6" s="97" t="str">
        <f>IF(VLOOKUP($A6,'⚪设计'!$A$144:$N$193,7,FALSE)="","",VLOOKUP($A6,'⚪设计'!$A$144:$N$193,7,FALSE))</f>
        <v>蜜蜂1</v>
      </c>
      <c r="H6" s="97">
        <f t="shared" si="1"/>
        <v>58</v>
      </c>
      <c r="I6" s="97">
        <f>IF(VLOOKUP($A6,'⚪设计'!$A$144:$N$193,11,FALSE)="","",VLOOKUP($A6,'⚪设计'!$A$144:$N$193,11,FALSE))</f>
        <v>0.3</v>
      </c>
      <c r="J6" s="97">
        <f>IF(G6="","",ROUND($D6*'⚪设计'!$D147/(IF($G6="",0,VLOOKUP($G6,'⚪设计'!$B$85:$H$104,4,FALSE)*$H6)+IF($L6="",0,VLOOKUP($L6,'⚪设计'!$B$85:$H$104,4,FALSE)*$M6)+IF($Q6="",0,VLOOKUP($Q6,'⚪设计'!$B$85:$H$104,4,FALSE)*$R6)+IF($V6="",0,VLOOKUP($V6,'⚪设计'!$B$85:$H$104,4,FALSE)*$W6))*IF(G6="",0,VLOOKUP(G6,'⚪设计'!$B$85:$H$104,4,FALSE)),0))</f>
        <v>166</v>
      </c>
      <c r="K6" s="97">
        <f>IF(G6="","",ROUND(VLOOKUP($B6,战斗节奏!$A$4:$F$13,2,FALSE)/(IF($G6="",0,VLOOKUP($G6,'⚪设计'!$B$85:$H$104,5,FALSE)*$H6)+IF($L6="",0,VLOOKUP($L6,'⚪设计'!$B$85:$H$104,5,FALSE)*$M6)+IF($Q6="",0,VLOOKUP($Q6,'⚪设计'!$B$85:$H$104,5,FALSE)*$R6)+IF($V6="",0,VLOOKUP($V6,'⚪设计'!$B$85:$H$104,5,FALSE)*$W6))*IF(G6="",0,VLOOKUP(G6,'⚪设计'!$B$85:$H$104,5,FALSE)),0))</f>
        <v>2</v>
      </c>
      <c r="L6" s="97" t="str">
        <f>IF(VLOOKUP($A6,'⚪设计'!$A$144:$N$193,8,FALSE)="","",VLOOKUP($A6,'⚪设计'!$A$144:$N$193,8,FALSE))</f>
        <v>蜜蜂2</v>
      </c>
      <c r="M6" s="97">
        <f t="shared" si="2"/>
        <v>12</v>
      </c>
      <c r="N6" s="97">
        <f>IF(VLOOKUP($A6,'⚪设计'!$A$144:$N$193,12,FALSE)="","",VLOOKUP($A6,'⚪设计'!$A$144:$N$193,12,FALSE))</f>
        <v>1.5</v>
      </c>
      <c r="O6" s="97">
        <f>IF(L6="","",ROUND($D6*'⚪设计'!$D147/(IF($G6="",0,VLOOKUP($G6,'⚪设计'!$B$85:$H$104,4,FALSE)*$H6)+IF($L6="",0,VLOOKUP($L6,'⚪设计'!$B$85:$H$104,4,FALSE)*$M6)+IF($Q6="",0,VLOOKUP($Q6,'⚪设计'!$B$85:$H$104,4,FALSE)*$R6)+IF($V6="",0,VLOOKUP($V6,'⚪设计'!$B$85:$H$104,4,FALSE)*$W6))*IF(L6="",0,VLOOKUP(L6,'⚪设计'!$B$85:$H$104,4,FALSE)),0))</f>
        <v>662</v>
      </c>
      <c r="P6" s="97">
        <f>IF(L6="","",ROUND(VLOOKUP($B6,战斗节奏!$A$4:$F$13,2,FALSE)/(IF($G6="",0,VLOOKUP($G6,'⚪设计'!$B$85:$H$104,5,FALSE)*$H6)+IF($L6="",0,VLOOKUP($L6,'⚪设计'!$B$85:$H$104,5,FALSE)*$M6)+IF($Q6="",0,VLOOKUP($Q6,'⚪设计'!$B$85:$H$104,5,FALSE)*$R6)+IF($V6="",0,VLOOKUP($V6,'⚪设计'!$B$85:$H$104,5,FALSE)*$W6))*IF(L6="",0,VLOOKUP(L6,'⚪设计'!$B$85:$H$104,5,FALSE)),0))</f>
        <v>8</v>
      </c>
      <c r="Q6" s="97" t="str">
        <f>IF(VLOOKUP($A6,'⚪设计'!$A$144:$N$193,9,FALSE)="","",VLOOKUP($A6,'⚪设计'!$A$144:$N$193,9,FALSE))</f>
        <v/>
      </c>
      <c r="R6" s="97" t="str">
        <f t="shared" si="3"/>
        <v/>
      </c>
      <c r="S6" s="97" t="str">
        <f>IF(VLOOKUP($A6,'⚪设计'!$A$144:$N$193,13,FALSE)="","",VLOOKUP($A6,'⚪设计'!$A$144:$N$193,13,FALSE))</f>
        <v/>
      </c>
      <c r="T6" s="97" t="str">
        <f>IF(Q6="","",ROUND($D6*'⚪设计'!$D147/(IF($G6="",0,VLOOKUP($G6,'⚪设计'!$B$85:$H$104,4,FALSE)*$H6)+IF($L6="",0,VLOOKUP($L6,'⚪设计'!$B$85:$H$104,4,FALSE)*$M6)+IF($Q6="",0,VLOOKUP($Q6,'⚪设计'!$B$85:$H$104,4,FALSE)*$R6)+IF($V6="",0,VLOOKUP($V6,'⚪设计'!$B$85:$H$104,4,FALSE)*$W6))*IF(Q6="",0,VLOOKUP(Q6,'⚪设计'!$B$85:$H$104,4,FALSE)),0))</f>
        <v/>
      </c>
      <c r="U6" s="97" t="str">
        <f>IF(Q6="","",ROUND(VLOOKUP($B6,战斗节奏!$A$4:$F$13,2,FALSE)/(IF($G6="",0,VLOOKUP($G6,'⚪设计'!$B$85:$H$104,5,FALSE)*$H6)+IF($L6="",0,VLOOKUP($L6,'⚪设计'!$B$85:$H$104,5,FALSE)*$M6)+IF($Q6="",0,VLOOKUP($Q6,'⚪设计'!$B$85:$H$104,5,FALSE)*$R6)+IF($V6="",0,VLOOKUP($V6,'⚪设计'!$B$85:$H$104,5,FALSE)*$W6))*IF(Q6="",0,VLOOKUP(Q6,'⚪设计'!$B$85:$H$104,5,FALSE)),0))</f>
        <v/>
      </c>
      <c r="V6" s="97" t="str">
        <f>IF(VLOOKUP($A6,'⚪设计'!$A$144:$N$193,10,FALSE)="","",VLOOKUP($A6,'⚪设计'!$A$144:$N$193,10,FALSE))</f>
        <v/>
      </c>
      <c r="W6" s="97" t="str">
        <f t="shared" si="4"/>
        <v/>
      </c>
      <c r="X6" s="97" t="str">
        <f>IF(VLOOKUP($A6,'⚪设计'!$A$144:$N$193,14,FALSE)="","",VLOOKUP($A6,'⚪设计'!$A$144:$N$193,14,FALSE))</f>
        <v/>
      </c>
      <c r="Y6" s="97" t="str">
        <f>IF(V6="","",ROUND($D6*'⚪设计'!$D147/(IF($G6="",0,VLOOKUP($G6,'⚪设计'!$B$85:$H$104,4,FALSE)*$H6)+IF($L6="",0,VLOOKUP($L6,'⚪设计'!$B$85:$H$104,4,FALSE)*$M6)+IF($Q6="",0,VLOOKUP($Q6,'⚪设计'!$B$85:$H$104,4,FALSE)*$R6)+IF($V6="",0,VLOOKUP($V6,'⚪设计'!$B$85:$H$104,4,FALSE)*$W6))*IF(V6="",0,VLOOKUP(V6,'⚪设计'!$B$85:$H$104,4,FALSE)),0))</f>
        <v/>
      </c>
      <c r="Z6" s="97" t="str">
        <f>IF(V6="","",ROUND(VLOOKUP($B6,战斗节奏!$A$4:$F$13,2,FALSE)/(IF($G6="",0,VLOOKUP($G6,'⚪设计'!$B$85:$H$104,5,FALSE)*$H6)+IF($L6="",0,VLOOKUP($L6,'⚪设计'!$B$85:$H$104,5,FALSE)*$M6)+IF($Q6="",0,VLOOKUP($Q6,'⚪设计'!$B$85:$H$104,5,FALSE)*$R6)+IF($V6="",0,VLOOKUP($V6,'⚪设计'!$B$85:$H$104,5,FALSE)*$W6))*IF(V6="",0,VLOOKUP(V6,'⚪设计'!$B$85:$H$104,5,FALSE)),0))</f>
        <v/>
      </c>
    </row>
    <row r="7" spans="1:26" x14ac:dyDescent="0.2">
      <c r="A7" s="2" t="str">
        <f t="shared" si="0"/>
        <v>1_5</v>
      </c>
      <c r="B7" s="2">
        <v>1</v>
      </c>
      <c r="C7" s="2">
        <v>5</v>
      </c>
      <c r="D7" s="97">
        <f>VLOOKUP(C7,无限模式!$A$3:$B$22,2,FALSE)</f>
        <v>5400</v>
      </c>
      <c r="E7" s="98">
        <v>1</v>
      </c>
      <c r="F7" s="97">
        <f>'⚪设计'!F148</f>
        <v>20</v>
      </c>
      <c r="G7" s="97" t="str">
        <f>IF(VLOOKUP($A7,'⚪设计'!$A$144:$N$193,7,FALSE)="","",VLOOKUP($A7,'⚪设计'!$A$144:$N$193,7,FALSE))</f>
        <v>蜜蜂1</v>
      </c>
      <c r="H7" s="97">
        <f t="shared" si="1"/>
        <v>67</v>
      </c>
      <c r="I7" s="97">
        <f>IF(VLOOKUP($A7,'⚪设计'!$A$144:$N$193,11,FALSE)="","",VLOOKUP($A7,'⚪设计'!$A$144:$N$193,11,FALSE))</f>
        <v>0.3</v>
      </c>
      <c r="J7" s="97">
        <f>IF(G7="","",ROUND($D7*'⚪设计'!$D148/(IF($G7="",0,VLOOKUP($G7,'⚪设计'!$B$85:$H$104,4,FALSE)*$H7)+IF($L7="",0,VLOOKUP($L7,'⚪设计'!$B$85:$H$104,4,FALSE)*$M7)+IF($Q7="",0,VLOOKUP($Q7,'⚪设计'!$B$85:$H$104,4,FALSE)*$R7)+IF($V7="",0,VLOOKUP($V7,'⚪设计'!$B$85:$H$104,4,FALSE)*$W7))*IF(G7="",0,VLOOKUP(G7,'⚪设计'!$B$85:$H$104,4,FALSE)),0))</f>
        <v>181</v>
      </c>
      <c r="K7" s="97">
        <f>IF(G7="","",ROUND(VLOOKUP($B7,战斗节奏!$A$4:$F$13,2,FALSE)/(IF($G7="",0,VLOOKUP($G7,'⚪设计'!$B$85:$H$104,5,FALSE)*$H7)+IF($L7="",0,VLOOKUP($L7,'⚪设计'!$B$85:$H$104,5,FALSE)*$M7)+IF($Q7="",0,VLOOKUP($Q7,'⚪设计'!$B$85:$H$104,5,FALSE)*$R7)+IF($V7="",0,VLOOKUP($V7,'⚪设计'!$B$85:$H$104,5,FALSE)*$W7))*IF(G7="",0,VLOOKUP(G7,'⚪设计'!$B$85:$H$104,5,FALSE)),0))</f>
        <v>1</v>
      </c>
      <c r="L7" s="97" t="str">
        <f>IF(VLOOKUP($A7,'⚪设计'!$A$144:$N$193,8,FALSE)="","",VLOOKUP($A7,'⚪设计'!$A$144:$N$193,8,FALSE))</f>
        <v>蜜蜂2</v>
      </c>
      <c r="M7" s="97">
        <f t="shared" si="2"/>
        <v>27</v>
      </c>
      <c r="N7" s="97">
        <f>IF(VLOOKUP($A7,'⚪设计'!$A$144:$N$193,12,FALSE)="","",VLOOKUP($A7,'⚪设计'!$A$144:$N$193,12,FALSE))</f>
        <v>0.75</v>
      </c>
      <c r="O7" s="97">
        <f>IF(L7="","",ROUND($D7*'⚪设计'!$D148/(IF($G7="",0,VLOOKUP($G7,'⚪设计'!$B$85:$H$104,4,FALSE)*$H7)+IF($L7="",0,VLOOKUP($L7,'⚪设计'!$B$85:$H$104,4,FALSE)*$M7)+IF($Q7="",0,VLOOKUP($Q7,'⚪设计'!$B$85:$H$104,4,FALSE)*$R7)+IF($V7="",0,VLOOKUP($V7,'⚪设计'!$B$85:$H$104,4,FALSE)*$W7))*IF(L7="",0,VLOOKUP(L7,'⚪设计'!$B$85:$H$104,4,FALSE)),0))</f>
        <v>722</v>
      </c>
      <c r="P7" s="97">
        <f>IF(L7="","",ROUND(VLOOKUP($B7,战斗节奏!$A$4:$F$13,2,FALSE)/(IF($G7="",0,VLOOKUP($G7,'⚪设计'!$B$85:$H$104,5,FALSE)*$H7)+IF($L7="",0,VLOOKUP($L7,'⚪设计'!$B$85:$H$104,5,FALSE)*$M7)+IF($Q7="",0,VLOOKUP($Q7,'⚪设计'!$B$85:$H$104,5,FALSE)*$R7)+IF($V7="",0,VLOOKUP($V7,'⚪设计'!$B$85:$H$104,5,FALSE)*$W7))*IF(L7="",0,VLOOKUP(L7,'⚪设计'!$B$85:$H$104,5,FALSE)),0))</f>
        <v>5</v>
      </c>
      <c r="Q7" s="97" t="str">
        <f>IF(VLOOKUP($A7,'⚪设计'!$A$144:$N$193,9,FALSE)="","",VLOOKUP($A7,'⚪设计'!$A$144:$N$193,9,FALSE))</f>
        <v/>
      </c>
      <c r="R7" s="97" t="str">
        <f t="shared" si="3"/>
        <v/>
      </c>
      <c r="S7" s="97" t="str">
        <f>IF(VLOOKUP($A7,'⚪设计'!$A$144:$N$193,13,FALSE)="","",VLOOKUP($A7,'⚪设计'!$A$144:$N$193,13,FALSE))</f>
        <v/>
      </c>
      <c r="T7" s="97" t="str">
        <f>IF(Q7="","",ROUND($D7*'⚪设计'!$D148/(IF($G7="",0,VLOOKUP($G7,'⚪设计'!$B$85:$H$104,4,FALSE)*$H7)+IF($L7="",0,VLOOKUP($L7,'⚪设计'!$B$85:$H$104,4,FALSE)*$M7)+IF($Q7="",0,VLOOKUP($Q7,'⚪设计'!$B$85:$H$104,4,FALSE)*$R7)+IF($V7="",0,VLOOKUP($V7,'⚪设计'!$B$85:$H$104,4,FALSE)*$W7))*IF(Q7="",0,VLOOKUP(Q7,'⚪设计'!$B$85:$H$104,4,FALSE)),0))</f>
        <v/>
      </c>
      <c r="U7" s="97" t="str">
        <f>IF(Q7="","",ROUND(VLOOKUP($B7,战斗节奏!$A$4:$F$13,2,FALSE)/(IF($G7="",0,VLOOKUP($G7,'⚪设计'!$B$85:$H$104,5,FALSE)*$H7)+IF($L7="",0,VLOOKUP($L7,'⚪设计'!$B$85:$H$104,5,FALSE)*$M7)+IF($Q7="",0,VLOOKUP($Q7,'⚪设计'!$B$85:$H$104,5,FALSE)*$R7)+IF($V7="",0,VLOOKUP($V7,'⚪设计'!$B$85:$H$104,5,FALSE)*$W7))*IF(Q7="",0,VLOOKUP(Q7,'⚪设计'!$B$85:$H$104,5,FALSE)),0))</f>
        <v/>
      </c>
      <c r="V7" s="97" t="str">
        <f>IF(VLOOKUP($A7,'⚪设计'!$A$144:$N$193,10,FALSE)="","",VLOOKUP($A7,'⚪设计'!$A$144:$N$193,10,FALSE))</f>
        <v/>
      </c>
      <c r="W7" s="97" t="str">
        <f t="shared" si="4"/>
        <v/>
      </c>
      <c r="X7" s="97" t="str">
        <f>IF(VLOOKUP($A7,'⚪设计'!$A$144:$N$193,14,FALSE)="","",VLOOKUP($A7,'⚪设计'!$A$144:$N$193,14,FALSE))</f>
        <v/>
      </c>
      <c r="Y7" s="97" t="str">
        <f>IF(V7="","",ROUND($D7*'⚪设计'!$D148/(IF($G7="",0,VLOOKUP($G7,'⚪设计'!$B$85:$H$104,4,FALSE)*$H7)+IF($L7="",0,VLOOKUP($L7,'⚪设计'!$B$85:$H$104,4,FALSE)*$M7)+IF($Q7="",0,VLOOKUP($Q7,'⚪设计'!$B$85:$H$104,4,FALSE)*$R7)+IF($V7="",0,VLOOKUP($V7,'⚪设计'!$B$85:$H$104,4,FALSE)*$W7))*IF(V7="",0,VLOOKUP(V7,'⚪设计'!$B$85:$H$104,4,FALSE)),0))</f>
        <v/>
      </c>
      <c r="Z7" s="97" t="str">
        <f>IF(V7="","",ROUND(VLOOKUP($B7,战斗节奏!$A$4:$F$13,2,FALSE)/(IF($G7="",0,VLOOKUP($G7,'⚪设计'!$B$85:$H$104,5,FALSE)*$H7)+IF($L7="",0,VLOOKUP($L7,'⚪设计'!$B$85:$H$104,5,FALSE)*$M7)+IF($Q7="",0,VLOOKUP($Q7,'⚪设计'!$B$85:$H$104,5,FALSE)*$R7)+IF($V7="",0,VLOOKUP($V7,'⚪设计'!$B$85:$H$104,5,FALSE)*$W7))*IF(V7="",0,VLOOKUP(V7,'⚪设计'!$B$85:$H$104,5,FALSE)),0))</f>
        <v/>
      </c>
    </row>
    <row r="8" spans="1:26" x14ac:dyDescent="0.2">
      <c r="A8" s="2" t="str">
        <f t="shared" si="0"/>
        <v>2_1</v>
      </c>
      <c r="B8" s="2">
        <v>2</v>
      </c>
      <c r="C8" s="2">
        <v>1</v>
      </c>
      <c r="D8" s="97">
        <f>VLOOKUP(C8,无限模式!$A$3:$B$22,2,FALSE)</f>
        <v>900</v>
      </c>
      <c r="E8" s="98">
        <v>1</v>
      </c>
      <c r="F8" s="97">
        <f>'⚪设计'!F149</f>
        <v>10</v>
      </c>
      <c r="G8" s="97" t="str">
        <f>IF(VLOOKUP($A8,'⚪设计'!$A$144:$N$193,7,FALSE)="","",VLOOKUP($A8,'⚪设计'!$A$144:$N$193,7,FALSE))</f>
        <v>蜘蛛1</v>
      </c>
      <c r="H8" s="97">
        <f t="shared" si="1"/>
        <v>5</v>
      </c>
      <c r="I8" s="97">
        <f>IF(VLOOKUP($A8,'⚪设计'!$A$144:$N$193,11,FALSE)="","",VLOOKUP($A8,'⚪设计'!$A$144:$N$193,11,FALSE))</f>
        <v>2</v>
      </c>
      <c r="J8" s="97">
        <f>IF(G8="","",ROUND($D8*'⚪设计'!$D149/(IF($G8="",0,VLOOKUP($G8,'⚪设计'!$B$85:$H$104,4,FALSE)*$H8)+IF($L8="",0,VLOOKUP($L8,'⚪设计'!$B$85:$H$104,4,FALSE)*$M8)+IF($Q8="",0,VLOOKUP($Q8,'⚪设计'!$B$85:$H$104,4,FALSE)*$R8)+IF($V8="",0,VLOOKUP($V8,'⚪设计'!$B$85:$H$104,4,FALSE)*$W8))*IF(G8="",0,VLOOKUP(G8,'⚪设计'!$B$85:$H$104,4,FALSE)),0))</f>
        <v>180</v>
      </c>
      <c r="K8" s="97">
        <f>IF(G8="","",ROUND(VLOOKUP($B8,战斗节奏!$A$4:$F$13,2,FALSE)/(IF($G8="",0,VLOOKUP($G8,'⚪设计'!$B$85:$H$104,5,FALSE)*$H8)+IF($L8="",0,VLOOKUP($L8,'⚪设计'!$B$85:$H$104,5,FALSE)*$M8)+IF($Q8="",0,VLOOKUP($Q8,'⚪设计'!$B$85:$H$104,5,FALSE)*$R8)+IF($V8="",0,VLOOKUP($V8,'⚪设计'!$B$85:$H$104,5,FALSE)*$W8))*IF(G8="",0,VLOOKUP(G8,'⚪设计'!$B$85:$H$104,5,FALSE)),0))</f>
        <v>40</v>
      </c>
      <c r="L8" s="97" t="str">
        <f>IF(VLOOKUP($A8,'⚪设计'!$A$144:$N$193,8,FALSE)="","",VLOOKUP($A8,'⚪设计'!$A$144:$N$193,8,FALSE))</f>
        <v/>
      </c>
      <c r="M8" s="97" t="str">
        <f t="shared" si="2"/>
        <v/>
      </c>
      <c r="N8" s="97" t="str">
        <f>IF(VLOOKUP($A8,'⚪设计'!$A$144:$N$193,12,FALSE)="","",VLOOKUP($A8,'⚪设计'!$A$144:$N$193,12,FALSE))</f>
        <v/>
      </c>
      <c r="O8" s="97" t="str">
        <f>IF(L8="","",ROUND($D8*'⚪设计'!$D149/(IF($G8="",0,VLOOKUP($G8,'⚪设计'!$B$85:$H$104,4,FALSE)*$H8)+IF($L8="",0,VLOOKUP($L8,'⚪设计'!$B$85:$H$104,4,FALSE)*$M8)+IF($Q8="",0,VLOOKUP($Q8,'⚪设计'!$B$85:$H$104,4,FALSE)*$R8)+IF($V8="",0,VLOOKUP($V8,'⚪设计'!$B$85:$H$104,4,FALSE)*$W8))*IF(L8="",0,VLOOKUP(L8,'⚪设计'!$B$85:$H$104,4,FALSE)),0))</f>
        <v/>
      </c>
      <c r="P8" s="97" t="str">
        <f>IF(L8="","",ROUND(VLOOKUP($B8,战斗节奏!$A$4:$F$13,2,FALSE)/(IF($G8="",0,VLOOKUP($G8,'⚪设计'!$B$85:$H$104,5,FALSE)*$H8)+IF($L8="",0,VLOOKUP($L8,'⚪设计'!$B$85:$H$104,5,FALSE)*$M8)+IF($Q8="",0,VLOOKUP($Q8,'⚪设计'!$B$85:$H$104,5,FALSE)*$R8)+IF($V8="",0,VLOOKUP($V8,'⚪设计'!$B$85:$H$104,5,FALSE)*$W8))*IF(L8="",0,VLOOKUP(L8,'⚪设计'!$B$85:$H$104,5,FALSE)),0))</f>
        <v/>
      </c>
      <c r="Q8" s="97" t="str">
        <f>IF(VLOOKUP($A8,'⚪设计'!$A$144:$N$193,9,FALSE)="","",VLOOKUP($A8,'⚪设计'!$A$144:$N$193,9,FALSE))</f>
        <v/>
      </c>
      <c r="R8" s="97" t="str">
        <f t="shared" si="3"/>
        <v/>
      </c>
      <c r="S8" s="97" t="str">
        <f>IF(VLOOKUP($A8,'⚪设计'!$A$144:$N$193,13,FALSE)="","",VLOOKUP($A8,'⚪设计'!$A$144:$N$193,13,FALSE))</f>
        <v/>
      </c>
      <c r="T8" s="97" t="str">
        <f>IF(Q8="","",ROUND($D8*'⚪设计'!$D149/(IF($G8="",0,VLOOKUP($G8,'⚪设计'!$B$85:$H$104,4,FALSE)*$H8)+IF($L8="",0,VLOOKUP($L8,'⚪设计'!$B$85:$H$104,4,FALSE)*$M8)+IF($Q8="",0,VLOOKUP($Q8,'⚪设计'!$B$85:$H$104,4,FALSE)*$R8)+IF($V8="",0,VLOOKUP($V8,'⚪设计'!$B$85:$H$104,4,FALSE)*$W8))*IF(Q8="",0,VLOOKUP(Q8,'⚪设计'!$B$85:$H$104,4,FALSE)),0))</f>
        <v/>
      </c>
      <c r="U8" s="97" t="str">
        <f>IF(Q8="","",ROUND(VLOOKUP($B8,战斗节奏!$A$4:$F$13,2,FALSE)/(IF($G8="",0,VLOOKUP($G8,'⚪设计'!$B$85:$H$104,5,FALSE)*$H8)+IF($L8="",0,VLOOKUP($L8,'⚪设计'!$B$85:$H$104,5,FALSE)*$M8)+IF($Q8="",0,VLOOKUP($Q8,'⚪设计'!$B$85:$H$104,5,FALSE)*$R8)+IF($V8="",0,VLOOKUP($V8,'⚪设计'!$B$85:$H$104,5,FALSE)*$W8))*IF(Q8="",0,VLOOKUP(Q8,'⚪设计'!$B$85:$H$104,5,FALSE)),0))</f>
        <v/>
      </c>
      <c r="V8" s="97" t="str">
        <f>IF(VLOOKUP($A8,'⚪设计'!$A$144:$N$193,10,FALSE)="","",VLOOKUP($A8,'⚪设计'!$A$144:$N$193,10,FALSE))</f>
        <v/>
      </c>
      <c r="W8" s="97" t="str">
        <f t="shared" si="4"/>
        <v/>
      </c>
      <c r="X8" s="97" t="str">
        <f>IF(VLOOKUP($A8,'⚪设计'!$A$144:$N$193,14,FALSE)="","",VLOOKUP($A8,'⚪设计'!$A$144:$N$193,14,FALSE))</f>
        <v/>
      </c>
      <c r="Y8" s="97" t="str">
        <f>IF(V8="","",ROUND($D8*'⚪设计'!$D149/(IF($G8="",0,VLOOKUP($G8,'⚪设计'!$B$85:$H$104,4,FALSE)*$H8)+IF($L8="",0,VLOOKUP($L8,'⚪设计'!$B$85:$H$104,4,FALSE)*$M8)+IF($Q8="",0,VLOOKUP($Q8,'⚪设计'!$B$85:$H$104,4,FALSE)*$R8)+IF($V8="",0,VLOOKUP($V8,'⚪设计'!$B$85:$H$104,4,FALSE)*$W8))*IF(V8="",0,VLOOKUP(V8,'⚪设计'!$B$85:$H$104,4,FALSE)),0))</f>
        <v/>
      </c>
      <c r="Z8" s="97" t="str">
        <f>IF(V8="","",ROUND(VLOOKUP($B8,战斗节奏!$A$4:$F$13,2,FALSE)/(IF($G8="",0,VLOOKUP($G8,'⚪设计'!$B$85:$H$104,5,FALSE)*$H8)+IF($L8="",0,VLOOKUP($L8,'⚪设计'!$B$85:$H$104,5,FALSE)*$M8)+IF($Q8="",0,VLOOKUP($Q8,'⚪设计'!$B$85:$H$104,5,FALSE)*$R8)+IF($V8="",0,VLOOKUP($V8,'⚪设计'!$B$85:$H$104,5,FALSE)*$W8))*IF(V8="",0,VLOOKUP(V8,'⚪设计'!$B$85:$H$104,5,FALSE)),0))</f>
        <v/>
      </c>
    </row>
    <row r="9" spans="1:26" x14ac:dyDescent="0.2">
      <c r="A9" s="2" t="str">
        <f t="shared" si="0"/>
        <v>2_2</v>
      </c>
      <c r="B9" s="2">
        <v>2</v>
      </c>
      <c r="C9" s="2">
        <v>2</v>
      </c>
      <c r="D9" s="97">
        <f>VLOOKUP(C9,无限模式!$A$3:$B$22,2,FALSE)</f>
        <v>1800</v>
      </c>
      <c r="E9" s="98">
        <v>1</v>
      </c>
      <c r="F9" s="97">
        <f>'⚪设计'!F150</f>
        <v>12.5</v>
      </c>
      <c r="G9" s="97" t="str">
        <f>IF(VLOOKUP($A9,'⚪设计'!$A$144:$N$193,7,FALSE)="","",VLOOKUP($A9,'⚪设计'!$A$144:$N$193,7,FALSE))</f>
        <v>蜘蛛1</v>
      </c>
      <c r="H9" s="97">
        <f t="shared" si="1"/>
        <v>6</v>
      </c>
      <c r="I9" s="97">
        <f>IF(VLOOKUP($A9,'⚪设计'!$A$144:$N$193,11,FALSE)="","",VLOOKUP($A9,'⚪设计'!$A$144:$N$193,11,FALSE))</f>
        <v>2</v>
      </c>
      <c r="J9" s="97">
        <f>IF(G9="","",ROUND($D9*'⚪设计'!$D150/(IF($G9="",0,VLOOKUP($G9,'⚪设计'!$B$85:$H$104,4,FALSE)*$H9)+IF($L9="",0,VLOOKUP($L9,'⚪设计'!$B$85:$H$104,4,FALSE)*$M9)+IF($Q9="",0,VLOOKUP($Q9,'⚪设计'!$B$85:$H$104,4,FALSE)*$R9)+IF($V9="",0,VLOOKUP($V9,'⚪设计'!$B$85:$H$104,4,FALSE)*$W9))*IF(G9="",0,VLOOKUP(G9,'⚪设计'!$B$85:$H$104,4,FALSE)),0))</f>
        <v>360</v>
      </c>
      <c r="K9" s="97">
        <f>IF(G9="","",ROUND(VLOOKUP($B9,战斗节奏!$A$4:$F$13,2,FALSE)/(IF($G9="",0,VLOOKUP($G9,'⚪设计'!$B$85:$H$104,5,FALSE)*$H9)+IF($L9="",0,VLOOKUP($L9,'⚪设计'!$B$85:$H$104,5,FALSE)*$M9)+IF($Q9="",0,VLOOKUP($Q9,'⚪设计'!$B$85:$H$104,5,FALSE)*$R9)+IF($V9="",0,VLOOKUP($V9,'⚪设计'!$B$85:$H$104,5,FALSE)*$W9))*IF(G9="",0,VLOOKUP(G9,'⚪设计'!$B$85:$H$104,5,FALSE)),0))</f>
        <v>11</v>
      </c>
      <c r="L9" s="97" t="str">
        <f>IF(VLOOKUP($A9,'⚪设计'!$A$144:$N$193,8,FALSE)="","",VLOOKUP($A9,'⚪设计'!$A$144:$N$193,8,FALSE))</f>
        <v>蜜蜂2</v>
      </c>
      <c r="M9" s="97">
        <f t="shared" si="2"/>
        <v>6</v>
      </c>
      <c r="N9" s="97">
        <f>IF(VLOOKUP($A9,'⚪设计'!$A$144:$N$193,12,FALSE)="","",VLOOKUP($A9,'⚪设计'!$A$144:$N$193,12,FALSE))</f>
        <v>2</v>
      </c>
      <c r="O9" s="97">
        <f>IF(L9="","",ROUND($D9*'⚪设计'!$D150/(IF($G9="",0,VLOOKUP($G9,'⚪设计'!$B$85:$H$104,4,FALSE)*$H9)+IF($L9="",0,VLOOKUP($L9,'⚪设计'!$B$85:$H$104,4,FALSE)*$M9)+IF($Q9="",0,VLOOKUP($Q9,'⚪设计'!$B$85:$H$104,4,FALSE)*$R9)+IF($V9="",0,VLOOKUP($V9,'⚪设计'!$B$85:$H$104,4,FALSE)*$W9))*IF(L9="",0,VLOOKUP(L9,'⚪设计'!$B$85:$H$104,4,FALSE)),0))</f>
        <v>720</v>
      </c>
      <c r="P9" s="97">
        <f>IF(L9="","",ROUND(VLOOKUP($B9,战斗节奏!$A$4:$F$13,2,FALSE)/(IF($G9="",0,VLOOKUP($G9,'⚪设计'!$B$85:$H$104,5,FALSE)*$H9)+IF($L9="",0,VLOOKUP($L9,'⚪设计'!$B$85:$H$104,5,FALSE)*$M9)+IF($Q9="",0,VLOOKUP($Q9,'⚪设计'!$B$85:$H$104,5,FALSE)*$R9)+IF($V9="",0,VLOOKUP($V9,'⚪设计'!$B$85:$H$104,5,FALSE)*$W9))*IF(L9="",0,VLOOKUP(L9,'⚪设计'!$B$85:$H$104,5,FALSE)),0))</f>
        <v>22</v>
      </c>
      <c r="Q9" s="97" t="str">
        <f>IF(VLOOKUP($A9,'⚪设计'!$A$144:$N$193,9,FALSE)="","",VLOOKUP($A9,'⚪设计'!$A$144:$N$193,9,FALSE))</f>
        <v/>
      </c>
      <c r="R9" s="97" t="str">
        <f t="shared" si="3"/>
        <v/>
      </c>
      <c r="S9" s="97" t="str">
        <f>IF(VLOOKUP($A9,'⚪设计'!$A$144:$N$193,13,FALSE)="","",VLOOKUP($A9,'⚪设计'!$A$144:$N$193,13,FALSE))</f>
        <v/>
      </c>
      <c r="T9" s="97" t="str">
        <f>IF(Q9="","",ROUND($D9*'⚪设计'!$D150/(IF($G9="",0,VLOOKUP($G9,'⚪设计'!$B$85:$H$104,4,FALSE)*$H9)+IF($L9="",0,VLOOKUP($L9,'⚪设计'!$B$85:$H$104,4,FALSE)*$M9)+IF($Q9="",0,VLOOKUP($Q9,'⚪设计'!$B$85:$H$104,4,FALSE)*$R9)+IF($V9="",0,VLOOKUP($V9,'⚪设计'!$B$85:$H$104,4,FALSE)*$W9))*IF(Q9="",0,VLOOKUP(Q9,'⚪设计'!$B$85:$H$104,4,FALSE)),0))</f>
        <v/>
      </c>
      <c r="U9" s="97" t="str">
        <f>IF(Q9="","",ROUND(VLOOKUP($B9,战斗节奏!$A$4:$F$13,2,FALSE)/(IF($G9="",0,VLOOKUP($G9,'⚪设计'!$B$85:$H$104,5,FALSE)*$H9)+IF($L9="",0,VLOOKUP($L9,'⚪设计'!$B$85:$H$104,5,FALSE)*$M9)+IF($Q9="",0,VLOOKUP($Q9,'⚪设计'!$B$85:$H$104,5,FALSE)*$R9)+IF($V9="",0,VLOOKUP($V9,'⚪设计'!$B$85:$H$104,5,FALSE)*$W9))*IF(Q9="",0,VLOOKUP(Q9,'⚪设计'!$B$85:$H$104,5,FALSE)),0))</f>
        <v/>
      </c>
      <c r="V9" s="97" t="str">
        <f>IF(VLOOKUP($A9,'⚪设计'!$A$144:$N$193,10,FALSE)="","",VLOOKUP($A9,'⚪设计'!$A$144:$N$193,10,FALSE))</f>
        <v/>
      </c>
      <c r="W9" s="97" t="str">
        <f t="shared" si="4"/>
        <v/>
      </c>
      <c r="X9" s="97" t="str">
        <f>IF(VLOOKUP($A9,'⚪设计'!$A$144:$N$193,14,FALSE)="","",VLOOKUP($A9,'⚪设计'!$A$144:$N$193,14,FALSE))</f>
        <v/>
      </c>
      <c r="Y9" s="97" t="str">
        <f>IF(V9="","",ROUND($D9*'⚪设计'!$D150/(IF($G9="",0,VLOOKUP($G9,'⚪设计'!$B$85:$H$104,4,FALSE)*$H9)+IF($L9="",0,VLOOKUP($L9,'⚪设计'!$B$85:$H$104,4,FALSE)*$M9)+IF($Q9="",0,VLOOKUP($Q9,'⚪设计'!$B$85:$H$104,4,FALSE)*$R9)+IF($V9="",0,VLOOKUP($V9,'⚪设计'!$B$85:$H$104,4,FALSE)*$W9))*IF(V9="",0,VLOOKUP(V9,'⚪设计'!$B$85:$H$104,4,FALSE)),0))</f>
        <v/>
      </c>
      <c r="Z9" s="97" t="str">
        <f>IF(V9="","",ROUND(VLOOKUP($B9,战斗节奏!$A$4:$F$13,2,FALSE)/(IF($G9="",0,VLOOKUP($G9,'⚪设计'!$B$85:$H$104,5,FALSE)*$H9)+IF($L9="",0,VLOOKUP($L9,'⚪设计'!$B$85:$H$104,5,FALSE)*$M9)+IF($Q9="",0,VLOOKUP($Q9,'⚪设计'!$B$85:$H$104,5,FALSE)*$R9)+IF($V9="",0,VLOOKUP($V9,'⚪设计'!$B$85:$H$104,5,FALSE)*$W9))*IF(V9="",0,VLOOKUP(V9,'⚪设计'!$B$85:$H$104,5,FALSE)),0))</f>
        <v/>
      </c>
    </row>
    <row r="10" spans="1:26" x14ac:dyDescent="0.2">
      <c r="A10" s="2" t="str">
        <f t="shared" si="0"/>
        <v>2_3</v>
      </c>
      <c r="B10" s="2">
        <v>2</v>
      </c>
      <c r="C10" s="2">
        <v>3</v>
      </c>
      <c r="D10" s="97">
        <f>VLOOKUP(C10,无限模式!$A$3:$B$22,2,FALSE)</f>
        <v>3600</v>
      </c>
      <c r="E10" s="98">
        <v>1</v>
      </c>
      <c r="F10" s="97">
        <f>'⚪设计'!F151</f>
        <v>15</v>
      </c>
      <c r="G10" s="97" t="str">
        <f>IF(VLOOKUP($A10,'⚪设计'!$A$144:$N$193,7,FALSE)="","",VLOOKUP($A10,'⚪设计'!$A$144:$N$193,7,FALSE))</f>
        <v>蜘蛛1</v>
      </c>
      <c r="H10" s="97">
        <f t="shared" si="1"/>
        <v>15</v>
      </c>
      <c r="I10" s="97">
        <f>IF(VLOOKUP($A10,'⚪设计'!$A$144:$N$193,11,FALSE)="","",VLOOKUP($A10,'⚪设计'!$A$144:$N$193,11,FALSE))</f>
        <v>1</v>
      </c>
      <c r="J10" s="97">
        <f>IF(G10="","",ROUND($D10*'⚪设计'!$D151/(IF($G10="",0,VLOOKUP($G10,'⚪设计'!$B$85:$H$104,4,FALSE)*$H10)+IF($L10="",0,VLOOKUP($L10,'⚪设计'!$B$85:$H$104,4,FALSE)*$M10)+IF($Q10="",0,VLOOKUP($Q10,'⚪设计'!$B$85:$H$104,4,FALSE)*$R10)+IF($V10="",0,VLOOKUP($V10,'⚪设计'!$B$85:$H$104,4,FALSE)*$W10))*IF(G10="",0,VLOOKUP(G10,'⚪设计'!$B$85:$H$104,4,FALSE)),0))</f>
        <v>576</v>
      </c>
      <c r="K10" s="97">
        <f>IF(G10="","",ROUND(VLOOKUP($B10,战斗节奏!$A$4:$F$13,2,FALSE)/(IF($G10="",0,VLOOKUP($G10,'⚪设计'!$B$85:$H$104,5,FALSE)*$H10)+IF($L10="",0,VLOOKUP($L10,'⚪设计'!$B$85:$H$104,5,FALSE)*$M10)+IF($Q10="",0,VLOOKUP($Q10,'⚪设计'!$B$85:$H$104,5,FALSE)*$R10)+IF($V10="",0,VLOOKUP($V10,'⚪设计'!$B$85:$H$104,5,FALSE)*$W10))*IF(G10="",0,VLOOKUP(G10,'⚪设计'!$B$85:$H$104,5,FALSE)),0))</f>
        <v>9</v>
      </c>
      <c r="L10" s="97" t="str">
        <f>IF(VLOOKUP($A10,'⚪设计'!$A$144:$N$193,8,FALSE)="","",VLOOKUP($A10,'⚪设计'!$A$144:$N$193,8,FALSE))</f>
        <v>蝙蝠1</v>
      </c>
      <c r="M10" s="97">
        <f t="shared" si="2"/>
        <v>15</v>
      </c>
      <c r="N10" s="97">
        <f>IF(VLOOKUP($A10,'⚪设计'!$A$144:$N$193,12,FALSE)="","",VLOOKUP($A10,'⚪设计'!$A$144:$N$193,12,FALSE))</f>
        <v>1</v>
      </c>
      <c r="O10" s="97">
        <f>IF(L10="","",ROUND($D10*'⚪设计'!$D151/(IF($G10="",0,VLOOKUP($G10,'⚪设计'!$B$85:$H$104,4,FALSE)*$H10)+IF($L10="",0,VLOOKUP($L10,'⚪设计'!$B$85:$H$104,4,FALSE)*$M10)+IF($Q10="",0,VLOOKUP($Q10,'⚪设计'!$B$85:$H$104,4,FALSE)*$R10)+IF($V10="",0,VLOOKUP($V10,'⚪设计'!$B$85:$H$104,4,FALSE)*$W10))*IF(L10="",0,VLOOKUP(L10,'⚪设计'!$B$85:$H$104,4,FALSE)),0))</f>
        <v>288</v>
      </c>
      <c r="P10" s="97">
        <f>IF(L10="","",ROUND(VLOOKUP($B10,战斗节奏!$A$4:$F$13,2,FALSE)/(IF($G10="",0,VLOOKUP($G10,'⚪设计'!$B$85:$H$104,5,FALSE)*$H10)+IF($L10="",0,VLOOKUP($L10,'⚪设计'!$B$85:$H$104,5,FALSE)*$M10)+IF($Q10="",0,VLOOKUP($Q10,'⚪设计'!$B$85:$H$104,5,FALSE)*$R10)+IF($V10="",0,VLOOKUP($V10,'⚪设计'!$B$85:$H$104,5,FALSE)*$W10))*IF(L10="",0,VLOOKUP(L10,'⚪设计'!$B$85:$H$104,5,FALSE)),0))</f>
        <v>4</v>
      </c>
      <c r="Q10" s="97" t="str">
        <f>IF(VLOOKUP($A10,'⚪设计'!$A$144:$N$193,9,FALSE)="","",VLOOKUP($A10,'⚪设计'!$A$144:$N$193,9,FALSE))</f>
        <v/>
      </c>
      <c r="R10" s="97" t="str">
        <f t="shared" si="3"/>
        <v/>
      </c>
      <c r="S10" s="97" t="str">
        <f>IF(VLOOKUP($A10,'⚪设计'!$A$144:$N$193,13,FALSE)="","",VLOOKUP($A10,'⚪设计'!$A$144:$N$193,13,FALSE))</f>
        <v/>
      </c>
      <c r="T10" s="97" t="str">
        <f>IF(Q10="","",ROUND($D10*'⚪设计'!$D151/(IF($G10="",0,VLOOKUP($G10,'⚪设计'!$B$85:$H$104,4,FALSE)*$H10)+IF($L10="",0,VLOOKUP($L10,'⚪设计'!$B$85:$H$104,4,FALSE)*$M10)+IF($Q10="",0,VLOOKUP($Q10,'⚪设计'!$B$85:$H$104,4,FALSE)*$R10)+IF($V10="",0,VLOOKUP($V10,'⚪设计'!$B$85:$H$104,4,FALSE)*$W10))*IF(Q10="",0,VLOOKUP(Q10,'⚪设计'!$B$85:$H$104,4,FALSE)),0))</f>
        <v/>
      </c>
      <c r="U10" s="97" t="str">
        <f>IF(Q10="","",ROUND(VLOOKUP($B10,战斗节奏!$A$4:$F$13,2,FALSE)/(IF($G10="",0,VLOOKUP($G10,'⚪设计'!$B$85:$H$104,5,FALSE)*$H10)+IF($L10="",0,VLOOKUP($L10,'⚪设计'!$B$85:$H$104,5,FALSE)*$M10)+IF($Q10="",0,VLOOKUP($Q10,'⚪设计'!$B$85:$H$104,5,FALSE)*$R10)+IF($V10="",0,VLOOKUP($V10,'⚪设计'!$B$85:$H$104,5,FALSE)*$W10))*IF(Q10="",0,VLOOKUP(Q10,'⚪设计'!$B$85:$H$104,5,FALSE)),0))</f>
        <v/>
      </c>
      <c r="V10" s="97" t="str">
        <f>IF(VLOOKUP($A10,'⚪设计'!$A$144:$N$193,10,FALSE)="","",VLOOKUP($A10,'⚪设计'!$A$144:$N$193,10,FALSE))</f>
        <v/>
      </c>
      <c r="W10" s="97" t="str">
        <f t="shared" si="4"/>
        <v/>
      </c>
      <c r="X10" s="97" t="str">
        <f>IF(VLOOKUP($A10,'⚪设计'!$A$144:$N$193,14,FALSE)="","",VLOOKUP($A10,'⚪设计'!$A$144:$N$193,14,FALSE))</f>
        <v/>
      </c>
      <c r="Y10" s="97" t="str">
        <f>IF(V10="","",ROUND($D10*'⚪设计'!$D151/(IF($G10="",0,VLOOKUP($G10,'⚪设计'!$B$85:$H$104,4,FALSE)*$H10)+IF($L10="",0,VLOOKUP($L10,'⚪设计'!$B$85:$H$104,4,FALSE)*$M10)+IF($Q10="",0,VLOOKUP($Q10,'⚪设计'!$B$85:$H$104,4,FALSE)*$R10)+IF($V10="",0,VLOOKUP($V10,'⚪设计'!$B$85:$H$104,4,FALSE)*$W10))*IF(V10="",0,VLOOKUP(V10,'⚪设计'!$B$85:$H$104,4,FALSE)),0))</f>
        <v/>
      </c>
      <c r="Z10" s="97" t="str">
        <f>IF(V10="","",ROUND(VLOOKUP($B10,战斗节奏!$A$4:$F$13,2,FALSE)/(IF($G10="",0,VLOOKUP($G10,'⚪设计'!$B$85:$H$104,5,FALSE)*$H10)+IF($L10="",0,VLOOKUP($L10,'⚪设计'!$B$85:$H$104,5,FALSE)*$M10)+IF($Q10="",0,VLOOKUP($Q10,'⚪设计'!$B$85:$H$104,5,FALSE)*$R10)+IF($V10="",0,VLOOKUP($V10,'⚪设计'!$B$85:$H$104,5,FALSE)*$W10))*IF(V10="",0,VLOOKUP(V10,'⚪设计'!$B$85:$H$104,5,FALSE)),0))</f>
        <v/>
      </c>
    </row>
    <row r="11" spans="1:26" x14ac:dyDescent="0.2">
      <c r="A11" s="2" t="str">
        <f t="shared" si="0"/>
        <v>2_4</v>
      </c>
      <c r="B11" s="2">
        <v>2</v>
      </c>
      <c r="C11" s="2">
        <v>4</v>
      </c>
      <c r="D11" s="97">
        <f>VLOOKUP(C11,无限模式!$A$3:$B$22,2,FALSE)</f>
        <v>4500</v>
      </c>
      <c r="E11" s="98">
        <v>1</v>
      </c>
      <c r="F11" s="97">
        <f>'⚪设计'!F152</f>
        <v>17.5</v>
      </c>
      <c r="G11" s="97" t="str">
        <f>IF(VLOOKUP($A11,'⚪设计'!$A$144:$N$193,7,FALSE)="","",VLOOKUP($A11,'⚪设计'!$A$144:$N$193,7,FALSE))</f>
        <v>蜘蛛1</v>
      </c>
      <c r="H11" s="97">
        <f t="shared" si="1"/>
        <v>18</v>
      </c>
      <c r="I11" s="97">
        <f>IF(VLOOKUP($A11,'⚪设计'!$A$144:$N$193,11,FALSE)="","",VLOOKUP($A11,'⚪设计'!$A$144:$N$193,11,FALSE))</f>
        <v>1</v>
      </c>
      <c r="J11" s="97">
        <f>IF(G11="","",ROUND($D11*'⚪设计'!$D152/(IF($G11="",0,VLOOKUP($G11,'⚪设计'!$B$85:$H$104,4,FALSE)*$H11)+IF($L11="",0,VLOOKUP($L11,'⚪设计'!$B$85:$H$104,4,FALSE)*$M11)+IF($Q11="",0,VLOOKUP($Q11,'⚪设计'!$B$85:$H$104,4,FALSE)*$R11)+IF($V11="",0,VLOOKUP($V11,'⚪设计'!$B$85:$H$104,4,FALSE)*$W11))*IF(G11="",0,VLOOKUP(G11,'⚪设计'!$B$85:$H$104,4,FALSE)),0))</f>
        <v>206</v>
      </c>
      <c r="K11" s="97">
        <f>IF(G11="","",ROUND(VLOOKUP($B11,战斗节奏!$A$4:$F$13,2,FALSE)/(IF($G11="",0,VLOOKUP($G11,'⚪设计'!$B$85:$H$104,5,FALSE)*$H11)+IF($L11="",0,VLOOKUP($L11,'⚪设计'!$B$85:$H$104,5,FALSE)*$M11)+IF($Q11="",0,VLOOKUP($Q11,'⚪设计'!$B$85:$H$104,5,FALSE)*$R11)+IF($V11="",0,VLOOKUP($V11,'⚪设计'!$B$85:$H$104,5,FALSE)*$W11))*IF(G11="",0,VLOOKUP(G11,'⚪设计'!$B$85:$H$104,5,FALSE)),0))</f>
        <v>2</v>
      </c>
      <c r="L11" s="97" t="str">
        <f>IF(VLOOKUP($A11,'⚪设计'!$A$144:$N$193,8,FALSE)="","",VLOOKUP($A11,'⚪设计'!$A$144:$N$193,8,FALSE))</f>
        <v>蝙蝠1</v>
      </c>
      <c r="M11" s="97">
        <f t="shared" si="2"/>
        <v>44</v>
      </c>
      <c r="N11" s="97">
        <f>IF(VLOOKUP($A11,'⚪设计'!$A$144:$N$193,12,FALSE)="","",VLOOKUP($A11,'⚪设计'!$A$144:$N$193,12,FALSE))</f>
        <v>0.4</v>
      </c>
      <c r="O11" s="97">
        <f>IF(L11="","",ROUND($D11*'⚪设计'!$D152/(IF($G11="",0,VLOOKUP($G11,'⚪设计'!$B$85:$H$104,4,FALSE)*$H11)+IF($L11="",0,VLOOKUP($L11,'⚪设计'!$B$85:$H$104,4,FALSE)*$M11)+IF($Q11="",0,VLOOKUP($Q11,'⚪设计'!$B$85:$H$104,4,FALSE)*$R11)+IF($V11="",0,VLOOKUP($V11,'⚪设计'!$B$85:$H$104,4,FALSE)*$W11))*IF(L11="",0,VLOOKUP(L11,'⚪设计'!$B$85:$H$104,4,FALSE)),0))</f>
        <v>103</v>
      </c>
      <c r="P11" s="97">
        <f>IF(L11="","",ROUND(VLOOKUP($B11,战斗节奏!$A$4:$F$13,2,FALSE)/(IF($G11="",0,VLOOKUP($G11,'⚪设计'!$B$85:$H$104,5,FALSE)*$H11)+IF($L11="",0,VLOOKUP($L11,'⚪设计'!$B$85:$H$104,5,FALSE)*$M11)+IF($Q11="",0,VLOOKUP($Q11,'⚪设计'!$B$85:$H$104,5,FALSE)*$R11)+IF($V11="",0,VLOOKUP($V11,'⚪设计'!$B$85:$H$104,5,FALSE)*$W11))*IF(L11="",0,VLOOKUP(L11,'⚪设计'!$B$85:$H$104,5,FALSE)),0))</f>
        <v>1</v>
      </c>
      <c r="Q11" s="97" t="str">
        <f>IF(VLOOKUP($A11,'⚪设计'!$A$144:$N$193,9,FALSE)="","",VLOOKUP($A11,'⚪设计'!$A$144:$N$193,9,FALSE))</f>
        <v>蜜蜂2</v>
      </c>
      <c r="R11" s="97">
        <f t="shared" si="3"/>
        <v>35</v>
      </c>
      <c r="S11" s="97">
        <f>IF(VLOOKUP($A11,'⚪设计'!$A$144:$N$193,13,FALSE)="","",VLOOKUP($A11,'⚪设计'!$A$144:$N$193,13,FALSE))</f>
        <v>0.5</v>
      </c>
      <c r="T11" s="97">
        <f>IF(Q11="","",ROUND($D11*'⚪设计'!$D152/(IF($G11="",0,VLOOKUP($G11,'⚪设计'!$B$85:$H$104,4,FALSE)*$H11)+IF($L11="",0,VLOOKUP($L11,'⚪设计'!$B$85:$H$104,4,FALSE)*$M11)+IF($Q11="",0,VLOOKUP($Q11,'⚪设计'!$B$85:$H$104,4,FALSE)*$R11)+IF($V11="",0,VLOOKUP($V11,'⚪设计'!$B$85:$H$104,4,FALSE)*$W11))*IF(Q11="",0,VLOOKUP(Q11,'⚪设计'!$B$85:$H$104,4,FALSE)),0))</f>
        <v>411</v>
      </c>
      <c r="U11" s="97">
        <f>IF(Q11="","",ROUND(VLOOKUP($B11,战斗节奏!$A$4:$F$13,2,FALSE)/(IF($G11="",0,VLOOKUP($G11,'⚪设计'!$B$85:$H$104,5,FALSE)*$H11)+IF($L11="",0,VLOOKUP($L11,'⚪设计'!$B$85:$H$104,5,FALSE)*$M11)+IF($Q11="",0,VLOOKUP($Q11,'⚪设计'!$B$85:$H$104,5,FALSE)*$R11)+IF($V11="",0,VLOOKUP($V11,'⚪设计'!$B$85:$H$104,5,FALSE)*$W11))*IF(Q11="",0,VLOOKUP(Q11,'⚪设计'!$B$85:$H$104,5,FALSE)),0))</f>
        <v>4</v>
      </c>
      <c r="V11" s="97" t="str">
        <f>IF(VLOOKUP($A11,'⚪设计'!$A$144:$N$193,10,FALSE)="","",VLOOKUP($A11,'⚪设计'!$A$144:$N$193,10,FALSE))</f>
        <v/>
      </c>
      <c r="W11" s="97" t="str">
        <f t="shared" si="4"/>
        <v/>
      </c>
      <c r="X11" s="97" t="str">
        <f>IF(VLOOKUP($A11,'⚪设计'!$A$144:$N$193,14,FALSE)="","",VLOOKUP($A11,'⚪设计'!$A$144:$N$193,14,FALSE))</f>
        <v/>
      </c>
      <c r="Y11" s="97" t="str">
        <f>IF(V11="","",ROUND($D11*'⚪设计'!$D152/(IF($G11="",0,VLOOKUP($G11,'⚪设计'!$B$85:$H$104,4,FALSE)*$H11)+IF($L11="",0,VLOOKUP($L11,'⚪设计'!$B$85:$H$104,4,FALSE)*$M11)+IF($Q11="",0,VLOOKUP($Q11,'⚪设计'!$B$85:$H$104,4,FALSE)*$R11)+IF($V11="",0,VLOOKUP($V11,'⚪设计'!$B$85:$H$104,4,FALSE)*$W11))*IF(V11="",0,VLOOKUP(V11,'⚪设计'!$B$85:$H$104,4,FALSE)),0))</f>
        <v/>
      </c>
      <c r="Z11" s="97" t="str">
        <f>IF(V11="","",ROUND(VLOOKUP($B11,战斗节奏!$A$4:$F$13,2,FALSE)/(IF($G11="",0,VLOOKUP($G11,'⚪设计'!$B$85:$H$104,5,FALSE)*$H11)+IF($L11="",0,VLOOKUP($L11,'⚪设计'!$B$85:$H$104,5,FALSE)*$M11)+IF($Q11="",0,VLOOKUP($Q11,'⚪设计'!$B$85:$H$104,5,FALSE)*$R11)+IF($V11="",0,VLOOKUP($V11,'⚪设计'!$B$85:$H$104,5,FALSE)*$W11))*IF(V11="",0,VLOOKUP(V11,'⚪设计'!$B$85:$H$104,5,FALSE)),0))</f>
        <v/>
      </c>
    </row>
    <row r="12" spans="1:26" x14ac:dyDescent="0.2">
      <c r="A12" s="2" t="str">
        <f t="shared" si="0"/>
        <v>2_5</v>
      </c>
      <c r="B12" s="2">
        <v>2</v>
      </c>
      <c r="C12" s="2">
        <v>5</v>
      </c>
      <c r="D12" s="97">
        <f>VLOOKUP(C12,无限模式!$A$3:$B$22,2,FALSE)</f>
        <v>5400</v>
      </c>
      <c r="E12" s="98">
        <v>1</v>
      </c>
      <c r="F12" s="97">
        <f>'⚪设计'!F153</f>
        <v>20</v>
      </c>
      <c r="G12" s="97" t="str">
        <f>IF(VLOOKUP($A12,'⚪设计'!$A$144:$N$193,7,FALSE)="","",VLOOKUP($A12,'⚪设计'!$A$144:$N$193,7,FALSE))</f>
        <v>蜘蛛1</v>
      </c>
      <c r="H12" s="97">
        <f t="shared" si="1"/>
        <v>67</v>
      </c>
      <c r="I12" s="97">
        <f>IF(VLOOKUP($A12,'⚪设计'!$A$144:$N$193,11,FALSE)="","",VLOOKUP($A12,'⚪设计'!$A$144:$N$193,11,FALSE))</f>
        <v>0.3</v>
      </c>
      <c r="J12" s="97">
        <f>IF(G12="","",ROUND($D12*'⚪设计'!$D153/(IF($G12="",0,VLOOKUP($G12,'⚪设计'!$B$85:$H$104,4,FALSE)*$H12)+IF($L12="",0,VLOOKUP($L12,'⚪设计'!$B$85:$H$104,4,FALSE)*$M12)+IF($Q12="",0,VLOOKUP($Q12,'⚪设计'!$B$85:$H$104,4,FALSE)*$R12)+IF($V12="",0,VLOOKUP($V12,'⚪设计'!$B$85:$H$104,4,FALSE)*$W12))*IF(G12="",0,VLOOKUP(G12,'⚪设计'!$B$85:$H$104,4,FALSE)),0))</f>
        <v>267</v>
      </c>
      <c r="K12" s="97">
        <f>IF(G12="","",ROUND(VLOOKUP($B12,战斗节奏!$A$4:$F$13,2,FALSE)/(IF($G12="",0,VLOOKUP($G12,'⚪设计'!$B$85:$H$104,5,FALSE)*$H12)+IF($L12="",0,VLOOKUP($L12,'⚪设计'!$B$85:$H$104,5,FALSE)*$M12)+IF($Q12="",0,VLOOKUP($Q12,'⚪设计'!$B$85:$H$104,5,FALSE)*$R12)+IF($V12="",0,VLOOKUP($V12,'⚪设计'!$B$85:$H$104,5,FALSE)*$W12))*IF(G12="",0,VLOOKUP(G12,'⚪设计'!$B$85:$H$104,5,FALSE)),0))</f>
        <v>1</v>
      </c>
      <c r="L12" s="97" t="str">
        <f>IF(VLOOKUP($A12,'⚪设计'!$A$144:$N$193,8,FALSE)="","",VLOOKUP($A12,'⚪设计'!$A$144:$N$193,8,FALSE))</f>
        <v>蝙蝠1</v>
      </c>
      <c r="M12" s="97">
        <f t="shared" si="2"/>
        <v>100</v>
      </c>
      <c r="N12" s="97">
        <f>IF(VLOOKUP($A12,'⚪设计'!$A$144:$N$193,12,FALSE)="","",VLOOKUP($A12,'⚪设计'!$A$144:$N$193,12,FALSE))</f>
        <v>0.2</v>
      </c>
      <c r="O12" s="97">
        <f>IF(L12="","",ROUND($D12*'⚪设计'!$D153/(IF($G12="",0,VLOOKUP($G12,'⚪设计'!$B$85:$H$104,4,FALSE)*$H12)+IF($L12="",0,VLOOKUP($L12,'⚪设计'!$B$85:$H$104,4,FALSE)*$M12)+IF($Q12="",0,VLOOKUP($Q12,'⚪设计'!$B$85:$H$104,4,FALSE)*$R12)+IF($V12="",0,VLOOKUP($V12,'⚪设计'!$B$85:$H$104,4,FALSE)*$W12))*IF(L12="",0,VLOOKUP(L12,'⚪设计'!$B$85:$H$104,4,FALSE)),0))</f>
        <v>134</v>
      </c>
      <c r="P12" s="97">
        <f>IF(L12="","",ROUND(VLOOKUP($B12,战斗节奏!$A$4:$F$13,2,FALSE)/(IF($G12="",0,VLOOKUP($G12,'⚪设计'!$B$85:$H$104,5,FALSE)*$H12)+IF($L12="",0,VLOOKUP($L12,'⚪设计'!$B$85:$H$104,5,FALSE)*$M12)+IF($Q12="",0,VLOOKUP($Q12,'⚪设计'!$B$85:$H$104,5,FALSE)*$R12)+IF($V12="",0,VLOOKUP($V12,'⚪设计'!$B$85:$H$104,5,FALSE)*$W12))*IF(L12="",0,VLOOKUP(L12,'⚪设计'!$B$85:$H$104,5,FALSE)),0))</f>
        <v>1</v>
      </c>
      <c r="Q12" s="97" t="str">
        <f>IF(VLOOKUP($A12,'⚪设计'!$A$144:$N$193,9,FALSE)="","",VLOOKUP($A12,'⚪设计'!$A$144:$N$193,9,FALSE))</f>
        <v>蜜蜂2</v>
      </c>
      <c r="R12" s="97">
        <f t="shared" si="3"/>
        <v>40</v>
      </c>
      <c r="S12" s="97">
        <f>IF(VLOOKUP($A12,'⚪设计'!$A$144:$N$193,13,FALSE)="","",VLOOKUP($A12,'⚪设计'!$A$144:$N$193,13,FALSE))</f>
        <v>0.5</v>
      </c>
      <c r="T12" s="97">
        <f>IF(Q12="","",ROUND($D12*'⚪设计'!$D153/(IF($G12="",0,VLOOKUP($G12,'⚪设计'!$B$85:$H$104,4,FALSE)*$H12)+IF($L12="",0,VLOOKUP($L12,'⚪设计'!$B$85:$H$104,4,FALSE)*$M12)+IF($Q12="",0,VLOOKUP($Q12,'⚪设计'!$B$85:$H$104,4,FALSE)*$R12)+IF($V12="",0,VLOOKUP($V12,'⚪设计'!$B$85:$H$104,4,FALSE)*$W12))*IF(Q12="",0,VLOOKUP(Q12,'⚪设计'!$B$85:$H$104,4,FALSE)),0))</f>
        <v>535</v>
      </c>
      <c r="U12" s="97">
        <f>IF(Q12="","",ROUND(VLOOKUP($B12,战斗节奏!$A$4:$F$13,2,FALSE)/(IF($G12="",0,VLOOKUP($G12,'⚪设计'!$B$85:$H$104,5,FALSE)*$H12)+IF($L12="",0,VLOOKUP($L12,'⚪设计'!$B$85:$H$104,5,FALSE)*$M12)+IF($Q12="",0,VLOOKUP($Q12,'⚪设计'!$B$85:$H$104,5,FALSE)*$R12)+IF($V12="",0,VLOOKUP($V12,'⚪设计'!$B$85:$H$104,5,FALSE)*$W12))*IF(Q12="",0,VLOOKUP(Q12,'⚪设计'!$B$85:$H$104,5,FALSE)),0))</f>
        <v>2</v>
      </c>
      <c r="V12" s="97" t="str">
        <f>IF(VLOOKUP($A12,'⚪设计'!$A$144:$N$193,10,FALSE)="","",VLOOKUP($A12,'⚪设计'!$A$144:$N$193,10,FALSE))</f>
        <v/>
      </c>
      <c r="W12" s="97" t="str">
        <f t="shared" si="4"/>
        <v/>
      </c>
      <c r="X12" s="97" t="str">
        <f>IF(VLOOKUP($A12,'⚪设计'!$A$144:$N$193,14,FALSE)="","",VLOOKUP($A12,'⚪设计'!$A$144:$N$193,14,FALSE))</f>
        <v/>
      </c>
      <c r="Y12" s="97" t="str">
        <f>IF(V12="","",ROUND($D12*'⚪设计'!$D153/(IF($G12="",0,VLOOKUP($G12,'⚪设计'!$B$85:$H$104,4,FALSE)*$H12)+IF($L12="",0,VLOOKUP($L12,'⚪设计'!$B$85:$H$104,4,FALSE)*$M12)+IF($Q12="",0,VLOOKUP($Q12,'⚪设计'!$B$85:$H$104,4,FALSE)*$R12)+IF($V12="",0,VLOOKUP($V12,'⚪设计'!$B$85:$H$104,4,FALSE)*$W12))*IF(V12="",0,VLOOKUP(V12,'⚪设计'!$B$85:$H$104,4,FALSE)),0))</f>
        <v/>
      </c>
      <c r="Z12" s="97" t="str">
        <f>IF(V12="","",ROUND(VLOOKUP($B12,战斗节奏!$A$4:$F$13,2,FALSE)/(IF($G12="",0,VLOOKUP($G12,'⚪设计'!$B$85:$H$104,5,FALSE)*$H12)+IF($L12="",0,VLOOKUP($L12,'⚪设计'!$B$85:$H$104,5,FALSE)*$M12)+IF($Q12="",0,VLOOKUP($Q12,'⚪设计'!$B$85:$H$104,5,FALSE)*$R12)+IF($V12="",0,VLOOKUP($V12,'⚪设计'!$B$85:$H$104,5,FALSE)*$W12))*IF(V12="",0,VLOOKUP(V12,'⚪设计'!$B$85:$H$104,5,FALSE)),0))</f>
        <v/>
      </c>
    </row>
    <row r="13" spans="1:26" x14ac:dyDescent="0.2">
      <c r="A13" s="2" t="str">
        <f t="shared" si="0"/>
        <v>3_1</v>
      </c>
      <c r="B13" s="2">
        <v>3</v>
      </c>
      <c r="C13" s="2">
        <v>1</v>
      </c>
      <c r="D13" s="97">
        <f>VLOOKUP(C13,无限模式!$A$3:$B$22,2,FALSE)</f>
        <v>900</v>
      </c>
      <c r="E13" s="98">
        <v>1</v>
      </c>
      <c r="F13" s="97">
        <f>'⚪设计'!F154</f>
        <v>10</v>
      </c>
      <c r="G13" s="97" t="str">
        <f>IF(VLOOKUP($A13,'⚪设计'!$A$144:$N$193,7,FALSE)="","",VLOOKUP($A13,'⚪设计'!$A$144:$N$193,7,FALSE))</f>
        <v>种子1</v>
      </c>
      <c r="H13" s="97">
        <f t="shared" si="1"/>
        <v>5</v>
      </c>
      <c r="I13" s="97">
        <f>IF(VLOOKUP($A13,'⚪设计'!$A$144:$N$193,11,FALSE)="","",VLOOKUP($A13,'⚪设计'!$A$144:$N$193,11,FALSE))</f>
        <v>2</v>
      </c>
      <c r="J13" s="97">
        <f>IF(G13="","",ROUND($D13*'⚪设计'!$D154/(IF($G13="",0,VLOOKUP($G13,'⚪设计'!$B$85:$H$104,4,FALSE)*$H13)+IF($L13="",0,VLOOKUP($L13,'⚪设计'!$B$85:$H$104,4,FALSE)*$M13)+IF($Q13="",0,VLOOKUP($Q13,'⚪设计'!$B$85:$H$104,4,FALSE)*$R13)+IF($V13="",0,VLOOKUP($V13,'⚪设计'!$B$85:$H$104,4,FALSE)*$W13))*IF(G13="",0,VLOOKUP(G13,'⚪设计'!$B$85:$H$104,4,FALSE)),0))</f>
        <v>219</v>
      </c>
      <c r="K13" s="97">
        <f>IF(G13="","",ROUND(VLOOKUP($B13,战斗节奏!$A$4:$F$13,2,FALSE)/(IF($G13="",0,VLOOKUP($G13,'⚪设计'!$B$85:$H$104,5,FALSE)*$H13)+IF($L13="",0,VLOOKUP($L13,'⚪设计'!$B$85:$H$104,5,FALSE)*$M13)+IF($Q13="",0,VLOOKUP($Q13,'⚪设计'!$B$85:$H$104,5,FALSE)*$R13)+IF($V13="",0,VLOOKUP($V13,'⚪设计'!$B$85:$H$104,5,FALSE)*$W13))*IF(G13="",0,VLOOKUP(G13,'⚪设计'!$B$85:$H$104,5,FALSE)),0))</f>
        <v>80</v>
      </c>
      <c r="L13" s="97" t="str">
        <f>IF(VLOOKUP($A13,'⚪设计'!$A$144:$N$193,8,FALSE)="","",VLOOKUP($A13,'⚪设计'!$A$144:$N$193,8,FALSE))</f>
        <v/>
      </c>
      <c r="M13" s="97" t="str">
        <f t="shared" si="2"/>
        <v/>
      </c>
      <c r="N13" s="97" t="str">
        <f>IF(VLOOKUP($A13,'⚪设计'!$A$144:$N$193,12,FALSE)="","",VLOOKUP($A13,'⚪设计'!$A$144:$N$193,12,FALSE))</f>
        <v/>
      </c>
      <c r="O13" s="97" t="str">
        <f>IF(L13="","",ROUND($D13*'⚪设计'!$D154/(IF($G13="",0,VLOOKUP($G13,'⚪设计'!$B$85:$H$104,4,FALSE)*$H13)+IF($L13="",0,VLOOKUP($L13,'⚪设计'!$B$85:$H$104,4,FALSE)*$M13)+IF($Q13="",0,VLOOKUP($Q13,'⚪设计'!$B$85:$H$104,4,FALSE)*$R13)+IF($V13="",0,VLOOKUP($V13,'⚪设计'!$B$85:$H$104,4,FALSE)*$W13))*IF(L13="",0,VLOOKUP(L13,'⚪设计'!$B$85:$H$104,4,FALSE)),0))</f>
        <v/>
      </c>
      <c r="P13" s="97" t="str">
        <f>IF(L13="","",ROUND(VLOOKUP($B13,战斗节奏!$A$4:$F$13,2,FALSE)/(IF($G13="",0,VLOOKUP($G13,'⚪设计'!$B$85:$H$104,5,FALSE)*$H13)+IF($L13="",0,VLOOKUP($L13,'⚪设计'!$B$85:$H$104,5,FALSE)*$M13)+IF($Q13="",0,VLOOKUP($Q13,'⚪设计'!$B$85:$H$104,5,FALSE)*$R13)+IF($V13="",0,VLOOKUP($V13,'⚪设计'!$B$85:$H$104,5,FALSE)*$W13))*IF(L13="",0,VLOOKUP(L13,'⚪设计'!$B$85:$H$104,5,FALSE)),0))</f>
        <v/>
      </c>
      <c r="Q13" s="97" t="str">
        <f>IF(VLOOKUP($A13,'⚪设计'!$A$144:$N$193,9,FALSE)="","",VLOOKUP($A13,'⚪设计'!$A$144:$N$193,9,FALSE))</f>
        <v/>
      </c>
      <c r="R13" s="97" t="str">
        <f t="shared" si="3"/>
        <v/>
      </c>
      <c r="S13" s="97" t="str">
        <f>IF(VLOOKUP($A13,'⚪设计'!$A$144:$N$193,13,FALSE)="","",VLOOKUP($A13,'⚪设计'!$A$144:$N$193,13,FALSE))</f>
        <v/>
      </c>
      <c r="T13" s="97" t="str">
        <f>IF(Q13="","",ROUND($D13*'⚪设计'!$D154/(IF($G13="",0,VLOOKUP($G13,'⚪设计'!$B$85:$H$104,4,FALSE)*$H13)+IF($L13="",0,VLOOKUP($L13,'⚪设计'!$B$85:$H$104,4,FALSE)*$M13)+IF($Q13="",0,VLOOKUP($Q13,'⚪设计'!$B$85:$H$104,4,FALSE)*$R13)+IF($V13="",0,VLOOKUP($V13,'⚪设计'!$B$85:$H$104,4,FALSE)*$W13))*IF(Q13="",0,VLOOKUP(Q13,'⚪设计'!$B$85:$H$104,4,FALSE)),0))</f>
        <v/>
      </c>
      <c r="U13" s="97" t="str">
        <f>IF(Q13="","",ROUND(VLOOKUP($B13,战斗节奏!$A$4:$F$13,2,FALSE)/(IF($G13="",0,VLOOKUP($G13,'⚪设计'!$B$85:$H$104,5,FALSE)*$H13)+IF($L13="",0,VLOOKUP($L13,'⚪设计'!$B$85:$H$104,5,FALSE)*$M13)+IF($Q13="",0,VLOOKUP($Q13,'⚪设计'!$B$85:$H$104,5,FALSE)*$R13)+IF($V13="",0,VLOOKUP($V13,'⚪设计'!$B$85:$H$104,5,FALSE)*$W13))*IF(Q13="",0,VLOOKUP(Q13,'⚪设计'!$B$85:$H$104,5,FALSE)),0))</f>
        <v/>
      </c>
      <c r="V13" s="97" t="str">
        <f>IF(VLOOKUP($A13,'⚪设计'!$A$144:$N$193,10,FALSE)="","",VLOOKUP($A13,'⚪设计'!$A$144:$N$193,10,FALSE))</f>
        <v/>
      </c>
      <c r="W13" s="97" t="str">
        <f t="shared" si="4"/>
        <v/>
      </c>
      <c r="X13" s="97" t="str">
        <f>IF(VLOOKUP($A13,'⚪设计'!$A$144:$N$193,14,FALSE)="","",VLOOKUP($A13,'⚪设计'!$A$144:$N$193,14,FALSE))</f>
        <v/>
      </c>
      <c r="Y13" s="97" t="str">
        <f>IF(V13="","",ROUND($D13*'⚪设计'!$D154/(IF($G13="",0,VLOOKUP($G13,'⚪设计'!$B$85:$H$104,4,FALSE)*$H13)+IF($L13="",0,VLOOKUP($L13,'⚪设计'!$B$85:$H$104,4,FALSE)*$M13)+IF($Q13="",0,VLOOKUP($Q13,'⚪设计'!$B$85:$H$104,4,FALSE)*$R13)+IF($V13="",0,VLOOKUP($V13,'⚪设计'!$B$85:$H$104,4,FALSE)*$W13))*IF(V13="",0,VLOOKUP(V13,'⚪设计'!$B$85:$H$104,4,FALSE)),0))</f>
        <v/>
      </c>
      <c r="Z13" s="97" t="str">
        <f>IF(V13="","",ROUND(VLOOKUP($B13,战斗节奏!$A$4:$F$13,2,FALSE)/(IF($G13="",0,VLOOKUP($G13,'⚪设计'!$B$85:$H$104,5,FALSE)*$H13)+IF($L13="",0,VLOOKUP($L13,'⚪设计'!$B$85:$H$104,5,FALSE)*$M13)+IF($Q13="",0,VLOOKUP($Q13,'⚪设计'!$B$85:$H$104,5,FALSE)*$R13)+IF($V13="",0,VLOOKUP($V13,'⚪设计'!$B$85:$H$104,5,FALSE)*$W13))*IF(V13="",0,VLOOKUP(V13,'⚪设计'!$B$85:$H$104,5,FALSE)),0))</f>
        <v/>
      </c>
    </row>
    <row r="14" spans="1:26" x14ac:dyDescent="0.2">
      <c r="A14" s="2" t="str">
        <f t="shared" si="0"/>
        <v>3_2</v>
      </c>
      <c r="B14" s="2">
        <v>3</v>
      </c>
      <c r="C14" s="2">
        <v>2</v>
      </c>
      <c r="D14" s="97">
        <f>VLOOKUP(C14,无限模式!$A$3:$B$22,2,FALSE)</f>
        <v>1800</v>
      </c>
      <c r="E14" s="98">
        <v>1</v>
      </c>
      <c r="F14" s="97">
        <f>'⚪设计'!F155</f>
        <v>12.5</v>
      </c>
      <c r="G14" s="97" t="str">
        <f>IF(VLOOKUP($A14,'⚪设计'!$A$144:$N$193,7,FALSE)="","",VLOOKUP($A14,'⚪设计'!$A$144:$N$193,7,FALSE))</f>
        <v>种子1</v>
      </c>
      <c r="H14" s="97">
        <f t="shared" si="1"/>
        <v>6</v>
      </c>
      <c r="I14" s="97">
        <f>IF(VLOOKUP($A14,'⚪设计'!$A$144:$N$193,11,FALSE)="","",VLOOKUP($A14,'⚪设计'!$A$144:$N$193,11,FALSE))</f>
        <v>2</v>
      </c>
      <c r="J14" s="97">
        <f>IF(G14="","",ROUND($D14*'⚪设计'!$D155/(IF($G14="",0,VLOOKUP($G14,'⚪设计'!$B$85:$H$104,4,FALSE)*$H14)+IF($L14="",0,VLOOKUP($L14,'⚪设计'!$B$85:$H$104,4,FALSE)*$M14)+IF($Q14="",0,VLOOKUP($Q14,'⚪设计'!$B$85:$H$104,4,FALSE)*$R14)+IF($V14="",0,VLOOKUP($V14,'⚪设计'!$B$85:$H$104,4,FALSE)*$W14))*IF(G14="",0,VLOOKUP(G14,'⚪设计'!$B$85:$H$104,4,FALSE)),0))</f>
        <v>324</v>
      </c>
      <c r="K14" s="97">
        <f>IF(G14="","",ROUND(VLOOKUP($B14,战斗节奏!$A$4:$F$13,2,FALSE)/(IF($G14="",0,VLOOKUP($G14,'⚪设计'!$B$85:$H$104,5,FALSE)*$H14)+IF($L14="",0,VLOOKUP($L14,'⚪设计'!$B$85:$H$104,5,FALSE)*$M14)+IF($Q14="",0,VLOOKUP($Q14,'⚪设计'!$B$85:$H$104,5,FALSE)*$R14)+IF($V14="",0,VLOOKUP($V14,'⚪设计'!$B$85:$H$104,5,FALSE)*$W14))*IF(G14="",0,VLOOKUP(G14,'⚪设计'!$B$85:$H$104,5,FALSE)),0))</f>
        <v>33</v>
      </c>
      <c r="L14" s="97" t="str">
        <f>IF(VLOOKUP($A14,'⚪设计'!$A$144:$N$193,8,FALSE)="","",VLOOKUP($A14,'⚪设计'!$A$144:$N$193,8,FALSE))</f>
        <v>蜜蜂2</v>
      </c>
      <c r="M14" s="97">
        <f t="shared" si="2"/>
        <v>6</v>
      </c>
      <c r="N14" s="97">
        <f>IF(VLOOKUP($A14,'⚪设计'!$A$144:$N$193,12,FALSE)="","",VLOOKUP($A14,'⚪设计'!$A$144:$N$193,12,FALSE))</f>
        <v>2</v>
      </c>
      <c r="O14" s="97">
        <f>IF(L14="","",ROUND($D14*'⚪设计'!$D155/(IF($G14="",0,VLOOKUP($G14,'⚪设计'!$B$85:$H$104,4,FALSE)*$H14)+IF($L14="",0,VLOOKUP($L14,'⚪设计'!$B$85:$H$104,4,FALSE)*$M14)+IF($Q14="",0,VLOOKUP($Q14,'⚪设计'!$B$85:$H$104,4,FALSE)*$R14)+IF($V14="",0,VLOOKUP($V14,'⚪设计'!$B$85:$H$104,4,FALSE)*$W14))*IF(L14="",0,VLOOKUP(L14,'⚪设计'!$B$85:$H$104,4,FALSE)),0))</f>
        <v>216</v>
      </c>
      <c r="P14" s="97">
        <f>IF(L14="","",ROUND(VLOOKUP($B14,战斗节奏!$A$4:$F$13,2,FALSE)/(IF($G14="",0,VLOOKUP($G14,'⚪设计'!$B$85:$H$104,5,FALSE)*$H14)+IF($L14="",0,VLOOKUP($L14,'⚪设计'!$B$85:$H$104,5,FALSE)*$M14)+IF($Q14="",0,VLOOKUP($Q14,'⚪设计'!$B$85:$H$104,5,FALSE)*$R14)+IF($V14="",0,VLOOKUP($V14,'⚪设计'!$B$85:$H$104,5,FALSE)*$W14))*IF(L14="",0,VLOOKUP(L14,'⚪设计'!$B$85:$H$104,5,FALSE)),0))</f>
        <v>33</v>
      </c>
      <c r="Q14" s="97" t="str">
        <f>IF(VLOOKUP($A14,'⚪设计'!$A$144:$N$193,9,FALSE)="","",VLOOKUP($A14,'⚪设计'!$A$144:$N$193,9,FALSE))</f>
        <v/>
      </c>
      <c r="R14" s="97" t="str">
        <f t="shared" si="3"/>
        <v/>
      </c>
      <c r="S14" s="97" t="str">
        <f>IF(VLOOKUP($A14,'⚪设计'!$A$144:$N$193,13,FALSE)="","",VLOOKUP($A14,'⚪设计'!$A$144:$N$193,13,FALSE))</f>
        <v/>
      </c>
      <c r="T14" s="97" t="str">
        <f>IF(Q14="","",ROUND($D14*'⚪设计'!$D155/(IF($G14="",0,VLOOKUP($G14,'⚪设计'!$B$85:$H$104,4,FALSE)*$H14)+IF($L14="",0,VLOOKUP($L14,'⚪设计'!$B$85:$H$104,4,FALSE)*$M14)+IF($Q14="",0,VLOOKUP($Q14,'⚪设计'!$B$85:$H$104,4,FALSE)*$R14)+IF($V14="",0,VLOOKUP($V14,'⚪设计'!$B$85:$H$104,4,FALSE)*$W14))*IF(Q14="",0,VLOOKUP(Q14,'⚪设计'!$B$85:$H$104,4,FALSE)),0))</f>
        <v/>
      </c>
      <c r="U14" s="97" t="str">
        <f>IF(Q14="","",ROUND(VLOOKUP($B14,战斗节奏!$A$4:$F$13,2,FALSE)/(IF($G14="",0,VLOOKUP($G14,'⚪设计'!$B$85:$H$104,5,FALSE)*$H14)+IF($L14="",0,VLOOKUP($L14,'⚪设计'!$B$85:$H$104,5,FALSE)*$M14)+IF($Q14="",0,VLOOKUP($Q14,'⚪设计'!$B$85:$H$104,5,FALSE)*$R14)+IF($V14="",0,VLOOKUP($V14,'⚪设计'!$B$85:$H$104,5,FALSE)*$W14))*IF(Q14="",0,VLOOKUP(Q14,'⚪设计'!$B$85:$H$104,5,FALSE)),0))</f>
        <v/>
      </c>
      <c r="V14" s="97" t="str">
        <f>IF(VLOOKUP($A14,'⚪设计'!$A$144:$N$193,10,FALSE)="","",VLOOKUP($A14,'⚪设计'!$A$144:$N$193,10,FALSE))</f>
        <v/>
      </c>
      <c r="W14" s="97" t="str">
        <f t="shared" si="4"/>
        <v/>
      </c>
      <c r="X14" s="97" t="str">
        <f>IF(VLOOKUP($A14,'⚪设计'!$A$144:$N$193,14,FALSE)="","",VLOOKUP($A14,'⚪设计'!$A$144:$N$193,14,FALSE))</f>
        <v/>
      </c>
      <c r="Y14" s="97" t="str">
        <f>IF(V14="","",ROUND($D14*'⚪设计'!$D155/(IF($G14="",0,VLOOKUP($G14,'⚪设计'!$B$85:$H$104,4,FALSE)*$H14)+IF($L14="",0,VLOOKUP($L14,'⚪设计'!$B$85:$H$104,4,FALSE)*$M14)+IF($Q14="",0,VLOOKUP($Q14,'⚪设计'!$B$85:$H$104,4,FALSE)*$R14)+IF($V14="",0,VLOOKUP($V14,'⚪设计'!$B$85:$H$104,4,FALSE)*$W14))*IF(V14="",0,VLOOKUP(V14,'⚪设计'!$B$85:$H$104,4,FALSE)),0))</f>
        <v/>
      </c>
      <c r="Z14" s="97" t="str">
        <f>IF(V14="","",ROUND(VLOOKUP($B14,战斗节奏!$A$4:$F$13,2,FALSE)/(IF($G14="",0,VLOOKUP($G14,'⚪设计'!$B$85:$H$104,5,FALSE)*$H14)+IF($L14="",0,VLOOKUP($L14,'⚪设计'!$B$85:$H$104,5,FALSE)*$M14)+IF($Q14="",0,VLOOKUP($Q14,'⚪设计'!$B$85:$H$104,5,FALSE)*$R14)+IF($V14="",0,VLOOKUP($V14,'⚪设计'!$B$85:$H$104,5,FALSE)*$W14))*IF(V14="",0,VLOOKUP(V14,'⚪设计'!$B$85:$H$104,5,FALSE)),0))</f>
        <v/>
      </c>
    </row>
    <row r="15" spans="1:26" x14ac:dyDescent="0.2">
      <c r="A15" s="2" t="str">
        <f t="shared" si="0"/>
        <v>3_3</v>
      </c>
      <c r="B15" s="2">
        <v>3</v>
      </c>
      <c r="C15" s="2">
        <v>3</v>
      </c>
      <c r="D15" s="97">
        <f>VLOOKUP(C15,无限模式!$A$3:$B$22,2,FALSE)</f>
        <v>3600</v>
      </c>
      <c r="E15" s="98">
        <v>1</v>
      </c>
      <c r="F15" s="97">
        <f>'⚪设计'!F156</f>
        <v>15</v>
      </c>
      <c r="G15" s="97" t="str">
        <f>IF(VLOOKUP($A15,'⚪设计'!$A$144:$N$193,7,FALSE)="","",VLOOKUP($A15,'⚪设计'!$A$144:$N$193,7,FALSE))</f>
        <v>种子1</v>
      </c>
      <c r="H15" s="97">
        <f t="shared" si="1"/>
        <v>8</v>
      </c>
      <c r="I15" s="97">
        <f>IF(VLOOKUP($A15,'⚪设计'!$A$144:$N$193,11,FALSE)="","",VLOOKUP($A15,'⚪设计'!$A$144:$N$193,11,FALSE))</f>
        <v>2</v>
      </c>
      <c r="J15" s="97">
        <f>IF(G15="","",ROUND($D15*'⚪设计'!$D156/(IF($G15="",0,VLOOKUP($G15,'⚪设计'!$B$85:$H$104,4,FALSE)*$H15)+IF($L15="",0,VLOOKUP($L15,'⚪设计'!$B$85:$H$104,4,FALSE)*$M15)+IF($Q15="",0,VLOOKUP($Q15,'⚪设计'!$B$85:$H$104,4,FALSE)*$R15)+IF($V15="",0,VLOOKUP($V15,'⚪设计'!$B$85:$H$104,4,FALSE)*$W15))*IF(G15="",0,VLOOKUP(G15,'⚪设计'!$B$85:$H$104,4,FALSE)),0))</f>
        <v>1543</v>
      </c>
      <c r="K15" s="97">
        <f>IF(G15="","",ROUND(VLOOKUP($B15,战斗节奏!$A$4:$F$13,2,FALSE)/(IF($G15="",0,VLOOKUP($G15,'⚪设计'!$B$85:$H$104,5,FALSE)*$H15)+IF($L15="",0,VLOOKUP($L15,'⚪设计'!$B$85:$H$104,5,FALSE)*$M15)+IF($Q15="",0,VLOOKUP($Q15,'⚪设计'!$B$85:$H$104,5,FALSE)*$R15)+IF($V15="",0,VLOOKUP($V15,'⚪设计'!$B$85:$H$104,5,FALSE)*$W15))*IF(G15="",0,VLOOKUP(G15,'⚪设计'!$B$85:$H$104,5,FALSE)),0))</f>
        <v>34</v>
      </c>
      <c r="L15" s="97" t="str">
        <f>IF(VLOOKUP($A15,'⚪设计'!$A$144:$N$193,8,FALSE)="","",VLOOKUP($A15,'⚪设计'!$A$144:$N$193,8,FALSE))</f>
        <v>蝙蝠1</v>
      </c>
      <c r="M15" s="97">
        <f t="shared" si="2"/>
        <v>15</v>
      </c>
      <c r="N15" s="97">
        <f>IF(VLOOKUP($A15,'⚪设计'!$A$144:$N$193,12,FALSE)="","",VLOOKUP($A15,'⚪设计'!$A$144:$N$193,12,FALSE))</f>
        <v>1</v>
      </c>
      <c r="O15" s="97">
        <f>IF(L15="","",ROUND($D15*'⚪设计'!$D156/(IF($G15="",0,VLOOKUP($G15,'⚪设计'!$B$85:$H$104,4,FALSE)*$H15)+IF($L15="",0,VLOOKUP($L15,'⚪设计'!$B$85:$H$104,4,FALSE)*$M15)+IF($Q15="",0,VLOOKUP($Q15,'⚪设计'!$B$85:$H$104,4,FALSE)*$R15)+IF($V15="",0,VLOOKUP($V15,'⚪设计'!$B$85:$H$104,4,FALSE)*$W15))*IF(L15="",0,VLOOKUP(L15,'⚪设计'!$B$85:$H$104,4,FALSE)),0))</f>
        <v>257</v>
      </c>
      <c r="P15" s="97">
        <f>IF(L15="","",ROUND(VLOOKUP($B15,战斗节奏!$A$4:$F$13,2,FALSE)/(IF($G15="",0,VLOOKUP($G15,'⚪设计'!$B$85:$H$104,5,FALSE)*$H15)+IF($L15="",0,VLOOKUP($L15,'⚪设计'!$B$85:$H$104,5,FALSE)*$M15)+IF($Q15="",0,VLOOKUP($Q15,'⚪设计'!$B$85:$H$104,5,FALSE)*$R15)+IF($V15="",0,VLOOKUP($V15,'⚪设计'!$B$85:$H$104,5,FALSE)*$W15))*IF(L15="",0,VLOOKUP(L15,'⚪设计'!$B$85:$H$104,5,FALSE)),0))</f>
        <v>9</v>
      </c>
      <c r="Q15" s="97" t="str">
        <f>IF(VLOOKUP($A15,'⚪设计'!$A$144:$N$193,9,FALSE)="","",VLOOKUP($A15,'⚪设计'!$A$144:$N$193,9,FALSE))</f>
        <v/>
      </c>
      <c r="R15" s="97" t="str">
        <f t="shared" si="3"/>
        <v/>
      </c>
      <c r="S15" s="97" t="str">
        <f>IF(VLOOKUP($A15,'⚪设计'!$A$144:$N$193,13,FALSE)="","",VLOOKUP($A15,'⚪设计'!$A$144:$N$193,13,FALSE))</f>
        <v/>
      </c>
      <c r="T15" s="97" t="str">
        <f>IF(Q15="","",ROUND($D15*'⚪设计'!$D156/(IF($G15="",0,VLOOKUP($G15,'⚪设计'!$B$85:$H$104,4,FALSE)*$H15)+IF($L15="",0,VLOOKUP($L15,'⚪设计'!$B$85:$H$104,4,FALSE)*$M15)+IF($Q15="",0,VLOOKUP($Q15,'⚪设计'!$B$85:$H$104,4,FALSE)*$R15)+IF($V15="",0,VLOOKUP($V15,'⚪设计'!$B$85:$H$104,4,FALSE)*$W15))*IF(Q15="",0,VLOOKUP(Q15,'⚪设计'!$B$85:$H$104,4,FALSE)),0))</f>
        <v/>
      </c>
      <c r="U15" s="97" t="str">
        <f>IF(Q15="","",ROUND(VLOOKUP($B15,战斗节奏!$A$4:$F$13,2,FALSE)/(IF($G15="",0,VLOOKUP($G15,'⚪设计'!$B$85:$H$104,5,FALSE)*$H15)+IF($L15="",0,VLOOKUP($L15,'⚪设计'!$B$85:$H$104,5,FALSE)*$M15)+IF($Q15="",0,VLOOKUP($Q15,'⚪设计'!$B$85:$H$104,5,FALSE)*$R15)+IF($V15="",0,VLOOKUP($V15,'⚪设计'!$B$85:$H$104,5,FALSE)*$W15))*IF(Q15="",0,VLOOKUP(Q15,'⚪设计'!$B$85:$H$104,5,FALSE)),0))</f>
        <v/>
      </c>
      <c r="V15" s="97" t="str">
        <f>IF(VLOOKUP($A15,'⚪设计'!$A$144:$N$193,10,FALSE)="","",VLOOKUP($A15,'⚪设计'!$A$144:$N$193,10,FALSE))</f>
        <v/>
      </c>
      <c r="W15" s="97" t="str">
        <f t="shared" si="4"/>
        <v/>
      </c>
      <c r="X15" s="97" t="str">
        <f>IF(VLOOKUP($A15,'⚪设计'!$A$144:$N$193,14,FALSE)="","",VLOOKUP($A15,'⚪设计'!$A$144:$N$193,14,FALSE))</f>
        <v/>
      </c>
      <c r="Y15" s="97" t="str">
        <f>IF(V15="","",ROUND($D15*'⚪设计'!$D156/(IF($G15="",0,VLOOKUP($G15,'⚪设计'!$B$85:$H$104,4,FALSE)*$H15)+IF($L15="",0,VLOOKUP($L15,'⚪设计'!$B$85:$H$104,4,FALSE)*$M15)+IF($Q15="",0,VLOOKUP($Q15,'⚪设计'!$B$85:$H$104,4,FALSE)*$R15)+IF($V15="",0,VLOOKUP($V15,'⚪设计'!$B$85:$H$104,4,FALSE)*$W15))*IF(V15="",0,VLOOKUP(V15,'⚪设计'!$B$85:$H$104,4,FALSE)),0))</f>
        <v/>
      </c>
      <c r="Z15" s="97" t="str">
        <f>IF(V15="","",ROUND(VLOOKUP($B15,战斗节奏!$A$4:$F$13,2,FALSE)/(IF($G15="",0,VLOOKUP($G15,'⚪设计'!$B$85:$H$104,5,FALSE)*$H15)+IF($L15="",0,VLOOKUP($L15,'⚪设计'!$B$85:$H$104,5,FALSE)*$M15)+IF($Q15="",0,VLOOKUP($Q15,'⚪设计'!$B$85:$H$104,5,FALSE)*$R15)+IF($V15="",0,VLOOKUP($V15,'⚪设计'!$B$85:$H$104,5,FALSE)*$W15))*IF(V15="",0,VLOOKUP(V15,'⚪设计'!$B$85:$H$104,5,FALSE)),0))</f>
        <v/>
      </c>
    </row>
    <row r="16" spans="1:26" x14ac:dyDescent="0.2">
      <c r="A16" s="2" t="str">
        <f t="shared" si="0"/>
        <v>3_4</v>
      </c>
      <c r="B16" s="2">
        <v>3</v>
      </c>
      <c r="C16" s="2">
        <v>4</v>
      </c>
      <c r="D16" s="97">
        <f>VLOOKUP(C16,无限模式!$A$3:$B$22,2,FALSE)</f>
        <v>4500</v>
      </c>
      <c r="E16" s="98">
        <v>1</v>
      </c>
      <c r="F16" s="97">
        <f>'⚪设计'!F157</f>
        <v>17.5</v>
      </c>
      <c r="G16" s="97" t="str">
        <f>IF(VLOOKUP($A16,'⚪设计'!$A$144:$N$193,7,FALSE)="","",VLOOKUP($A16,'⚪设计'!$A$144:$N$193,7,FALSE))</f>
        <v>种子1</v>
      </c>
      <c r="H16" s="97">
        <f t="shared" si="1"/>
        <v>9</v>
      </c>
      <c r="I16" s="97">
        <f>IF(VLOOKUP($A16,'⚪设计'!$A$144:$N$193,11,FALSE)="","",VLOOKUP($A16,'⚪设计'!$A$144:$N$193,11,FALSE))</f>
        <v>2</v>
      </c>
      <c r="J16" s="97">
        <f>IF(G16="","",ROUND($D16*'⚪设计'!$D157/(IF($G16="",0,VLOOKUP($G16,'⚪设计'!$B$85:$H$104,4,FALSE)*$H16)+IF($L16="",0,VLOOKUP($L16,'⚪设计'!$B$85:$H$104,4,FALSE)*$M16)+IF($Q16="",0,VLOOKUP($Q16,'⚪设计'!$B$85:$H$104,4,FALSE)*$R16)+IF($V16="",0,VLOOKUP($V16,'⚪设计'!$B$85:$H$104,4,FALSE)*$W16))*IF(G16="",0,VLOOKUP(G16,'⚪设计'!$B$85:$H$104,4,FALSE)),0))</f>
        <v>410</v>
      </c>
      <c r="K16" s="97">
        <f>IF(G16="","",ROUND(VLOOKUP($B16,战斗节奏!$A$4:$F$13,2,FALSE)/(IF($G16="",0,VLOOKUP($G16,'⚪设计'!$B$85:$H$104,5,FALSE)*$H16)+IF($L16="",0,VLOOKUP($L16,'⚪设计'!$B$85:$H$104,5,FALSE)*$M16)+IF($Q16="",0,VLOOKUP($Q16,'⚪设计'!$B$85:$H$104,5,FALSE)*$R16)+IF($V16="",0,VLOOKUP($V16,'⚪设计'!$B$85:$H$104,5,FALSE)*$W16))*IF(G16="",0,VLOOKUP(G16,'⚪设计'!$B$85:$H$104,5,FALSE)),0))</f>
        <v>12</v>
      </c>
      <c r="L16" s="97" t="str">
        <f>IF(VLOOKUP($A16,'⚪设计'!$A$144:$N$193,8,FALSE)="","",VLOOKUP($A16,'⚪设计'!$A$144:$N$193,8,FALSE))</f>
        <v>蝙蝠1</v>
      </c>
      <c r="M16" s="97">
        <f t="shared" si="2"/>
        <v>58</v>
      </c>
      <c r="N16" s="97">
        <f>IF(VLOOKUP($A16,'⚪设计'!$A$144:$N$193,12,FALSE)="","",VLOOKUP($A16,'⚪设计'!$A$144:$N$193,12,FALSE))</f>
        <v>0.3</v>
      </c>
      <c r="O16" s="97">
        <f>IF(L16="","",ROUND($D16*'⚪设计'!$D157/(IF($G16="",0,VLOOKUP($G16,'⚪设计'!$B$85:$H$104,4,FALSE)*$H16)+IF($L16="",0,VLOOKUP($L16,'⚪设计'!$B$85:$H$104,4,FALSE)*$M16)+IF($Q16="",0,VLOOKUP($Q16,'⚪设计'!$B$85:$H$104,4,FALSE)*$R16)+IF($V16="",0,VLOOKUP($V16,'⚪设计'!$B$85:$H$104,4,FALSE)*$W16))*IF(L16="",0,VLOOKUP(L16,'⚪设计'!$B$85:$H$104,4,FALSE)),0))</f>
        <v>68</v>
      </c>
      <c r="P16" s="97">
        <f>IF(L16="","",ROUND(VLOOKUP($B16,战斗节奏!$A$4:$F$13,2,FALSE)/(IF($G16="",0,VLOOKUP($G16,'⚪设计'!$B$85:$H$104,5,FALSE)*$H16)+IF($L16="",0,VLOOKUP($L16,'⚪设计'!$B$85:$H$104,5,FALSE)*$M16)+IF($Q16="",0,VLOOKUP($Q16,'⚪设计'!$B$85:$H$104,5,FALSE)*$R16)+IF($V16="",0,VLOOKUP($V16,'⚪设计'!$B$85:$H$104,5,FALSE)*$W16))*IF(L16="",0,VLOOKUP(L16,'⚪设计'!$B$85:$H$104,5,FALSE)),0))</f>
        <v>3</v>
      </c>
      <c r="Q16" s="97" t="str">
        <f>IF(VLOOKUP($A16,'⚪设计'!$A$144:$N$193,9,FALSE)="","",VLOOKUP($A16,'⚪设计'!$A$144:$N$193,9,FALSE))</f>
        <v>蜘蛛1</v>
      </c>
      <c r="R16" s="97">
        <f t="shared" si="3"/>
        <v>18</v>
      </c>
      <c r="S16" s="97">
        <f>IF(VLOOKUP($A16,'⚪设计'!$A$144:$N$193,13,FALSE)="","",VLOOKUP($A16,'⚪设计'!$A$144:$N$193,13,FALSE))</f>
        <v>1</v>
      </c>
      <c r="T16" s="97">
        <f>IF(Q16="","",ROUND($D16*'⚪设计'!$D157/(IF($G16="",0,VLOOKUP($G16,'⚪设计'!$B$85:$H$104,4,FALSE)*$H16)+IF($L16="",0,VLOOKUP($L16,'⚪设计'!$B$85:$H$104,4,FALSE)*$M16)+IF($Q16="",0,VLOOKUP($Q16,'⚪设计'!$B$85:$H$104,4,FALSE)*$R16)+IF($V16="",0,VLOOKUP($V16,'⚪设计'!$B$85:$H$104,4,FALSE)*$W16))*IF(Q16="",0,VLOOKUP(Q16,'⚪设计'!$B$85:$H$104,4,FALSE)),0))</f>
        <v>137</v>
      </c>
      <c r="U16" s="97">
        <f>IF(Q16="","",ROUND(VLOOKUP($B16,战斗节奏!$A$4:$F$13,2,FALSE)/(IF($G16="",0,VLOOKUP($G16,'⚪设计'!$B$85:$H$104,5,FALSE)*$H16)+IF($L16="",0,VLOOKUP($L16,'⚪设计'!$B$85:$H$104,5,FALSE)*$M16)+IF($Q16="",0,VLOOKUP($Q16,'⚪设计'!$B$85:$H$104,5,FALSE)*$R16)+IF($V16="",0,VLOOKUP($V16,'⚪设计'!$B$85:$H$104,5,FALSE)*$W16))*IF(Q16="",0,VLOOKUP(Q16,'⚪设计'!$B$85:$H$104,5,FALSE)),0))</f>
        <v>6</v>
      </c>
      <c r="V16" s="97" t="str">
        <f>IF(VLOOKUP($A16,'⚪设计'!$A$144:$N$193,10,FALSE)="","",VLOOKUP($A16,'⚪设计'!$A$144:$N$193,10,FALSE))</f>
        <v/>
      </c>
      <c r="W16" s="97" t="str">
        <f t="shared" si="4"/>
        <v/>
      </c>
      <c r="X16" s="97" t="str">
        <f>IF(VLOOKUP($A16,'⚪设计'!$A$144:$N$193,14,FALSE)="","",VLOOKUP($A16,'⚪设计'!$A$144:$N$193,14,FALSE))</f>
        <v/>
      </c>
      <c r="Y16" s="97" t="str">
        <f>IF(V16="","",ROUND($D16*'⚪设计'!$D157/(IF($G16="",0,VLOOKUP($G16,'⚪设计'!$B$85:$H$104,4,FALSE)*$H16)+IF($L16="",0,VLOOKUP($L16,'⚪设计'!$B$85:$H$104,4,FALSE)*$M16)+IF($Q16="",0,VLOOKUP($Q16,'⚪设计'!$B$85:$H$104,4,FALSE)*$R16)+IF($V16="",0,VLOOKUP($V16,'⚪设计'!$B$85:$H$104,4,FALSE)*$W16))*IF(V16="",0,VLOOKUP(V16,'⚪设计'!$B$85:$H$104,4,FALSE)),0))</f>
        <v/>
      </c>
      <c r="Z16" s="97" t="str">
        <f>IF(V16="","",ROUND(VLOOKUP($B16,战斗节奏!$A$4:$F$13,2,FALSE)/(IF($G16="",0,VLOOKUP($G16,'⚪设计'!$B$85:$H$104,5,FALSE)*$H16)+IF($L16="",0,VLOOKUP($L16,'⚪设计'!$B$85:$H$104,5,FALSE)*$M16)+IF($Q16="",0,VLOOKUP($Q16,'⚪设计'!$B$85:$H$104,5,FALSE)*$R16)+IF($V16="",0,VLOOKUP($V16,'⚪设计'!$B$85:$H$104,5,FALSE)*$W16))*IF(V16="",0,VLOOKUP(V16,'⚪设计'!$B$85:$H$104,5,FALSE)),0))</f>
        <v/>
      </c>
    </row>
    <row r="17" spans="1:26" x14ac:dyDescent="0.2">
      <c r="A17" s="2" t="str">
        <f t="shared" si="0"/>
        <v>3_5</v>
      </c>
      <c r="B17" s="2">
        <v>3</v>
      </c>
      <c r="C17" s="2">
        <v>5</v>
      </c>
      <c r="D17" s="97">
        <f>VLOOKUP(C17,无限模式!$A$3:$B$22,2,FALSE)</f>
        <v>5400</v>
      </c>
      <c r="E17" s="98">
        <v>1</v>
      </c>
      <c r="F17" s="97">
        <f>'⚪设计'!F158</f>
        <v>20</v>
      </c>
      <c r="G17" s="97" t="str">
        <f>IF(VLOOKUP($A17,'⚪设计'!$A$144:$N$193,7,FALSE)="","",VLOOKUP($A17,'⚪设计'!$A$144:$N$193,7,FALSE))</f>
        <v>种子1</v>
      </c>
      <c r="H17" s="97">
        <f t="shared" si="1"/>
        <v>13</v>
      </c>
      <c r="I17" s="97">
        <f>IF(VLOOKUP($A17,'⚪设计'!$A$144:$N$193,11,FALSE)="","",VLOOKUP($A17,'⚪设计'!$A$144:$N$193,11,FALSE))</f>
        <v>1.5</v>
      </c>
      <c r="J17" s="97">
        <f>IF(G17="","",ROUND($D17*'⚪设计'!$D158/(IF($G17="",0,VLOOKUP($G17,'⚪设计'!$B$85:$H$104,4,FALSE)*$H17)+IF($L17="",0,VLOOKUP($L17,'⚪设计'!$B$85:$H$104,4,FALSE)*$M17)+IF($Q17="",0,VLOOKUP($Q17,'⚪设计'!$B$85:$H$104,4,FALSE)*$R17)+IF($V17="",0,VLOOKUP($V17,'⚪设计'!$B$85:$H$104,4,FALSE)*$W17))*IF(G17="",0,VLOOKUP(G17,'⚪设计'!$B$85:$H$104,4,FALSE)),0))</f>
        <v>416</v>
      </c>
      <c r="K17" s="97">
        <f>IF(G17="","",ROUND(VLOOKUP($B17,战斗节奏!$A$4:$F$13,2,FALSE)/(IF($G17="",0,VLOOKUP($G17,'⚪设计'!$B$85:$H$104,5,FALSE)*$H17)+IF($L17="",0,VLOOKUP($L17,'⚪设计'!$B$85:$H$104,5,FALSE)*$M17)+IF($Q17="",0,VLOOKUP($Q17,'⚪设计'!$B$85:$H$104,5,FALSE)*$R17)+IF($V17="",0,VLOOKUP($V17,'⚪设计'!$B$85:$H$104,5,FALSE)*$W17))*IF(G17="",0,VLOOKUP(G17,'⚪设计'!$B$85:$H$104,5,FALSE)),0))</f>
        <v>6</v>
      </c>
      <c r="L17" s="97" t="str">
        <f>IF(VLOOKUP($A17,'⚪设计'!$A$144:$N$193,8,FALSE)="","",VLOOKUP($A17,'⚪设计'!$A$144:$N$193,8,FALSE))</f>
        <v>蜜蜂2</v>
      </c>
      <c r="M17" s="97">
        <f t="shared" si="2"/>
        <v>20</v>
      </c>
      <c r="N17" s="97">
        <f>IF(VLOOKUP($A17,'⚪设计'!$A$144:$N$193,12,FALSE)="","",VLOOKUP($A17,'⚪设计'!$A$144:$N$193,12,FALSE))</f>
        <v>1</v>
      </c>
      <c r="O17" s="97">
        <f>IF(L17="","",ROUND($D17*'⚪设计'!$D158/(IF($G17="",0,VLOOKUP($G17,'⚪设计'!$B$85:$H$104,4,FALSE)*$H17)+IF($L17="",0,VLOOKUP($L17,'⚪设计'!$B$85:$H$104,4,FALSE)*$M17)+IF($Q17="",0,VLOOKUP($Q17,'⚪设计'!$B$85:$H$104,4,FALSE)*$R17)+IF($V17="",0,VLOOKUP($V17,'⚪设计'!$B$85:$H$104,4,FALSE)*$W17))*IF(L17="",0,VLOOKUP(L17,'⚪设计'!$B$85:$H$104,4,FALSE)),0))</f>
        <v>277</v>
      </c>
      <c r="P17" s="97">
        <f>IF(L17="","",ROUND(VLOOKUP($B17,战斗节奏!$A$4:$F$13,2,FALSE)/(IF($G17="",0,VLOOKUP($G17,'⚪设计'!$B$85:$H$104,5,FALSE)*$H17)+IF($L17="",0,VLOOKUP($L17,'⚪设计'!$B$85:$H$104,5,FALSE)*$M17)+IF($Q17="",0,VLOOKUP($Q17,'⚪设计'!$B$85:$H$104,5,FALSE)*$R17)+IF($V17="",0,VLOOKUP($V17,'⚪设计'!$B$85:$H$104,5,FALSE)*$W17))*IF(L17="",0,VLOOKUP(L17,'⚪设计'!$B$85:$H$104,5,FALSE)),0))</f>
        <v>6</v>
      </c>
      <c r="Q17" s="97" t="str">
        <f>IF(VLOOKUP($A17,'⚪设计'!$A$144:$N$193,9,FALSE)="","",VLOOKUP($A17,'⚪设计'!$A$144:$N$193,9,FALSE))</f>
        <v>蜘蛛1</v>
      </c>
      <c r="R17" s="97">
        <f t="shared" si="3"/>
        <v>67</v>
      </c>
      <c r="S17" s="97">
        <f>IF(VLOOKUP($A17,'⚪设计'!$A$144:$N$193,13,FALSE)="","",VLOOKUP($A17,'⚪设计'!$A$144:$N$193,13,FALSE))</f>
        <v>0.3</v>
      </c>
      <c r="T17" s="97">
        <f>IF(Q17="","",ROUND($D17*'⚪设计'!$D158/(IF($G17="",0,VLOOKUP($G17,'⚪设计'!$B$85:$H$104,4,FALSE)*$H17)+IF($L17="",0,VLOOKUP($L17,'⚪设计'!$B$85:$H$104,4,FALSE)*$M17)+IF($Q17="",0,VLOOKUP($Q17,'⚪设计'!$B$85:$H$104,4,FALSE)*$R17)+IF($V17="",0,VLOOKUP($V17,'⚪设计'!$B$85:$H$104,4,FALSE)*$W17))*IF(Q17="",0,VLOOKUP(Q17,'⚪设计'!$B$85:$H$104,4,FALSE)),0))</f>
        <v>139</v>
      </c>
      <c r="U17" s="97">
        <f>IF(Q17="","",ROUND(VLOOKUP($B17,战斗节奏!$A$4:$F$13,2,FALSE)/(IF($G17="",0,VLOOKUP($G17,'⚪设计'!$B$85:$H$104,5,FALSE)*$H17)+IF($L17="",0,VLOOKUP($L17,'⚪设计'!$B$85:$H$104,5,FALSE)*$M17)+IF($Q17="",0,VLOOKUP($Q17,'⚪设计'!$B$85:$H$104,5,FALSE)*$R17)+IF($V17="",0,VLOOKUP($V17,'⚪设计'!$B$85:$H$104,5,FALSE)*$W17))*IF(Q17="",0,VLOOKUP(Q17,'⚪设计'!$B$85:$H$104,5,FALSE)),0))</f>
        <v>3</v>
      </c>
      <c r="V17" s="97" t="str">
        <f>IF(VLOOKUP($A17,'⚪设计'!$A$144:$N$193,10,FALSE)="","",VLOOKUP($A17,'⚪设计'!$A$144:$N$193,10,FALSE))</f>
        <v/>
      </c>
      <c r="W17" s="97" t="str">
        <f t="shared" si="4"/>
        <v/>
      </c>
      <c r="X17" s="97" t="str">
        <f>IF(VLOOKUP($A17,'⚪设计'!$A$144:$N$193,14,FALSE)="","",VLOOKUP($A17,'⚪设计'!$A$144:$N$193,14,FALSE))</f>
        <v/>
      </c>
      <c r="Y17" s="97" t="str">
        <f>IF(V17="","",ROUND($D17*'⚪设计'!$D158/(IF($G17="",0,VLOOKUP($G17,'⚪设计'!$B$85:$H$104,4,FALSE)*$H17)+IF($L17="",0,VLOOKUP($L17,'⚪设计'!$B$85:$H$104,4,FALSE)*$M17)+IF($Q17="",0,VLOOKUP($Q17,'⚪设计'!$B$85:$H$104,4,FALSE)*$R17)+IF($V17="",0,VLOOKUP($V17,'⚪设计'!$B$85:$H$104,4,FALSE)*$W17))*IF(V17="",0,VLOOKUP(V17,'⚪设计'!$B$85:$H$104,4,FALSE)),0))</f>
        <v/>
      </c>
      <c r="Z17" s="97" t="str">
        <f>IF(V17="","",ROUND(VLOOKUP($B17,战斗节奏!$A$4:$F$13,2,FALSE)/(IF($G17="",0,VLOOKUP($G17,'⚪设计'!$B$85:$H$104,5,FALSE)*$H17)+IF($L17="",0,VLOOKUP($L17,'⚪设计'!$B$85:$H$104,5,FALSE)*$M17)+IF($Q17="",0,VLOOKUP($Q17,'⚪设计'!$B$85:$H$104,5,FALSE)*$R17)+IF($V17="",0,VLOOKUP($V17,'⚪设计'!$B$85:$H$104,5,FALSE)*$W17))*IF(V17="",0,VLOOKUP(V17,'⚪设计'!$B$85:$H$104,5,FALSE)),0))</f>
        <v/>
      </c>
    </row>
    <row r="18" spans="1:26" x14ac:dyDescent="0.2">
      <c r="A18" s="2" t="str">
        <f t="shared" si="0"/>
        <v>4_1</v>
      </c>
      <c r="B18" s="2">
        <v>4</v>
      </c>
      <c r="C18" s="2">
        <v>1</v>
      </c>
      <c r="D18" s="97">
        <f>VLOOKUP(C18,无限模式!$A$3:$B$22,2,FALSE)</f>
        <v>900</v>
      </c>
      <c r="E18" s="98">
        <v>1</v>
      </c>
      <c r="F18" s="97">
        <f>'⚪设计'!F159</f>
        <v>10</v>
      </c>
      <c r="G18" s="97" t="str">
        <f>IF(VLOOKUP($A18,'⚪设计'!$A$144:$N$193,7,FALSE)="","",VLOOKUP($A18,'⚪设计'!$A$144:$N$193,7,FALSE))</f>
        <v>鬼1</v>
      </c>
      <c r="H18" s="97">
        <f t="shared" si="1"/>
        <v>7</v>
      </c>
      <c r="I18" s="97">
        <f>IF(VLOOKUP($A18,'⚪设计'!$A$144:$N$193,11,FALSE)="","",VLOOKUP($A18,'⚪设计'!$A$144:$N$193,11,FALSE))</f>
        <v>1.5</v>
      </c>
      <c r="J18" s="97">
        <f>IF(G18="","",ROUND($D18*'⚪设计'!$D159/(IF($G18="",0,VLOOKUP($G18,'⚪设计'!$B$85:$H$104,4,FALSE)*$H18)+IF($L18="",0,VLOOKUP($L18,'⚪设计'!$B$85:$H$104,4,FALSE)*$M18)+IF($Q18="",0,VLOOKUP($Q18,'⚪设计'!$B$85:$H$104,4,FALSE)*$R18)+IF($V18="",0,VLOOKUP($V18,'⚪设计'!$B$85:$H$104,4,FALSE)*$W18))*IF(G18="",0,VLOOKUP(G18,'⚪设计'!$B$85:$H$104,4,FALSE)),0))</f>
        <v>321</v>
      </c>
      <c r="K18" s="97">
        <f>IF(G18="","",ROUND(VLOOKUP($B18,战斗节奏!$A$4:$F$13,2,FALSE)/(IF($G18="",0,VLOOKUP($G18,'⚪设计'!$B$85:$H$104,5,FALSE)*$H18)+IF($L18="",0,VLOOKUP($L18,'⚪设计'!$B$85:$H$104,5,FALSE)*$M18)+IF($Q18="",0,VLOOKUP($Q18,'⚪设计'!$B$85:$H$104,5,FALSE)*$R18)+IF($V18="",0,VLOOKUP($V18,'⚪设计'!$B$85:$H$104,5,FALSE)*$W18))*IF(G18="",0,VLOOKUP(G18,'⚪设计'!$B$85:$H$104,5,FALSE)),0))</f>
        <v>79</v>
      </c>
      <c r="L18" s="97" t="str">
        <f>IF(VLOOKUP($A18,'⚪设计'!$A$144:$N$193,8,FALSE)="","",VLOOKUP($A18,'⚪设计'!$A$144:$N$193,8,FALSE))</f>
        <v/>
      </c>
      <c r="M18" s="97" t="str">
        <f t="shared" si="2"/>
        <v/>
      </c>
      <c r="N18" s="97" t="str">
        <f>IF(VLOOKUP($A18,'⚪设计'!$A$144:$N$193,12,FALSE)="","",VLOOKUP($A18,'⚪设计'!$A$144:$N$193,12,FALSE))</f>
        <v/>
      </c>
      <c r="O18" s="97" t="str">
        <f>IF(L18="","",ROUND($D18*'⚪设计'!$D159/(IF($G18="",0,VLOOKUP($G18,'⚪设计'!$B$85:$H$104,4,FALSE)*$H18)+IF($L18="",0,VLOOKUP($L18,'⚪设计'!$B$85:$H$104,4,FALSE)*$M18)+IF($Q18="",0,VLOOKUP($Q18,'⚪设计'!$B$85:$H$104,4,FALSE)*$R18)+IF($V18="",0,VLOOKUP($V18,'⚪设计'!$B$85:$H$104,4,FALSE)*$W18))*IF(L18="",0,VLOOKUP(L18,'⚪设计'!$B$85:$H$104,4,FALSE)),0))</f>
        <v/>
      </c>
      <c r="P18" s="97" t="str">
        <f>IF(L18="","",ROUND(VLOOKUP($B18,战斗节奏!$A$4:$F$13,2,FALSE)/(IF($G18="",0,VLOOKUP($G18,'⚪设计'!$B$85:$H$104,5,FALSE)*$H18)+IF($L18="",0,VLOOKUP($L18,'⚪设计'!$B$85:$H$104,5,FALSE)*$M18)+IF($Q18="",0,VLOOKUP($Q18,'⚪设计'!$B$85:$H$104,5,FALSE)*$R18)+IF($V18="",0,VLOOKUP($V18,'⚪设计'!$B$85:$H$104,5,FALSE)*$W18))*IF(L18="",0,VLOOKUP(L18,'⚪设计'!$B$85:$H$104,5,FALSE)),0))</f>
        <v/>
      </c>
      <c r="Q18" s="97" t="str">
        <f>IF(VLOOKUP($A18,'⚪设计'!$A$144:$N$193,9,FALSE)="","",VLOOKUP($A18,'⚪设计'!$A$144:$N$193,9,FALSE))</f>
        <v/>
      </c>
      <c r="R18" s="97" t="str">
        <f t="shared" si="3"/>
        <v/>
      </c>
      <c r="S18" s="97" t="str">
        <f>IF(VLOOKUP($A18,'⚪设计'!$A$144:$N$193,13,FALSE)="","",VLOOKUP($A18,'⚪设计'!$A$144:$N$193,13,FALSE))</f>
        <v/>
      </c>
      <c r="T18" s="97" t="str">
        <f>IF(Q18="","",ROUND($D18*'⚪设计'!$D159/(IF($G18="",0,VLOOKUP($G18,'⚪设计'!$B$85:$H$104,4,FALSE)*$H18)+IF($L18="",0,VLOOKUP($L18,'⚪设计'!$B$85:$H$104,4,FALSE)*$M18)+IF($Q18="",0,VLOOKUP($Q18,'⚪设计'!$B$85:$H$104,4,FALSE)*$R18)+IF($V18="",0,VLOOKUP($V18,'⚪设计'!$B$85:$H$104,4,FALSE)*$W18))*IF(Q18="",0,VLOOKUP(Q18,'⚪设计'!$B$85:$H$104,4,FALSE)),0))</f>
        <v/>
      </c>
      <c r="U18" s="97" t="str">
        <f>IF(Q18="","",ROUND(VLOOKUP($B18,战斗节奏!$A$4:$F$13,2,FALSE)/(IF($G18="",0,VLOOKUP($G18,'⚪设计'!$B$85:$H$104,5,FALSE)*$H18)+IF($L18="",0,VLOOKUP($L18,'⚪设计'!$B$85:$H$104,5,FALSE)*$M18)+IF($Q18="",0,VLOOKUP($Q18,'⚪设计'!$B$85:$H$104,5,FALSE)*$R18)+IF($V18="",0,VLOOKUP($V18,'⚪设计'!$B$85:$H$104,5,FALSE)*$W18))*IF(Q18="",0,VLOOKUP(Q18,'⚪设计'!$B$85:$H$104,5,FALSE)),0))</f>
        <v/>
      </c>
      <c r="V18" s="97" t="str">
        <f>IF(VLOOKUP($A18,'⚪设计'!$A$144:$N$193,10,FALSE)="","",VLOOKUP($A18,'⚪设计'!$A$144:$N$193,10,FALSE))</f>
        <v/>
      </c>
      <c r="W18" s="97" t="str">
        <f t="shared" si="4"/>
        <v/>
      </c>
      <c r="X18" s="97" t="str">
        <f>IF(VLOOKUP($A18,'⚪设计'!$A$144:$N$193,14,FALSE)="","",VLOOKUP($A18,'⚪设计'!$A$144:$N$193,14,FALSE))</f>
        <v/>
      </c>
      <c r="Y18" s="97" t="str">
        <f>IF(V18="","",ROUND($D18*'⚪设计'!$D159/(IF($G18="",0,VLOOKUP($G18,'⚪设计'!$B$85:$H$104,4,FALSE)*$H18)+IF($L18="",0,VLOOKUP($L18,'⚪设计'!$B$85:$H$104,4,FALSE)*$M18)+IF($Q18="",0,VLOOKUP($Q18,'⚪设计'!$B$85:$H$104,4,FALSE)*$R18)+IF($V18="",0,VLOOKUP($V18,'⚪设计'!$B$85:$H$104,4,FALSE)*$W18))*IF(V18="",0,VLOOKUP(V18,'⚪设计'!$B$85:$H$104,4,FALSE)),0))</f>
        <v/>
      </c>
      <c r="Z18" s="97" t="str">
        <f>IF(V18="","",ROUND(VLOOKUP($B18,战斗节奏!$A$4:$F$13,2,FALSE)/(IF($G18="",0,VLOOKUP($G18,'⚪设计'!$B$85:$H$104,5,FALSE)*$H18)+IF($L18="",0,VLOOKUP($L18,'⚪设计'!$B$85:$H$104,5,FALSE)*$M18)+IF($Q18="",0,VLOOKUP($Q18,'⚪设计'!$B$85:$H$104,5,FALSE)*$R18)+IF($V18="",0,VLOOKUP($V18,'⚪设计'!$B$85:$H$104,5,FALSE)*$W18))*IF(V18="",0,VLOOKUP(V18,'⚪设计'!$B$85:$H$104,5,FALSE)),0))</f>
        <v/>
      </c>
    </row>
    <row r="19" spans="1:26" x14ac:dyDescent="0.2">
      <c r="A19" s="2" t="str">
        <f t="shared" si="0"/>
        <v>4_2</v>
      </c>
      <c r="B19" s="2">
        <v>4</v>
      </c>
      <c r="C19" s="2">
        <v>2</v>
      </c>
      <c r="D19" s="97">
        <f>VLOOKUP(C19,无限模式!$A$3:$B$22,2,FALSE)</f>
        <v>1800</v>
      </c>
      <c r="E19" s="98">
        <v>1</v>
      </c>
      <c r="F19" s="97">
        <f>'⚪设计'!F160</f>
        <v>12.5</v>
      </c>
      <c r="G19" s="97" t="str">
        <f>IF(VLOOKUP($A19,'⚪设计'!$A$144:$N$193,7,FALSE)="","",VLOOKUP($A19,'⚪设计'!$A$144:$N$193,7,FALSE))</f>
        <v>鬼1</v>
      </c>
      <c r="H19" s="97">
        <f t="shared" si="1"/>
        <v>8</v>
      </c>
      <c r="I19" s="97">
        <f>IF(VLOOKUP($A19,'⚪设计'!$A$144:$N$193,11,FALSE)="","",VLOOKUP($A19,'⚪设计'!$A$144:$N$193,11,FALSE))</f>
        <v>1.5</v>
      </c>
      <c r="J19" s="97">
        <f>IF(G19="","",ROUND($D19*'⚪设计'!$D160/(IF($G19="",0,VLOOKUP($G19,'⚪设计'!$B$85:$H$104,4,FALSE)*$H19)+IF($L19="",0,VLOOKUP($L19,'⚪设计'!$B$85:$H$104,4,FALSE)*$M19)+IF($Q19="",0,VLOOKUP($Q19,'⚪设计'!$B$85:$H$104,4,FALSE)*$R19)+IF($V19="",0,VLOOKUP($V19,'⚪设计'!$B$85:$H$104,4,FALSE)*$W19))*IF(G19="",0,VLOOKUP(G19,'⚪设计'!$B$85:$H$104,4,FALSE)),0))</f>
        <v>233</v>
      </c>
      <c r="K19" s="97">
        <f>IF(G19="","",ROUND(VLOOKUP($B19,战斗节奏!$A$4:$F$13,2,FALSE)/(IF($G19="",0,VLOOKUP($G19,'⚪设计'!$B$85:$H$104,5,FALSE)*$H19)+IF($L19="",0,VLOOKUP($L19,'⚪设计'!$B$85:$H$104,5,FALSE)*$M19)+IF($Q19="",0,VLOOKUP($Q19,'⚪设计'!$B$85:$H$104,5,FALSE)*$R19)+IF($V19="",0,VLOOKUP($V19,'⚪设计'!$B$85:$H$104,5,FALSE)*$W19))*IF(G19="",0,VLOOKUP(G19,'⚪设计'!$B$85:$H$104,5,FALSE)),0))</f>
        <v>9</v>
      </c>
      <c r="L19" s="97" t="str">
        <f>IF(VLOOKUP($A19,'⚪设计'!$A$144:$N$193,8,FALSE)="","",VLOOKUP($A19,'⚪设计'!$A$144:$N$193,8,FALSE))</f>
        <v>蜜蜂2</v>
      </c>
      <c r="M19" s="97">
        <f t="shared" si="2"/>
        <v>25</v>
      </c>
      <c r="N19" s="97">
        <f>IF(VLOOKUP($A19,'⚪设计'!$A$144:$N$193,12,FALSE)="","",VLOOKUP($A19,'⚪设计'!$A$144:$N$193,12,FALSE))</f>
        <v>0.5</v>
      </c>
      <c r="O19" s="97">
        <f>IF(L19="","",ROUND($D19*'⚪设计'!$D160/(IF($G19="",0,VLOOKUP($G19,'⚪设计'!$B$85:$H$104,4,FALSE)*$H19)+IF($L19="",0,VLOOKUP($L19,'⚪设计'!$B$85:$H$104,4,FALSE)*$M19)+IF($Q19="",0,VLOOKUP($Q19,'⚪设计'!$B$85:$H$104,4,FALSE)*$R19)+IF($V19="",0,VLOOKUP($V19,'⚪设计'!$B$85:$H$104,4,FALSE)*$W19))*IF(L19="",0,VLOOKUP(L19,'⚪设计'!$B$85:$H$104,4,FALSE)),0))</f>
        <v>466</v>
      </c>
      <c r="P19" s="97">
        <f>IF(L19="","",ROUND(VLOOKUP($B19,战斗节奏!$A$4:$F$13,2,FALSE)/(IF($G19="",0,VLOOKUP($G19,'⚪设计'!$B$85:$H$104,5,FALSE)*$H19)+IF($L19="",0,VLOOKUP($L19,'⚪设计'!$B$85:$H$104,5,FALSE)*$M19)+IF($Q19="",0,VLOOKUP($Q19,'⚪设计'!$B$85:$H$104,5,FALSE)*$R19)+IF($V19="",0,VLOOKUP($V19,'⚪设计'!$B$85:$H$104,5,FALSE)*$W19))*IF(L19="",0,VLOOKUP(L19,'⚪设计'!$B$85:$H$104,5,FALSE)),0))</f>
        <v>19</v>
      </c>
      <c r="Q19" s="97" t="str">
        <f>IF(VLOOKUP($A19,'⚪设计'!$A$144:$N$193,9,FALSE)="","",VLOOKUP($A19,'⚪设计'!$A$144:$N$193,9,FALSE))</f>
        <v/>
      </c>
      <c r="R19" s="97" t="str">
        <f t="shared" si="3"/>
        <v/>
      </c>
      <c r="S19" s="97" t="str">
        <f>IF(VLOOKUP($A19,'⚪设计'!$A$144:$N$193,13,FALSE)="","",VLOOKUP($A19,'⚪设计'!$A$144:$N$193,13,FALSE))</f>
        <v/>
      </c>
      <c r="T19" s="97" t="str">
        <f>IF(Q19="","",ROUND($D19*'⚪设计'!$D160/(IF($G19="",0,VLOOKUP($G19,'⚪设计'!$B$85:$H$104,4,FALSE)*$H19)+IF($L19="",0,VLOOKUP($L19,'⚪设计'!$B$85:$H$104,4,FALSE)*$M19)+IF($Q19="",0,VLOOKUP($Q19,'⚪设计'!$B$85:$H$104,4,FALSE)*$R19)+IF($V19="",0,VLOOKUP($V19,'⚪设计'!$B$85:$H$104,4,FALSE)*$W19))*IF(Q19="",0,VLOOKUP(Q19,'⚪设计'!$B$85:$H$104,4,FALSE)),0))</f>
        <v/>
      </c>
      <c r="U19" s="97" t="str">
        <f>IF(Q19="","",ROUND(VLOOKUP($B19,战斗节奏!$A$4:$F$13,2,FALSE)/(IF($G19="",0,VLOOKUP($G19,'⚪设计'!$B$85:$H$104,5,FALSE)*$H19)+IF($L19="",0,VLOOKUP($L19,'⚪设计'!$B$85:$H$104,5,FALSE)*$M19)+IF($Q19="",0,VLOOKUP($Q19,'⚪设计'!$B$85:$H$104,5,FALSE)*$R19)+IF($V19="",0,VLOOKUP($V19,'⚪设计'!$B$85:$H$104,5,FALSE)*$W19))*IF(Q19="",0,VLOOKUP(Q19,'⚪设计'!$B$85:$H$104,5,FALSE)),0))</f>
        <v/>
      </c>
      <c r="V19" s="97" t="str">
        <f>IF(VLOOKUP($A19,'⚪设计'!$A$144:$N$193,10,FALSE)="","",VLOOKUP($A19,'⚪设计'!$A$144:$N$193,10,FALSE))</f>
        <v/>
      </c>
      <c r="W19" s="97" t="str">
        <f t="shared" si="4"/>
        <v/>
      </c>
      <c r="X19" s="97" t="str">
        <f>IF(VLOOKUP($A19,'⚪设计'!$A$144:$N$193,14,FALSE)="","",VLOOKUP($A19,'⚪设计'!$A$144:$N$193,14,FALSE))</f>
        <v/>
      </c>
      <c r="Y19" s="97" t="str">
        <f>IF(V19="","",ROUND($D19*'⚪设计'!$D160/(IF($G19="",0,VLOOKUP($G19,'⚪设计'!$B$85:$H$104,4,FALSE)*$H19)+IF($L19="",0,VLOOKUP($L19,'⚪设计'!$B$85:$H$104,4,FALSE)*$M19)+IF($Q19="",0,VLOOKUP($Q19,'⚪设计'!$B$85:$H$104,4,FALSE)*$R19)+IF($V19="",0,VLOOKUP($V19,'⚪设计'!$B$85:$H$104,4,FALSE)*$W19))*IF(V19="",0,VLOOKUP(V19,'⚪设计'!$B$85:$H$104,4,FALSE)),0))</f>
        <v/>
      </c>
      <c r="Z19" s="97" t="str">
        <f>IF(V19="","",ROUND(VLOOKUP($B19,战斗节奏!$A$4:$F$13,2,FALSE)/(IF($G19="",0,VLOOKUP($G19,'⚪设计'!$B$85:$H$104,5,FALSE)*$H19)+IF($L19="",0,VLOOKUP($L19,'⚪设计'!$B$85:$H$104,5,FALSE)*$M19)+IF($Q19="",0,VLOOKUP($Q19,'⚪设计'!$B$85:$H$104,5,FALSE)*$R19)+IF($V19="",0,VLOOKUP($V19,'⚪设计'!$B$85:$H$104,5,FALSE)*$W19))*IF(V19="",0,VLOOKUP(V19,'⚪设计'!$B$85:$H$104,5,FALSE)),0))</f>
        <v/>
      </c>
    </row>
    <row r="20" spans="1:26" x14ac:dyDescent="0.2">
      <c r="A20" s="2" t="str">
        <f t="shared" si="0"/>
        <v>4_3</v>
      </c>
      <c r="B20" s="2">
        <v>4</v>
      </c>
      <c r="C20" s="2">
        <v>3</v>
      </c>
      <c r="D20" s="97">
        <f>VLOOKUP(C20,无限模式!$A$3:$B$22,2,FALSE)</f>
        <v>3600</v>
      </c>
      <c r="E20" s="98">
        <v>1</v>
      </c>
      <c r="F20" s="97">
        <f>'⚪设计'!F161</f>
        <v>15</v>
      </c>
      <c r="G20" s="97" t="str">
        <f>IF(VLOOKUP($A20,'⚪设计'!$A$144:$N$193,7,FALSE)="","",VLOOKUP($A20,'⚪设计'!$A$144:$N$193,7,FALSE))</f>
        <v>鬼1</v>
      </c>
      <c r="H20" s="97">
        <f t="shared" si="1"/>
        <v>10</v>
      </c>
      <c r="I20" s="97">
        <f>IF(VLOOKUP($A20,'⚪设计'!$A$144:$N$193,11,FALSE)="","",VLOOKUP($A20,'⚪设计'!$A$144:$N$193,11,FALSE))</f>
        <v>1.5</v>
      </c>
      <c r="J20" s="97">
        <f>IF(G20="","",ROUND($D20*'⚪设计'!$D161/(IF($G20="",0,VLOOKUP($G20,'⚪设计'!$B$85:$H$104,4,FALSE)*$H20)+IF($L20="",0,VLOOKUP($L20,'⚪设计'!$B$85:$H$104,4,FALSE)*$M20)+IF($Q20="",0,VLOOKUP($Q20,'⚪设计'!$B$85:$H$104,4,FALSE)*$R20)+IF($V20="",0,VLOOKUP($V20,'⚪设计'!$B$85:$H$104,4,FALSE)*$W20))*IF(G20="",0,VLOOKUP(G20,'⚪设计'!$B$85:$H$104,4,FALSE)),0))</f>
        <v>1023</v>
      </c>
      <c r="K20" s="97">
        <f>IF(G20="","",ROUND(VLOOKUP($B20,战斗节奏!$A$4:$F$13,2,FALSE)/(IF($G20="",0,VLOOKUP($G20,'⚪设计'!$B$85:$H$104,5,FALSE)*$H20)+IF($L20="",0,VLOOKUP($L20,'⚪设计'!$B$85:$H$104,5,FALSE)*$M20)+IF($Q20="",0,VLOOKUP($Q20,'⚪设计'!$B$85:$H$104,5,FALSE)*$R20)+IF($V20="",0,VLOOKUP($V20,'⚪设计'!$B$85:$H$104,5,FALSE)*$W20))*IF(G20="",0,VLOOKUP(G20,'⚪设计'!$B$85:$H$104,5,FALSE)),0))</f>
        <v>12</v>
      </c>
      <c r="L20" s="97" t="str">
        <f>IF(VLOOKUP($A20,'⚪设计'!$A$144:$N$193,8,FALSE)="","",VLOOKUP($A20,'⚪设计'!$A$144:$N$193,8,FALSE))</f>
        <v>蝙蝠1</v>
      </c>
      <c r="M20" s="97">
        <f t="shared" si="2"/>
        <v>75</v>
      </c>
      <c r="N20" s="97">
        <f>IF(VLOOKUP($A20,'⚪设计'!$A$144:$N$193,12,FALSE)="","",VLOOKUP($A20,'⚪设计'!$A$144:$N$193,12,FALSE))</f>
        <v>0.2</v>
      </c>
      <c r="O20" s="97">
        <f>IF(L20="","",ROUND($D20*'⚪设计'!$D161/(IF($G20="",0,VLOOKUP($G20,'⚪设计'!$B$85:$H$104,4,FALSE)*$H20)+IF($L20="",0,VLOOKUP($L20,'⚪设计'!$B$85:$H$104,4,FALSE)*$M20)+IF($Q20="",0,VLOOKUP($Q20,'⚪设计'!$B$85:$H$104,4,FALSE)*$R20)+IF($V20="",0,VLOOKUP($V20,'⚪设计'!$B$85:$H$104,4,FALSE)*$W20))*IF(L20="",0,VLOOKUP(L20,'⚪设计'!$B$85:$H$104,4,FALSE)),0))</f>
        <v>512</v>
      </c>
      <c r="P20" s="97">
        <f>IF(L20="","",ROUND(VLOOKUP($B20,战斗节奏!$A$4:$F$13,2,FALSE)/(IF($G20="",0,VLOOKUP($G20,'⚪设计'!$B$85:$H$104,5,FALSE)*$H20)+IF($L20="",0,VLOOKUP($L20,'⚪设计'!$B$85:$H$104,5,FALSE)*$M20)+IF($Q20="",0,VLOOKUP($Q20,'⚪设计'!$B$85:$H$104,5,FALSE)*$R20)+IF($V20="",0,VLOOKUP($V20,'⚪设计'!$B$85:$H$104,5,FALSE)*$W20))*IF(L20="",0,VLOOKUP(L20,'⚪设计'!$B$85:$H$104,5,FALSE)),0))</f>
        <v>6</v>
      </c>
      <c r="Q20" s="97" t="str">
        <f>IF(VLOOKUP($A20,'⚪设计'!$A$144:$N$193,9,FALSE)="","",VLOOKUP($A20,'⚪设计'!$A$144:$N$193,9,FALSE))</f>
        <v/>
      </c>
      <c r="R20" s="97" t="str">
        <f t="shared" si="3"/>
        <v/>
      </c>
      <c r="S20" s="97" t="str">
        <f>IF(VLOOKUP($A20,'⚪设计'!$A$144:$N$193,13,FALSE)="","",VLOOKUP($A20,'⚪设计'!$A$144:$N$193,13,FALSE))</f>
        <v/>
      </c>
      <c r="T20" s="97" t="str">
        <f>IF(Q20="","",ROUND($D20*'⚪设计'!$D161/(IF($G20="",0,VLOOKUP($G20,'⚪设计'!$B$85:$H$104,4,FALSE)*$H20)+IF($L20="",0,VLOOKUP($L20,'⚪设计'!$B$85:$H$104,4,FALSE)*$M20)+IF($Q20="",0,VLOOKUP($Q20,'⚪设计'!$B$85:$H$104,4,FALSE)*$R20)+IF($V20="",0,VLOOKUP($V20,'⚪设计'!$B$85:$H$104,4,FALSE)*$W20))*IF(Q20="",0,VLOOKUP(Q20,'⚪设计'!$B$85:$H$104,4,FALSE)),0))</f>
        <v/>
      </c>
      <c r="U20" s="97" t="str">
        <f>IF(Q20="","",ROUND(VLOOKUP($B20,战斗节奏!$A$4:$F$13,2,FALSE)/(IF($G20="",0,VLOOKUP($G20,'⚪设计'!$B$85:$H$104,5,FALSE)*$H20)+IF($L20="",0,VLOOKUP($L20,'⚪设计'!$B$85:$H$104,5,FALSE)*$M20)+IF($Q20="",0,VLOOKUP($Q20,'⚪设计'!$B$85:$H$104,5,FALSE)*$R20)+IF($V20="",0,VLOOKUP($V20,'⚪设计'!$B$85:$H$104,5,FALSE)*$W20))*IF(Q20="",0,VLOOKUP(Q20,'⚪设计'!$B$85:$H$104,5,FALSE)),0))</f>
        <v/>
      </c>
      <c r="V20" s="97" t="str">
        <f>IF(VLOOKUP($A20,'⚪设计'!$A$144:$N$193,10,FALSE)="","",VLOOKUP($A20,'⚪设计'!$A$144:$N$193,10,FALSE))</f>
        <v/>
      </c>
      <c r="W20" s="97" t="str">
        <f t="shared" si="4"/>
        <v/>
      </c>
      <c r="X20" s="97" t="str">
        <f>IF(VLOOKUP($A20,'⚪设计'!$A$144:$N$193,14,FALSE)="","",VLOOKUP($A20,'⚪设计'!$A$144:$N$193,14,FALSE))</f>
        <v/>
      </c>
      <c r="Y20" s="97" t="str">
        <f>IF(V20="","",ROUND($D20*'⚪设计'!$D161/(IF($G20="",0,VLOOKUP($G20,'⚪设计'!$B$85:$H$104,4,FALSE)*$H20)+IF($L20="",0,VLOOKUP($L20,'⚪设计'!$B$85:$H$104,4,FALSE)*$M20)+IF($Q20="",0,VLOOKUP($Q20,'⚪设计'!$B$85:$H$104,4,FALSE)*$R20)+IF($V20="",0,VLOOKUP($V20,'⚪设计'!$B$85:$H$104,4,FALSE)*$W20))*IF(V20="",0,VLOOKUP(V20,'⚪设计'!$B$85:$H$104,4,FALSE)),0))</f>
        <v/>
      </c>
      <c r="Z20" s="97" t="str">
        <f>IF(V20="","",ROUND(VLOOKUP($B20,战斗节奏!$A$4:$F$13,2,FALSE)/(IF($G20="",0,VLOOKUP($G20,'⚪设计'!$B$85:$H$104,5,FALSE)*$H20)+IF($L20="",0,VLOOKUP($L20,'⚪设计'!$B$85:$H$104,5,FALSE)*$M20)+IF($Q20="",0,VLOOKUP($Q20,'⚪设计'!$B$85:$H$104,5,FALSE)*$R20)+IF($V20="",0,VLOOKUP($V20,'⚪设计'!$B$85:$H$104,5,FALSE)*$W20))*IF(V20="",0,VLOOKUP(V20,'⚪设计'!$B$85:$H$104,5,FALSE)),0))</f>
        <v/>
      </c>
    </row>
    <row r="21" spans="1:26" x14ac:dyDescent="0.2">
      <c r="A21" s="2" t="str">
        <f t="shared" si="0"/>
        <v>4_4</v>
      </c>
      <c r="B21" s="2">
        <v>4</v>
      </c>
      <c r="C21" s="2">
        <v>4</v>
      </c>
      <c r="D21" s="97">
        <f>VLOOKUP(C21,无限模式!$A$3:$B$22,2,FALSE)</f>
        <v>4500</v>
      </c>
      <c r="E21" s="98">
        <v>1</v>
      </c>
      <c r="F21" s="97">
        <f>'⚪设计'!F162</f>
        <v>17.5</v>
      </c>
      <c r="G21" s="97" t="str">
        <f>IF(VLOOKUP($A21,'⚪设计'!$A$144:$N$193,7,FALSE)="","",VLOOKUP($A21,'⚪设计'!$A$144:$N$193,7,FALSE))</f>
        <v>鬼1</v>
      </c>
      <c r="H21" s="97">
        <f t="shared" si="1"/>
        <v>12</v>
      </c>
      <c r="I21" s="97">
        <f>IF(VLOOKUP($A21,'⚪设计'!$A$144:$N$193,11,FALSE)="","",VLOOKUP($A21,'⚪设计'!$A$144:$N$193,11,FALSE))</f>
        <v>1.5</v>
      </c>
      <c r="J21" s="97">
        <f>IF(G21="","",ROUND($D21*'⚪设计'!$D162/(IF($G21="",0,VLOOKUP($G21,'⚪设计'!$B$85:$H$104,4,FALSE)*$H21)+IF($L21="",0,VLOOKUP($L21,'⚪设计'!$B$85:$H$104,4,FALSE)*$M21)+IF($Q21="",0,VLOOKUP($Q21,'⚪设计'!$B$85:$H$104,4,FALSE)*$R21)+IF($V21="",0,VLOOKUP($V21,'⚪设计'!$B$85:$H$104,4,FALSE)*$W21))*IF(G21="",0,VLOOKUP(G21,'⚪设计'!$B$85:$H$104,4,FALSE)),0))</f>
        <v>241</v>
      </c>
      <c r="K21" s="97">
        <f>IF(G21="","",ROUND(VLOOKUP($B21,战斗节奏!$A$4:$F$13,2,FALSE)/(IF($G21="",0,VLOOKUP($G21,'⚪设计'!$B$85:$H$104,5,FALSE)*$H21)+IF($L21="",0,VLOOKUP($L21,'⚪设计'!$B$85:$H$104,5,FALSE)*$M21)+IF($Q21="",0,VLOOKUP($Q21,'⚪设计'!$B$85:$H$104,5,FALSE)*$R21)+IF($V21="",0,VLOOKUP($V21,'⚪设计'!$B$85:$H$104,5,FALSE)*$W21))*IF(G21="",0,VLOOKUP(G21,'⚪设计'!$B$85:$H$104,5,FALSE)),0))</f>
        <v>10</v>
      </c>
      <c r="L21" s="97" t="str">
        <f>IF(VLOOKUP($A21,'⚪设计'!$A$144:$N$193,8,FALSE)="","",VLOOKUP($A21,'⚪设计'!$A$144:$N$193,8,FALSE))</f>
        <v>蜘蛛1</v>
      </c>
      <c r="M21" s="97">
        <f t="shared" si="2"/>
        <v>44</v>
      </c>
      <c r="N21" s="97">
        <f>IF(VLOOKUP($A21,'⚪设计'!$A$144:$N$193,12,FALSE)="","",VLOOKUP($A21,'⚪设计'!$A$144:$N$193,12,FALSE))</f>
        <v>0.4</v>
      </c>
      <c r="O21" s="97">
        <f>IF(L21="","",ROUND($D21*'⚪设计'!$D162/(IF($G21="",0,VLOOKUP($G21,'⚪设计'!$B$85:$H$104,4,FALSE)*$H21)+IF($L21="",0,VLOOKUP($L21,'⚪设计'!$B$85:$H$104,4,FALSE)*$M21)+IF($Q21="",0,VLOOKUP($Q21,'⚪设计'!$B$85:$H$104,4,FALSE)*$R21)+IF($V21="",0,VLOOKUP($V21,'⚪设计'!$B$85:$H$104,4,FALSE)*$W21))*IF(L21="",0,VLOOKUP(L21,'⚪设计'!$B$85:$H$104,4,FALSE)),0))</f>
        <v>241</v>
      </c>
      <c r="P21" s="97">
        <f>IF(L21="","",ROUND(VLOOKUP($B21,战斗节奏!$A$4:$F$13,2,FALSE)/(IF($G21="",0,VLOOKUP($G21,'⚪设计'!$B$85:$H$104,5,FALSE)*$H21)+IF($L21="",0,VLOOKUP($L21,'⚪设计'!$B$85:$H$104,5,FALSE)*$M21)+IF($Q21="",0,VLOOKUP($Q21,'⚪设计'!$B$85:$H$104,5,FALSE)*$R21)+IF($V21="",0,VLOOKUP($V21,'⚪设计'!$B$85:$H$104,5,FALSE)*$W21))*IF(L21="",0,VLOOKUP(L21,'⚪设计'!$B$85:$H$104,5,FALSE)),0))</f>
        <v>10</v>
      </c>
      <c r="Q21" s="97" t="str">
        <f>IF(VLOOKUP($A21,'⚪设计'!$A$144:$N$193,9,FALSE)="","",VLOOKUP($A21,'⚪设计'!$A$144:$N$193,9,FALSE))</f>
        <v/>
      </c>
      <c r="R21" s="97" t="str">
        <f t="shared" si="3"/>
        <v/>
      </c>
      <c r="S21" s="97" t="str">
        <f>IF(VLOOKUP($A21,'⚪设计'!$A$144:$N$193,13,FALSE)="","",VLOOKUP($A21,'⚪设计'!$A$144:$N$193,13,FALSE))</f>
        <v/>
      </c>
      <c r="T21" s="97" t="str">
        <f>IF(Q21="","",ROUND($D21*'⚪设计'!$D162/(IF($G21="",0,VLOOKUP($G21,'⚪设计'!$B$85:$H$104,4,FALSE)*$H21)+IF($L21="",0,VLOOKUP($L21,'⚪设计'!$B$85:$H$104,4,FALSE)*$M21)+IF($Q21="",0,VLOOKUP($Q21,'⚪设计'!$B$85:$H$104,4,FALSE)*$R21)+IF($V21="",0,VLOOKUP($V21,'⚪设计'!$B$85:$H$104,4,FALSE)*$W21))*IF(Q21="",0,VLOOKUP(Q21,'⚪设计'!$B$85:$H$104,4,FALSE)),0))</f>
        <v/>
      </c>
      <c r="U21" s="97" t="str">
        <f>IF(Q21="","",ROUND(VLOOKUP($B21,战斗节奏!$A$4:$F$13,2,FALSE)/(IF($G21="",0,VLOOKUP($G21,'⚪设计'!$B$85:$H$104,5,FALSE)*$H21)+IF($L21="",0,VLOOKUP($L21,'⚪设计'!$B$85:$H$104,5,FALSE)*$M21)+IF($Q21="",0,VLOOKUP($Q21,'⚪设计'!$B$85:$H$104,5,FALSE)*$R21)+IF($V21="",0,VLOOKUP($V21,'⚪设计'!$B$85:$H$104,5,FALSE)*$W21))*IF(Q21="",0,VLOOKUP(Q21,'⚪设计'!$B$85:$H$104,5,FALSE)),0))</f>
        <v/>
      </c>
      <c r="V21" s="97" t="str">
        <f>IF(VLOOKUP($A21,'⚪设计'!$A$144:$N$193,10,FALSE)="","",VLOOKUP($A21,'⚪设计'!$A$144:$N$193,10,FALSE))</f>
        <v/>
      </c>
      <c r="W21" s="97" t="str">
        <f t="shared" si="4"/>
        <v/>
      </c>
      <c r="X21" s="97" t="str">
        <f>IF(VLOOKUP($A21,'⚪设计'!$A$144:$N$193,14,FALSE)="","",VLOOKUP($A21,'⚪设计'!$A$144:$N$193,14,FALSE))</f>
        <v/>
      </c>
      <c r="Y21" s="97" t="str">
        <f>IF(V21="","",ROUND($D21*'⚪设计'!$D162/(IF($G21="",0,VLOOKUP($G21,'⚪设计'!$B$85:$H$104,4,FALSE)*$H21)+IF($L21="",0,VLOOKUP($L21,'⚪设计'!$B$85:$H$104,4,FALSE)*$M21)+IF($Q21="",0,VLOOKUP($Q21,'⚪设计'!$B$85:$H$104,4,FALSE)*$R21)+IF($V21="",0,VLOOKUP($V21,'⚪设计'!$B$85:$H$104,4,FALSE)*$W21))*IF(V21="",0,VLOOKUP(V21,'⚪设计'!$B$85:$H$104,4,FALSE)),0))</f>
        <v/>
      </c>
      <c r="Z21" s="97" t="str">
        <f>IF(V21="","",ROUND(VLOOKUP($B21,战斗节奏!$A$4:$F$13,2,FALSE)/(IF($G21="",0,VLOOKUP($G21,'⚪设计'!$B$85:$H$104,5,FALSE)*$H21)+IF($L21="",0,VLOOKUP($L21,'⚪设计'!$B$85:$H$104,5,FALSE)*$M21)+IF($Q21="",0,VLOOKUP($Q21,'⚪设计'!$B$85:$H$104,5,FALSE)*$R21)+IF($V21="",0,VLOOKUP($V21,'⚪设计'!$B$85:$H$104,5,FALSE)*$W21))*IF(V21="",0,VLOOKUP(V21,'⚪设计'!$B$85:$H$104,5,FALSE)),0))</f>
        <v/>
      </c>
    </row>
    <row r="22" spans="1:26" x14ac:dyDescent="0.2">
      <c r="A22" s="2" t="str">
        <f t="shared" si="0"/>
        <v>4_5</v>
      </c>
      <c r="B22" s="2">
        <v>4</v>
      </c>
      <c r="C22" s="2">
        <v>5</v>
      </c>
      <c r="D22" s="97">
        <f>VLOOKUP(C22,无限模式!$A$3:$B$22,2,FALSE)</f>
        <v>5400</v>
      </c>
      <c r="E22" s="98">
        <v>1</v>
      </c>
      <c r="F22" s="97">
        <f>'⚪设计'!F163</f>
        <v>20</v>
      </c>
      <c r="G22" s="97" t="str">
        <f>IF(VLOOKUP($A22,'⚪设计'!$A$144:$N$193,7,FALSE)="","",VLOOKUP($A22,'⚪设计'!$A$144:$N$193,7,FALSE))</f>
        <v>鬼1</v>
      </c>
      <c r="H22" s="97">
        <f t="shared" si="1"/>
        <v>40</v>
      </c>
      <c r="I22" s="97">
        <f>IF(VLOOKUP($A22,'⚪设计'!$A$144:$N$193,11,FALSE)="","",VLOOKUP($A22,'⚪设计'!$A$144:$N$193,11,FALSE))</f>
        <v>0.5</v>
      </c>
      <c r="J22" s="97">
        <f>IF(G22="","",ROUND($D22*'⚪设计'!$D163/(IF($G22="",0,VLOOKUP($G22,'⚪设计'!$B$85:$H$104,4,FALSE)*$H22)+IF($L22="",0,VLOOKUP($L22,'⚪设计'!$B$85:$H$104,4,FALSE)*$M22)+IF($Q22="",0,VLOOKUP($Q22,'⚪设计'!$B$85:$H$104,4,FALSE)*$R22)+IF($V22="",0,VLOOKUP($V22,'⚪设计'!$B$85:$H$104,4,FALSE)*$W22))*IF(G22="",0,VLOOKUP(G22,'⚪设计'!$B$85:$H$104,4,FALSE)),0))</f>
        <v>231</v>
      </c>
      <c r="K22" s="97">
        <f>IF(G22="","",ROUND(VLOOKUP($B22,战斗节奏!$A$4:$F$13,2,FALSE)/(IF($G22="",0,VLOOKUP($G22,'⚪设计'!$B$85:$H$104,5,FALSE)*$H22)+IF($L22="",0,VLOOKUP($L22,'⚪设计'!$B$85:$H$104,5,FALSE)*$M22)+IF($Q22="",0,VLOOKUP($Q22,'⚪设计'!$B$85:$H$104,5,FALSE)*$R22)+IF($V22="",0,VLOOKUP($V22,'⚪设计'!$B$85:$H$104,5,FALSE)*$W22))*IF(G22="",0,VLOOKUP(G22,'⚪设计'!$B$85:$H$104,5,FALSE)),0))</f>
        <v>9</v>
      </c>
      <c r="L22" s="97" t="str">
        <f>IF(VLOOKUP($A22,'⚪设计'!$A$144:$N$193,8,FALSE)="","",VLOOKUP($A22,'⚪设计'!$A$144:$N$193,8,FALSE))</f>
        <v>种子1</v>
      </c>
      <c r="M22" s="97">
        <f t="shared" si="2"/>
        <v>10</v>
      </c>
      <c r="N22" s="97">
        <f>IF(VLOOKUP($A22,'⚪设计'!$A$144:$N$193,12,FALSE)="","",VLOOKUP($A22,'⚪设计'!$A$144:$N$193,12,FALSE))</f>
        <v>2</v>
      </c>
      <c r="O22" s="97">
        <f>IF(L22="","",ROUND($D22*'⚪设计'!$D163/(IF($G22="",0,VLOOKUP($G22,'⚪设计'!$B$85:$H$104,4,FALSE)*$H22)+IF($L22="",0,VLOOKUP($L22,'⚪设计'!$B$85:$H$104,4,FALSE)*$M22)+IF($Q22="",0,VLOOKUP($Q22,'⚪设计'!$B$85:$H$104,4,FALSE)*$R22)+IF($V22="",0,VLOOKUP($V22,'⚪设计'!$B$85:$H$104,4,FALSE)*$W22))*IF(L22="",0,VLOOKUP(L22,'⚪设计'!$B$85:$H$104,4,FALSE)),0))</f>
        <v>694</v>
      </c>
      <c r="P22" s="97">
        <f>IF(L22="","",ROUND(VLOOKUP($B22,战斗节奏!$A$4:$F$13,2,FALSE)/(IF($G22="",0,VLOOKUP($G22,'⚪设计'!$B$85:$H$104,5,FALSE)*$H22)+IF($L22="",0,VLOOKUP($L22,'⚪设计'!$B$85:$H$104,5,FALSE)*$M22)+IF($Q22="",0,VLOOKUP($Q22,'⚪设计'!$B$85:$H$104,5,FALSE)*$R22)+IF($V22="",0,VLOOKUP($V22,'⚪设计'!$B$85:$H$104,5,FALSE)*$W22))*IF(L22="",0,VLOOKUP(L22,'⚪设计'!$B$85:$H$104,5,FALSE)),0))</f>
        <v>18</v>
      </c>
      <c r="Q22" s="97" t="str">
        <f>IF(VLOOKUP($A22,'⚪设计'!$A$144:$N$193,9,FALSE)="","",VLOOKUP($A22,'⚪设计'!$A$144:$N$193,9,FALSE))</f>
        <v/>
      </c>
      <c r="R22" s="97" t="str">
        <f t="shared" si="3"/>
        <v/>
      </c>
      <c r="S22" s="97" t="str">
        <f>IF(VLOOKUP($A22,'⚪设计'!$A$144:$N$193,13,FALSE)="","",VLOOKUP($A22,'⚪设计'!$A$144:$N$193,13,FALSE))</f>
        <v/>
      </c>
      <c r="T22" s="97" t="str">
        <f>IF(Q22="","",ROUND($D22*'⚪设计'!$D163/(IF($G22="",0,VLOOKUP($G22,'⚪设计'!$B$85:$H$104,4,FALSE)*$H22)+IF($L22="",0,VLOOKUP($L22,'⚪设计'!$B$85:$H$104,4,FALSE)*$M22)+IF($Q22="",0,VLOOKUP($Q22,'⚪设计'!$B$85:$H$104,4,FALSE)*$R22)+IF($V22="",0,VLOOKUP($V22,'⚪设计'!$B$85:$H$104,4,FALSE)*$W22))*IF(Q22="",0,VLOOKUP(Q22,'⚪设计'!$B$85:$H$104,4,FALSE)),0))</f>
        <v/>
      </c>
      <c r="U22" s="97" t="str">
        <f>IF(Q22="","",ROUND(VLOOKUP($B22,战斗节奏!$A$4:$F$13,2,FALSE)/(IF($G22="",0,VLOOKUP($G22,'⚪设计'!$B$85:$H$104,5,FALSE)*$H22)+IF($L22="",0,VLOOKUP($L22,'⚪设计'!$B$85:$H$104,5,FALSE)*$M22)+IF($Q22="",0,VLOOKUP($Q22,'⚪设计'!$B$85:$H$104,5,FALSE)*$R22)+IF($V22="",0,VLOOKUP($V22,'⚪设计'!$B$85:$H$104,5,FALSE)*$W22))*IF(Q22="",0,VLOOKUP(Q22,'⚪设计'!$B$85:$H$104,5,FALSE)),0))</f>
        <v/>
      </c>
      <c r="V22" s="97" t="str">
        <f>IF(VLOOKUP($A22,'⚪设计'!$A$144:$N$193,10,FALSE)="","",VLOOKUP($A22,'⚪设计'!$A$144:$N$193,10,FALSE))</f>
        <v/>
      </c>
      <c r="W22" s="97" t="str">
        <f t="shared" si="4"/>
        <v/>
      </c>
      <c r="X22" s="97" t="str">
        <f>IF(VLOOKUP($A22,'⚪设计'!$A$144:$N$193,14,FALSE)="","",VLOOKUP($A22,'⚪设计'!$A$144:$N$193,14,FALSE))</f>
        <v/>
      </c>
      <c r="Y22" s="97" t="str">
        <f>IF(V22="","",ROUND($D22*'⚪设计'!$D163/(IF($G22="",0,VLOOKUP($G22,'⚪设计'!$B$85:$H$104,4,FALSE)*$H22)+IF($L22="",0,VLOOKUP($L22,'⚪设计'!$B$85:$H$104,4,FALSE)*$M22)+IF($Q22="",0,VLOOKUP($Q22,'⚪设计'!$B$85:$H$104,4,FALSE)*$R22)+IF($V22="",0,VLOOKUP($V22,'⚪设计'!$B$85:$H$104,4,FALSE)*$W22))*IF(V22="",0,VLOOKUP(V22,'⚪设计'!$B$85:$H$104,4,FALSE)),0))</f>
        <v/>
      </c>
      <c r="Z22" s="97" t="str">
        <f>IF(V22="","",ROUND(VLOOKUP($B22,战斗节奏!$A$4:$F$13,2,FALSE)/(IF($G22="",0,VLOOKUP($G22,'⚪设计'!$B$85:$H$104,5,FALSE)*$H22)+IF($L22="",0,VLOOKUP($L22,'⚪设计'!$B$85:$H$104,5,FALSE)*$M22)+IF($Q22="",0,VLOOKUP($Q22,'⚪设计'!$B$85:$H$104,5,FALSE)*$R22)+IF($V22="",0,VLOOKUP($V22,'⚪设计'!$B$85:$H$104,5,FALSE)*$W22))*IF(V22="",0,VLOOKUP(V22,'⚪设计'!$B$85:$H$104,5,FALSE)),0))</f>
        <v/>
      </c>
    </row>
    <row r="23" spans="1:26" x14ac:dyDescent="0.2">
      <c r="A23" s="2" t="str">
        <f t="shared" si="0"/>
        <v>5_1</v>
      </c>
      <c r="B23" s="2">
        <v>5</v>
      </c>
      <c r="C23" s="2">
        <v>1</v>
      </c>
      <c r="D23" s="97">
        <f>VLOOKUP(C23,无限模式!$A$3:$B$22,2,FALSE)</f>
        <v>900</v>
      </c>
      <c r="E23" s="98">
        <v>1</v>
      </c>
      <c r="F23" s="97">
        <f>'⚪设计'!F164</f>
        <v>10</v>
      </c>
      <c r="G23" s="97" t="str">
        <f>IF(VLOOKUP($A23,'⚪设计'!$A$144:$N$193,7,FALSE)="","",VLOOKUP($A23,'⚪设计'!$A$144:$N$193,7,FALSE))</f>
        <v>蛋2</v>
      </c>
      <c r="H23" s="97">
        <f t="shared" si="1"/>
        <v>7</v>
      </c>
      <c r="I23" s="97">
        <f>IF(VLOOKUP($A23,'⚪设计'!$A$144:$N$193,11,FALSE)="","",VLOOKUP($A23,'⚪设计'!$A$144:$N$193,11,FALSE))</f>
        <v>1.5</v>
      </c>
      <c r="J23" s="97">
        <f>IF(G23="","",ROUND($D23*'⚪设计'!$D164/(IF($G23="",0,VLOOKUP($G23,'⚪设计'!$B$85:$H$104,4,FALSE)*$H23)+IF($L23="",0,VLOOKUP($L23,'⚪设计'!$B$85:$H$104,4,FALSE)*$M23)+IF($Q23="",0,VLOOKUP($Q23,'⚪设计'!$B$85:$H$104,4,FALSE)*$R23)+IF($V23="",0,VLOOKUP($V23,'⚪设计'!$B$85:$H$104,4,FALSE)*$W23))*IF(G23="",0,VLOOKUP(G23,'⚪设计'!$B$85:$H$104,4,FALSE)),0))</f>
        <v>617</v>
      </c>
      <c r="K23" s="97">
        <f>IF(G23="","",ROUND(VLOOKUP($B23,战斗节奏!$A$4:$F$13,2,FALSE)/(IF($G23="",0,VLOOKUP($G23,'⚪设计'!$B$85:$H$104,5,FALSE)*$H23)+IF($L23="",0,VLOOKUP($L23,'⚪设计'!$B$85:$H$104,5,FALSE)*$M23)+IF($Q23="",0,VLOOKUP($Q23,'⚪设计'!$B$85:$H$104,5,FALSE)*$R23)+IF($V23="",0,VLOOKUP($V23,'⚪设计'!$B$85:$H$104,5,FALSE)*$W23))*IF(G23="",0,VLOOKUP(G23,'⚪设计'!$B$85:$H$104,5,FALSE)),0))</f>
        <v>103</v>
      </c>
      <c r="L23" s="97" t="str">
        <f>IF(VLOOKUP($A23,'⚪设计'!$A$144:$N$193,8,FALSE)="","",VLOOKUP($A23,'⚪设计'!$A$144:$N$193,8,FALSE))</f>
        <v/>
      </c>
      <c r="M23" s="97" t="str">
        <f t="shared" si="2"/>
        <v/>
      </c>
      <c r="N23" s="97" t="str">
        <f>IF(VLOOKUP($A23,'⚪设计'!$A$144:$N$193,12,FALSE)="","",VLOOKUP($A23,'⚪设计'!$A$144:$N$193,12,FALSE))</f>
        <v/>
      </c>
      <c r="O23" s="97" t="str">
        <f>IF(L23="","",ROUND($D23*'⚪设计'!$D164/(IF($G23="",0,VLOOKUP($G23,'⚪设计'!$B$85:$H$104,4,FALSE)*$H23)+IF($L23="",0,VLOOKUP($L23,'⚪设计'!$B$85:$H$104,4,FALSE)*$M23)+IF($Q23="",0,VLOOKUP($Q23,'⚪设计'!$B$85:$H$104,4,FALSE)*$R23)+IF($V23="",0,VLOOKUP($V23,'⚪设计'!$B$85:$H$104,4,FALSE)*$W23))*IF(L23="",0,VLOOKUP(L23,'⚪设计'!$B$85:$H$104,4,FALSE)),0))</f>
        <v/>
      </c>
      <c r="P23" s="97" t="str">
        <f>IF(L23="","",ROUND(VLOOKUP($B23,战斗节奏!$A$4:$F$13,2,FALSE)/(IF($G23="",0,VLOOKUP($G23,'⚪设计'!$B$85:$H$104,5,FALSE)*$H23)+IF($L23="",0,VLOOKUP($L23,'⚪设计'!$B$85:$H$104,5,FALSE)*$M23)+IF($Q23="",0,VLOOKUP($Q23,'⚪设计'!$B$85:$H$104,5,FALSE)*$R23)+IF($V23="",0,VLOOKUP($V23,'⚪设计'!$B$85:$H$104,5,FALSE)*$W23))*IF(L23="",0,VLOOKUP(L23,'⚪设计'!$B$85:$H$104,5,FALSE)),0))</f>
        <v/>
      </c>
      <c r="Q23" s="97" t="str">
        <f>IF(VLOOKUP($A23,'⚪设计'!$A$144:$N$193,9,FALSE)="","",VLOOKUP($A23,'⚪设计'!$A$144:$N$193,9,FALSE))</f>
        <v/>
      </c>
      <c r="R23" s="97" t="str">
        <f t="shared" si="3"/>
        <v/>
      </c>
      <c r="S23" s="97" t="str">
        <f>IF(VLOOKUP($A23,'⚪设计'!$A$144:$N$193,13,FALSE)="","",VLOOKUP($A23,'⚪设计'!$A$144:$N$193,13,FALSE))</f>
        <v/>
      </c>
      <c r="T23" s="97" t="str">
        <f>IF(Q23="","",ROUND($D23*'⚪设计'!$D164/(IF($G23="",0,VLOOKUP($G23,'⚪设计'!$B$85:$H$104,4,FALSE)*$H23)+IF($L23="",0,VLOOKUP($L23,'⚪设计'!$B$85:$H$104,4,FALSE)*$M23)+IF($Q23="",0,VLOOKUP($Q23,'⚪设计'!$B$85:$H$104,4,FALSE)*$R23)+IF($V23="",0,VLOOKUP($V23,'⚪设计'!$B$85:$H$104,4,FALSE)*$W23))*IF(Q23="",0,VLOOKUP(Q23,'⚪设计'!$B$85:$H$104,4,FALSE)),0))</f>
        <v/>
      </c>
      <c r="U23" s="97" t="str">
        <f>IF(Q23="","",ROUND(VLOOKUP($B23,战斗节奏!$A$4:$F$13,2,FALSE)/(IF($G23="",0,VLOOKUP($G23,'⚪设计'!$B$85:$H$104,5,FALSE)*$H23)+IF($L23="",0,VLOOKUP($L23,'⚪设计'!$B$85:$H$104,5,FALSE)*$M23)+IF($Q23="",0,VLOOKUP($Q23,'⚪设计'!$B$85:$H$104,5,FALSE)*$R23)+IF($V23="",0,VLOOKUP($V23,'⚪设计'!$B$85:$H$104,5,FALSE)*$W23))*IF(Q23="",0,VLOOKUP(Q23,'⚪设计'!$B$85:$H$104,5,FALSE)),0))</f>
        <v/>
      </c>
      <c r="V23" s="97" t="str">
        <f>IF(VLOOKUP($A23,'⚪设计'!$A$144:$N$193,10,FALSE)="","",VLOOKUP($A23,'⚪设计'!$A$144:$N$193,10,FALSE))</f>
        <v/>
      </c>
      <c r="W23" s="97" t="str">
        <f t="shared" si="4"/>
        <v/>
      </c>
      <c r="X23" s="97" t="str">
        <f>IF(VLOOKUP($A23,'⚪设计'!$A$144:$N$193,14,FALSE)="","",VLOOKUP($A23,'⚪设计'!$A$144:$N$193,14,FALSE))</f>
        <v/>
      </c>
      <c r="Y23" s="97" t="str">
        <f>IF(V23="","",ROUND($D23*'⚪设计'!$D164/(IF($G23="",0,VLOOKUP($G23,'⚪设计'!$B$85:$H$104,4,FALSE)*$H23)+IF($L23="",0,VLOOKUP($L23,'⚪设计'!$B$85:$H$104,4,FALSE)*$M23)+IF($Q23="",0,VLOOKUP($Q23,'⚪设计'!$B$85:$H$104,4,FALSE)*$R23)+IF($V23="",0,VLOOKUP($V23,'⚪设计'!$B$85:$H$104,4,FALSE)*$W23))*IF(V23="",0,VLOOKUP(V23,'⚪设计'!$B$85:$H$104,4,FALSE)),0))</f>
        <v/>
      </c>
      <c r="Z23" s="97" t="str">
        <f>IF(V23="","",ROUND(VLOOKUP($B23,战斗节奏!$A$4:$F$13,2,FALSE)/(IF($G23="",0,VLOOKUP($G23,'⚪设计'!$B$85:$H$104,5,FALSE)*$H23)+IF($L23="",0,VLOOKUP($L23,'⚪设计'!$B$85:$H$104,5,FALSE)*$M23)+IF($Q23="",0,VLOOKUP($Q23,'⚪设计'!$B$85:$H$104,5,FALSE)*$R23)+IF($V23="",0,VLOOKUP($V23,'⚪设计'!$B$85:$H$104,5,FALSE)*$W23))*IF(V23="",0,VLOOKUP(V23,'⚪设计'!$B$85:$H$104,5,FALSE)),0))</f>
        <v/>
      </c>
    </row>
    <row r="24" spans="1:26" x14ac:dyDescent="0.2">
      <c r="A24" s="2" t="str">
        <f t="shared" si="0"/>
        <v>5_2</v>
      </c>
      <c r="B24" s="2">
        <v>5</v>
      </c>
      <c r="C24" s="2">
        <v>2</v>
      </c>
      <c r="D24" s="97">
        <f>VLOOKUP(C24,无限模式!$A$3:$B$22,2,FALSE)</f>
        <v>1800</v>
      </c>
      <c r="E24" s="98">
        <v>1</v>
      </c>
      <c r="F24" s="97">
        <f>'⚪设计'!F165</f>
        <v>12.5</v>
      </c>
      <c r="G24" s="97" t="str">
        <f>IF(VLOOKUP($A24,'⚪设计'!$A$144:$N$193,7,FALSE)="","",VLOOKUP($A24,'⚪设计'!$A$144:$N$193,7,FALSE))</f>
        <v>蛋2</v>
      </c>
      <c r="H24" s="97">
        <f t="shared" si="1"/>
        <v>8</v>
      </c>
      <c r="I24" s="97">
        <f>IF(VLOOKUP($A24,'⚪设计'!$A$144:$N$193,11,FALSE)="","",VLOOKUP($A24,'⚪设计'!$A$144:$N$193,11,FALSE))</f>
        <v>1.5</v>
      </c>
      <c r="J24" s="97">
        <f>IF(G24="","",ROUND($D24*'⚪设计'!$D165/(IF($G24="",0,VLOOKUP($G24,'⚪设计'!$B$85:$H$104,4,FALSE)*$H24)+IF($L24="",0,VLOOKUP($L24,'⚪设计'!$B$85:$H$104,4,FALSE)*$M24)+IF($Q24="",0,VLOOKUP($Q24,'⚪设计'!$B$85:$H$104,4,FALSE)*$R24)+IF($V24="",0,VLOOKUP($V24,'⚪设计'!$B$85:$H$104,4,FALSE)*$W24))*IF(G24="",0,VLOOKUP(G24,'⚪设计'!$B$85:$H$104,4,FALSE)),0))</f>
        <v>850</v>
      </c>
      <c r="K24" s="97">
        <f>IF(G24="","",ROUND(VLOOKUP($B24,战斗节奏!$A$4:$F$13,2,FALSE)/(IF($G24="",0,VLOOKUP($G24,'⚪设计'!$B$85:$H$104,5,FALSE)*$H24)+IF($L24="",0,VLOOKUP($L24,'⚪设计'!$B$85:$H$104,5,FALSE)*$M24)+IF($Q24="",0,VLOOKUP($Q24,'⚪设计'!$B$85:$H$104,5,FALSE)*$R24)+IF($V24="",0,VLOOKUP($V24,'⚪设计'!$B$85:$H$104,5,FALSE)*$W24))*IF(G24="",0,VLOOKUP(G24,'⚪设计'!$B$85:$H$104,5,FALSE)),0))</f>
        <v>30</v>
      </c>
      <c r="L24" s="97" t="str">
        <f>IF(VLOOKUP($A24,'⚪设计'!$A$144:$N$193,8,FALSE)="","",VLOOKUP($A24,'⚪设计'!$A$144:$N$193,8,FALSE))</f>
        <v>蝙蝠1</v>
      </c>
      <c r="M24" s="97">
        <f t="shared" si="2"/>
        <v>63</v>
      </c>
      <c r="N24" s="97">
        <f>IF(VLOOKUP($A24,'⚪设计'!$A$144:$N$193,12,FALSE)="","",VLOOKUP($A24,'⚪设计'!$A$144:$N$193,12,FALSE))</f>
        <v>0.2</v>
      </c>
      <c r="O24" s="97">
        <f>IF(L24="","",ROUND($D24*'⚪设计'!$D165/(IF($G24="",0,VLOOKUP($G24,'⚪设计'!$B$85:$H$104,4,FALSE)*$H24)+IF($L24="",0,VLOOKUP($L24,'⚪设计'!$B$85:$H$104,4,FALSE)*$M24)+IF($Q24="",0,VLOOKUP($Q24,'⚪设计'!$B$85:$H$104,4,FALSE)*$R24)+IF($V24="",0,VLOOKUP($V24,'⚪设计'!$B$85:$H$104,4,FALSE)*$W24))*IF(L24="",0,VLOOKUP(L24,'⚪设计'!$B$85:$H$104,4,FALSE)),0))</f>
        <v>106</v>
      </c>
      <c r="P24" s="97">
        <f>IF(L24="","",ROUND(VLOOKUP($B24,战斗节奏!$A$4:$F$13,2,FALSE)/(IF($G24="",0,VLOOKUP($G24,'⚪设计'!$B$85:$H$104,5,FALSE)*$H24)+IF($L24="",0,VLOOKUP($L24,'⚪设计'!$B$85:$H$104,5,FALSE)*$M24)+IF($Q24="",0,VLOOKUP($Q24,'⚪设计'!$B$85:$H$104,5,FALSE)*$R24)+IF($V24="",0,VLOOKUP($V24,'⚪设计'!$B$85:$H$104,5,FALSE)*$W24))*IF(L24="",0,VLOOKUP(L24,'⚪设计'!$B$85:$H$104,5,FALSE)),0))</f>
        <v>8</v>
      </c>
      <c r="Q24" s="97" t="str">
        <f>IF(VLOOKUP($A24,'⚪设计'!$A$144:$N$193,9,FALSE)="","",VLOOKUP($A24,'⚪设计'!$A$144:$N$193,9,FALSE))</f>
        <v/>
      </c>
      <c r="R24" s="97" t="str">
        <f t="shared" si="3"/>
        <v/>
      </c>
      <c r="S24" s="97" t="str">
        <f>IF(VLOOKUP($A24,'⚪设计'!$A$144:$N$193,13,FALSE)="","",VLOOKUP($A24,'⚪设计'!$A$144:$N$193,13,FALSE))</f>
        <v/>
      </c>
      <c r="T24" s="97" t="str">
        <f>IF(Q24="","",ROUND($D24*'⚪设计'!$D165/(IF($G24="",0,VLOOKUP($G24,'⚪设计'!$B$85:$H$104,4,FALSE)*$H24)+IF($L24="",0,VLOOKUP($L24,'⚪设计'!$B$85:$H$104,4,FALSE)*$M24)+IF($Q24="",0,VLOOKUP($Q24,'⚪设计'!$B$85:$H$104,4,FALSE)*$R24)+IF($V24="",0,VLOOKUP($V24,'⚪设计'!$B$85:$H$104,4,FALSE)*$W24))*IF(Q24="",0,VLOOKUP(Q24,'⚪设计'!$B$85:$H$104,4,FALSE)),0))</f>
        <v/>
      </c>
      <c r="U24" s="97" t="str">
        <f>IF(Q24="","",ROUND(VLOOKUP($B24,战斗节奏!$A$4:$F$13,2,FALSE)/(IF($G24="",0,VLOOKUP($G24,'⚪设计'!$B$85:$H$104,5,FALSE)*$H24)+IF($L24="",0,VLOOKUP($L24,'⚪设计'!$B$85:$H$104,5,FALSE)*$M24)+IF($Q24="",0,VLOOKUP($Q24,'⚪设计'!$B$85:$H$104,5,FALSE)*$R24)+IF($V24="",0,VLOOKUP($V24,'⚪设计'!$B$85:$H$104,5,FALSE)*$W24))*IF(Q24="",0,VLOOKUP(Q24,'⚪设计'!$B$85:$H$104,5,FALSE)),0))</f>
        <v/>
      </c>
      <c r="V24" s="97" t="str">
        <f>IF(VLOOKUP($A24,'⚪设计'!$A$144:$N$193,10,FALSE)="","",VLOOKUP($A24,'⚪设计'!$A$144:$N$193,10,FALSE))</f>
        <v/>
      </c>
      <c r="W24" s="97" t="str">
        <f t="shared" si="4"/>
        <v/>
      </c>
      <c r="X24" s="97" t="str">
        <f>IF(VLOOKUP($A24,'⚪设计'!$A$144:$N$193,14,FALSE)="","",VLOOKUP($A24,'⚪设计'!$A$144:$N$193,14,FALSE))</f>
        <v/>
      </c>
      <c r="Y24" s="97" t="str">
        <f>IF(V24="","",ROUND($D24*'⚪设计'!$D165/(IF($G24="",0,VLOOKUP($G24,'⚪设计'!$B$85:$H$104,4,FALSE)*$H24)+IF($L24="",0,VLOOKUP($L24,'⚪设计'!$B$85:$H$104,4,FALSE)*$M24)+IF($Q24="",0,VLOOKUP($Q24,'⚪设计'!$B$85:$H$104,4,FALSE)*$R24)+IF($V24="",0,VLOOKUP($V24,'⚪设计'!$B$85:$H$104,4,FALSE)*$W24))*IF(V24="",0,VLOOKUP(V24,'⚪设计'!$B$85:$H$104,4,FALSE)),0))</f>
        <v/>
      </c>
      <c r="Z24" s="97" t="str">
        <f>IF(V24="","",ROUND(VLOOKUP($B24,战斗节奏!$A$4:$F$13,2,FALSE)/(IF($G24="",0,VLOOKUP($G24,'⚪设计'!$B$85:$H$104,5,FALSE)*$H24)+IF($L24="",0,VLOOKUP($L24,'⚪设计'!$B$85:$H$104,5,FALSE)*$M24)+IF($Q24="",0,VLOOKUP($Q24,'⚪设计'!$B$85:$H$104,5,FALSE)*$R24)+IF($V24="",0,VLOOKUP($V24,'⚪设计'!$B$85:$H$104,5,FALSE)*$W24))*IF(V24="",0,VLOOKUP(V24,'⚪设计'!$B$85:$H$104,5,FALSE)),0))</f>
        <v/>
      </c>
    </row>
    <row r="25" spans="1:26" x14ac:dyDescent="0.2">
      <c r="A25" s="2" t="str">
        <f t="shared" si="0"/>
        <v>5_3</v>
      </c>
      <c r="B25" s="2">
        <v>5</v>
      </c>
      <c r="C25" s="2">
        <v>3</v>
      </c>
      <c r="D25" s="97">
        <f>VLOOKUP(C25,无限模式!$A$3:$B$22,2,FALSE)</f>
        <v>3600</v>
      </c>
      <c r="E25" s="98">
        <v>1</v>
      </c>
      <c r="F25" s="97">
        <f>'⚪设计'!F166</f>
        <v>15</v>
      </c>
      <c r="G25" s="97" t="str">
        <f>IF(VLOOKUP($A25,'⚪设计'!$A$144:$N$193,7,FALSE)="","",VLOOKUP($A25,'⚪设计'!$A$144:$N$193,7,FALSE))</f>
        <v>蛋2</v>
      </c>
      <c r="H25" s="97">
        <f t="shared" si="1"/>
        <v>10</v>
      </c>
      <c r="I25" s="97">
        <f>IF(VLOOKUP($A25,'⚪设计'!$A$144:$N$193,11,FALSE)="","",VLOOKUP($A25,'⚪设计'!$A$144:$N$193,11,FALSE))</f>
        <v>1.5</v>
      </c>
      <c r="J25" s="97">
        <f>IF(G25="","",ROUND($D25*'⚪设计'!$D166/(IF($G25="",0,VLOOKUP($G25,'⚪设计'!$B$85:$H$104,4,FALSE)*$H25)+IF($L25="",0,VLOOKUP($L25,'⚪设计'!$B$85:$H$104,4,FALSE)*$M25)+IF($Q25="",0,VLOOKUP($Q25,'⚪设计'!$B$85:$H$104,4,FALSE)*$R25)+IF($V25="",0,VLOOKUP($V25,'⚪设计'!$B$85:$H$104,4,FALSE)*$W25))*IF(G25="",0,VLOOKUP(G25,'⚪设计'!$B$85:$H$104,4,FALSE)),0))</f>
        <v>2209</v>
      </c>
      <c r="K25" s="97">
        <f>IF(G25="","",ROUND(VLOOKUP($B25,战斗节奏!$A$4:$F$13,2,FALSE)/(IF($G25="",0,VLOOKUP($G25,'⚪设计'!$B$85:$H$104,5,FALSE)*$H25)+IF($L25="",0,VLOOKUP($L25,'⚪设计'!$B$85:$H$104,5,FALSE)*$M25)+IF($Q25="",0,VLOOKUP($Q25,'⚪设计'!$B$85:$H$104,5,FALSE)*$R25)+IF($V25="",0,VLOOKUP($V25,'⚪设计'!$B$85:$H$104,5,FALSE)*$W25))*IF(G25="",0,VLOOKUP(G25,'⚪设计'!$B$85:$H$104,5,FALSE)),0))</f>
        <v>21</v>
      </c>
      <c r="L25" s="97" t="str">
        <f>IF(VLOOKUP($A25,'⚪设计'!$A$144:$N$193,8,FALSE)="","",VLOOKUP($A25,'⚪设计'!$A$144:$N$193,8,FALSE))</f>
        <v>蜘蛛1</v>
      </c>
      <c r="M25" s="97">
        <f t="shared" si="2"/>
        <v>38</v>
      </c>
      <c r="N25" s="97">
        <f>IF(VLOOKUP($A25,'⚪设计'!$A$144:$N$193,12,FALSE)="","",VLOOKUP($A25,'⚪设计'!$A$144:$N$193,12,FALSE))</f>
        <v>0.4</v>
      </c>
      <c r="O25" s="97">
        <f>IF(L25="","",ROUND($D25*'⚪设计'!$D166/(IF($G25="",0,VLOOKUP($G25,'⚪设计'!$B$85:$H$104,4,FALSE)*$H25)+IF($L25="",0,VLOOKUP($L25,'⚪设计'!$B$85:$H$104,4,FALSE)*$M25)+IF($Q25="",0,VLOOKUP($Q25,'⚪设计'!$B$85:$H$104,4,FALSE)*$R25)+IF($V25="",0,VLOOKUP($V25,'⚪设计'!$B$85:$H$104,4,FALSE)*$W25))*IF(L25="",0,VLOOKUP(L25,'⚪设计'!$B$85:$H$104,4,FALSE)),0))</f>
        <v>552</v>
      </c>
      <c r="P25" s="97">
        <f>IF(L25="","",ROUND(VLOOKUP($B25,战斗节奏!$A$4:$F$13,2,FALSE)/(IF($G25="",0,VLOOKUP($G25,'⚪设计'!$B$85:$H$104,5,FALSE)*$H25)+IF($L25="",0,VLOOKUP($L25,'⚪设计'!$B$85:$H$104,5,FALSE)*$M25)+IF($Q25="",0,VLOOKUP($Q25,'⚪设计'!$B$85:$H$104,5,FALSE)*$R25)+IF($V25="",0,VLOOKUP($V25,'⚪设计'!$B$85:$H$104,5,FALSE)*$W25))*IF(L25="",0,VLOOKUP(L25,'⚪设计'!$B$85:$H$104,5,FALSE)),0))</f>
        <v>11</v>
      </c>
      <c r="Q25" s="97" t="str">
        <f>IF(VLOOKUP($A25,'⚪设计'!$A$144:$N$193,9,FALSE)="","",VLOOKUP($A25,'⚪设计'!$A$144:$N$193,9,FALSE))</f>
        <v>鬼1</v>
      </c>
      <c r="R25" s="97">
        <f t="shared" si="3"/>
        <v>10</v>
      </c>
      <c r="S25" s="97">
        <f>IF(VLOOKUP($A25,'⚪设计'!$A$144:$N$193,13,FALSE)="","",VLOOKUP($A25,'⚪设计'!$A$144:$N$193,13,FALSE))</f>
        <v>1.5</v>
      </c>
      <c r="T25" s="97">
        <f>IF(Q25="","",ROUND($D25*'⚪设计'!$D166/(IF($G25="",0,VLOOKUP($G25,'⚪设计'!$B$85:$H$104,4,FALSE)*$H25)+IF($L25="",0,VLOOKUP($L25,'⚪设计'!$B$85:$H$104,4,FALSE)*$M25)+IF($Q25="",0,VLOOKUP($Q25,'⚪设计'!$B$85:$H$104,4,FALSE)*$R25)+IF($V25="",0,VLOOKUP($V25,'⚪设计'!$B$85:$H$104,4,FALSE)*$W25))*IF(Q25="",0,VLOOKUP(Q25,'⚪设计'!$B$85:$H$104,4,FALSE)),0))</f>
        <v>552</v>
      </c>
      <c r="U25" s="97">
        <f>IF(Q25="","",ROUND(VLOOKUP($B25,战斗节奏!$A$4:$F$13,2,FALSE)/(IF($G25="",0,VLOOKUP($G25,'⚪设计'!$B$85:$H$104,5,FALSE)*$H25)+IF($L25="",0,VLOOKUP($L25,'⚪设计'!$B$85:$H$104,5,FALSE)*$M25)+IF($Q25="",0,VLOOKUP($Q25,'⚪设计'!$B$85:$H$104,5,FALSE)*$R25)+IF($V25="",0,VLOOKUP($V25,'⚪设计'!$B$85:$H$104,5,FALSE)*$W25))*IF(Q25="",0,VLOOKUP(Q25,'⚪设计'!$B$85:$H$104,5,FALSE)),0))</f>
        <v>11</v>
      </c>
      <c r="V25" s="97" t="str">
        <f>IF(VLOOKUP($A25,'⚪设计'!$A$144:$N$193,10,FALSE)="","",VLOOKUP($A25,'⚪设计'!$A$144:$N$193,10,FALSE))</f>
        <v/>
      </c>
      <c r="W25" s="97" t="str">
        <f t="shared" si="4"/>
        <v/>
      </c>
      <c r="X25" s="97" t="str">
        <f>IF(VLOOKUP($A25,'⚪设计'!$A$144:$N$193,14,FALSE)="","",VLOOKUP($A25,'⚪设计'!$A$144:$N$193,14,FALSE))</f>
        <v/>
      </c>
      <c r="Y25" s="97" t="str">
        <f>IF(V25="","",ROUND($D25*'⚪设计'!$D166/(IF($G25="",0,VLOOKUP($G25,'⚪设计'!$B$85:$H$104,4,FALSE)*$H25)+IF($L25="",0,VLOOKUP($L25,'⚪设计'!$B$85:$H$104,4,FALSE)*$M25)+IF($Q25="",0,VLOOKUP($Q25,'⚪设计'!$B$85:$H$104,4,FALSE)*$R25)+IF($V25="",0,VLOOKUP($V25,'⚪设计'!$B$85:$H$104,4,FALSE)*$W25))*IF(V25="",0,VLOOKUP(V25,'⚪设计'!$B$85:$H$104,4,FALSE)),0))</f>
        <v/>
      </c>
      <c r="Z25" s="97" t="str">
        <f>IF(V25="","",ROUND(VLOOKUP($B25,战斗节奏!$A$4:$F$13,2,FALSE)/(IF($G25="",0,VLOOKUP($G25,'⚪设计'!$B$85:$H$104,5,FALSE)*$H25)+IF($L25="",0,VLOOKUP($L25,'⚪设计'!$B$85:$H$104,5,FALSE)*$M25)+IF($Q25="",0,VLOOKUP($Q25,'⚪设计'!$B$85:$H$104,5,FALSE)*$R25)+IF($V25="",0,VLOOKUP($V25,'⚪设计'!$B$85:$H$104,5,FALSE)*$W25))*IF(V25="",0,VLOOKUP(V25,'⚪设计'!$B$85:$H$104,5,FALSE)),0))</f>
        <v/>
      </c>
    </row>
    <row r="26" spans="1:26" x14ac:dyDescent="0.2">
      <c r="A26" s="2" t="str">
        <f t="shared" si="0"/>
        <v>5_4</v>
      </c>
      <c r="B26" s="2">
        <v>5</v>
      </c>
      <c r="C26" s="2">
        <v>4</v>
      </c>
      <c r="D26" s="97">
        <f>VLOOKUP(C26,无限模式!$A$3:$B$22,2,FALSE)</f>
        <v>4500</v>
      </c>
      <c r="E26" s="98">
        <v>1</v>
      </c>
      <c r="F26" s="97">
        <f>'⚪设计'!F167</f>
        <v>17.5</v>
      </c>
      <c r="G26" s="97" t="str">
        <f>IF(VLOOKUP($A26,'⚪设计'!$A$144:$N$193,7,FALSE)="","",VLOOKUP($A26,'⚪设计'!$A$144:$N$193,7,FALSE))</f>
        <v>蛋2</v>
      </c>
      <c r="H26" s="97">
        <f t="shared" si="1"/>
        <v>12</v>
      </c>
      <c r="I26" s="97">
        <f>IF(VLOOKUP($A26,'⚪设计'!$A$144:$N$193,11,FALSE)="","",VLOOKUP($A26,'⚪设计'!$A$144:$N$193,11,FALSE))</f>
        <v>1.5</v>
      </c>
      <c r="J26" s="97">
        <f>IF(G26="","",ROUND($D26*'⚪设计'!$D167/(IF($G26="",0,VLOOKUP($G26,'⚪设计'!$B$85:$H$104,4,FALSE)*$H26)+IF($L26="",0,VLOOKUP($L26,'⚪设计'!$B$85:$H$104,4,FALSE)*$M26)+IF($Q26="",0,VLOOKUP($Q26,'⚪设计'!$B$85:$H$104,4,FALSE)*$R26)+IF($V26="",0,VLOOKUP($V26,'⚪设计'!$B$85:$H$104,4,FALSE)*$W26))*IF(G26="",0,VLOOKUP(G26,'⚪设计'!$B$85:$H$104,4,FALSE)),0))</f>
        <v>1301</v>
      </c>
      <c r="K26" s="97">
        <f>IF(G26="","",ROUND(VLOOKUP($B26,战斗节奏!$A$4:$F$13,2,FALSE)/(IF($G26="",0,VLOOKUP($G26,'⚪设计'!$B$85:$H$104,5,FALSE)*$H26)+IF($L26="",0,VLOOKUP($L26,'⚪设计'!$B$85:$H$104,5,FALSE)*$M26)+IF($Q26="",0,VLOOKUP($Q26,'⚪设计'!$B$85:$H$104,5,FALSE)*$R26)+IF($V26="",0,VLOOKUP($V26,'⚪设计'!$B$85:$H$104,5,FALSE)*$W26))*IF(G26="",0,VLOOKUP(G26,'⚪设计'!$B$85:$H$104,5,FALSE)),0))</f>
        <v>24</v>
      </c>
      <c r="L26" s="97" t="str">
        <f>IF(VLOOKUP($A26,'⚪设计'!$A$144:$N$193,8,FALSE)="","",VLOOKUP($A26,'⚪设计'!$A$144:$N$193,8,FALSE))</f>
        <v>鬼1</v>
      </c>
      <c r="M26" s="97">
        <f t="shared" si="2"/>
        <v>35</v>
      </c>
      <c r="N26" s="97">
        <f>IF(VLOOKUP($A26,'⚪设计'!$A$144:$N$193,12,FALSE)="","",VLOOKUP($A26,'⚪设计'!$A$144:$N$193,12,FALSE))</f>
        <v>0.5</v>
      </c>
      <c r="O26" s="97">
        <f>IF(L26="","",ROUND($D26*'⚪设计'!$D167/(IF($G26="",0,VLOOKUP($G26,'⚪设计'!$B$85:$H$104,4,FALSE)*$H26)+IF($L26="",0,VLOOKUP($L26,'⚪设计'!$B$85:$H$104,4,FALSE)*$M26)+IF($Q26="",0,VLOOKUP($Q26,'⚪设计'!$B$85:$H$104,4,FALSE)*$R26)+IF($V26="",0,VLOOKUP($V26,'⚪设计'!$B$85:$H$104,4,FALSE)*$W26))*IF(L26="",0,VLOOKUP(L26,'⚪设计'!$B$85:$H$104,4,FALSE)),0))</f>
        <v>325</v>
      </c>
      <c r="P26" s="97">
        <f>IF(L26="","",ROUND(VLOOKUP($B26,战斗节奏!$A$4:$F$13,2,FALSE)/(IF($G26="",0,VLOOKUP($G26,'⚪设计'!$B$85:$H$104,5,FALSE)*$H26)+IF($L26="",0,VLOOKUP($L26,'⚪设计'!$B$85:$H$104,5,FALSE)*$M26)+IF($Q26="",0,VLOOKUP($Q26,'⚪设计'!$B$85:$H$104,5,FALSE)*$R26)+IF($V26="",0,VLOOKUP($V26,'⚪设计'!$B$85:$H$104,5,FALSE)*$W26))*IF(L26="",0,VLOOKUP(L26,'⚪设计'!$B$85:$H$104,5,FALSE)),0))</f>
        <v>12</v>
      </c>
      <c r="Q26" s="97" t="str">
        <f>IF(VLOOKUP($A26,'⚪设计'!$A$144:$N$193,9,FALSE)="","",VLOOKUP($A26,'⚪设计'!$A$144:$N$193,9,FALSE))</f>
        <v/>
      </c>
      <c r="R26" s="97" t="str">
        <f t="shared" si="3"/>
        <v/>
      </c>
      <c r="S26" s="97" t="str">
        <f>IF(VLOOKUP($A26,'⚪设计'!$A$144:$N$193,13,FALSE)="","",VLOOKUP($A26,'⚪设计'!$A$144:$N$193,13,FALSE))</f>
        <v/>
      </c>
      <c r="T26" s="97" t="str">
        <f>IF(Q26="","",ROUND($D26*'⚪设计'!$D167/(IF($G26="",0,VLOOKUP($G26,'⚪设计'!$B$85:$H$104,4,FALSE)*$H26)+IF($L26="",0,VLOOKUP($L26,'⚪设计'!$B$85:$H$104,4,FALSE)*$M26)+IF($Q26="",0,VLOOKUP($Q26,'⚪设计'!$B$85:$H$104,4,FALSE)*$R26)+IF($V26="",0,VLOOKUP($V26,'⚪设计'!$B$85:$H$104,4,FALSE)*$W26))*IF(Q26="",0,VLOOKUP(Q26,'⚪设计'!$B$85:$H$104,4,FALSE)),0))</f>
        <v/>
      </c>
      <c r="U26" s="97" t="str">
        <f>IF(Q26="","",ROUND(VLOOKUP($B26,战斗节奏!$A$4:$F$13,2,FALSE)/(IF($G26="",0,VLOOKUP($G26,'⚪设计'!$B$85:$H$104,5,FALSE)*$H26)+IF($L26="",0,VLOOKUP($L26,'⚪设计'!$B$85:$H$104,5,FALSE)*$M26)+IF($Q26="",0,VLOOKUP($Q26,'⚪设计'!$B$85:$H$104,5,FALSE)*$R26)+IF($V26="",0,VLOOKUP($V26,'⚪设计'!$B$85:$H$104,5,FALSE)*$W26))*IF(Q26="",0,VLOOKUP(Q26,'⚪设计'!$B$85:$H$104,5,FALSE)),0))</f>
        <v/>
      </c>
      <c r="V26" s="97" t="str">
        <f>IF(VLOOKUP($A26,'⚪设计'!$A$144:$N$193,10,FALSE)="","",VLOOKUP($A26,'⚪设计'!$A$144:$N$193,10,FALSE))</f>
        <v/>
      </c>
      <c r="W26" s="97" t="str">
        <f t="shared" si="4"/>
        <v/>
      </c>
      <c r="X26" s="97" t="str">
        <f>IF(VLOOKUP($A26,'⚪设计'!$A$144:$N$193,14,FALSE)="","",VLOOKUP($A26,'⚪设计'!$A$144:$N$193,14,FALSE))</f>
        <v/>
      </c>
      <c r="Y26" s="97" t="str">
        <f>IF(V26="","",ROUND($D26*'⚪设计'!$D167/(IF($G26="",0,VLOOKUP($G26,'⚪设计'!$B$85:$H$104,4,FALSE)*$H26)+IF($L26="",0,VLOOKUP($L26,'⚪设计'!$B$85:$H$104,4,FALSE)*$M26)+IF($Q26="",0,VLOOKUP($Q26,'⚪设计'!$B$85:$H$104,4,FALSE)*$R26)+IF($V26="",0,VLOOKUP($V26,'⚪设计'!$B$85:$H$104,4,FALSE)*$W26))*IF(V26="",0,VLOOKUP(V26,'⚪设计'!$B$85:$H$104,4,FALSE)),0))</f>
        <v/>
      </c>
      <c r="Z26" s="97" t="str">
        <f>IF(V26="","",ROUND(VLOOKUP($B26,战斗节奏!$A$4:$F$13,2,FALSE)/(IF($G26="",0,VLOOKUP($G26,'⚪设计'!$B$85:$H$104,5,FALSE)*$H26)+IF($L26="",0,VLOOKUP($L26,'⚪设计'!$B$85:$H$104,5,FALSE)*$M26)+IF($Q26="",0,VLOOKUP($Q26,'⚪设计'!$B$85:$H$104,5,FALSE)*$R26)+IF($V26="",0,VLOOKUP($V26,'⚪设计'!$B$85:$H$104,5,FALSE)*$W26))*IF(V26="",0,VLOOKUP(V26,'⚪设计'!$B$85:$H$104,5,FALSE)),0))</f>
        <v/>
      </c>
    </row>
    <row r="27" spans="1:26" x14ac:dyDescent="0.2">
      <c r="A27" s="2" t="str">
        <f t="shared" si="0"/>
        <v>5_5</v>
      </c>
      <c r="B27" s="2">
        <v>5</v>
      </c>
      <c r="C27" s="2">
        <v>5</v>
      </c>
      <c r="D27" s="97">
        <f>VLOOKUP(C27,无限模式!$A$3:$B$22,2,FALSE)</f>
        <v>5400</v>
      </c>
      <c r="E27" s="98">
        <v>1</v>
      </c>
      <c r="F27" s="97">
        <f>'⚪设计'!F168</f>
        <v>20</v>
      </c>
      <c r="G27" s="97" t="str">
        <f>IF(VLOOKUP($A27,'⚪设计'!$A$144:$N$193,7,FALSE)="","",VLOOKUP($A27,'⚪设计'!$A$144:$N$193,7,FALSE))</f>
        <v>蛋2</v>
      </c>
      <c r="H27" s="97">
        <f t="shared" si="1"/>
        <v>13</v>
      </c>
      <c r="I27" s="97">
        <f>IF(VLOOKUP($A27,'⚪设计'!$A$144:$N$193,11,FALSE)="","",VLOOKUP($A27,'⚪设计'!$A$144:$N$193,11,FALSE))</f>
        <v>1.5</v>
      </c>
      <c r="J27" s="97">
        <f>IF(G27="","",ROUND($D27*'⚪设计'!$D168/(IF($G27="",0,VLOOKUP($G27,'⚪设计'!$B$85:$H$104,4,FALSE)*$H27)+IF($L27="",0,VLOOKUP($L27,'⚪设计'!$B$85:$H$104,4,FALSE)*$M27)+IF($Q27="",0,VLOOKUP($Q27,'⚪设计'!$B$85:$H$104,4,FALSE)*$R27)+IF($V27="",0,VLOOKUP($V27,'⚪设计'!$B$85:$H$104,4,FALSE)*$W27))*IF(G27="",0,VLOOKUP(G27,'⚪设计'!$B$85:$H$104,4,FALSE)),0))</f>
        <v>800</v>
      </c>
      <c r="K27" s="97">
        <f>IF(G27="","",ROUND(VLOOKUP($B27,战斗节奏!$A$4:$F$13,2,FALSE)/(IF($G27="",0,VLOOKUP($G27,'⚪设计'!$B$85:$H$104,5,FALSE)*$H27)+IF($L27="",0,VLOOKUP($L27,'⚪设计'!$B$85:$H$104,5,FALSE)*$M27)+IF($Q27="",0,VLOOKUP($Q27,'⚪设计'!$B$85:$H$104,5,FALSE)*$R27)+IF($V27="",0,VLOOKUP($V27,'⚪设计'!$B$85:$H$104,5,FALSE)*$W27))*IF(G27="",0,VLOOKUP(G27,'⚪设计'!$B$85:$H$104,5,FALSE)),0))</f>
        <v>11</v>
      </c>
      <c r="L27" s="97" t="str">
        <f>IF(VLOOKUP($A27,'⚪设计'!$A$144:$N$193,8,FALSE)="","",VLOOKUP($A27,'⚪设计'!$A$144:$N$193,8,FALSE))</f>
        <v>鬼1</v>
      </c>
      <c r="M27" s="97">
        <f t="shared" si="2"/>
        <v>40</v>
      </c>
      <c r="N27" s="97">
        <f>IF(VLOOKUP($A27,'⚪设计'!$A$144:$N$193,12,FALSE)="","",VLOOKUP($A27,'⚪设计'!$A$144:$N$193,12,FALSE))</f>
        <v>0.5</v>
      </c>
      <c r="O27" s="97">
        <f>IF(L27="","",ROUND($D27*'⚪设计'!$D168/(IF($G27="",0,VLOOKUP($G27,'⚪设计'!$B$85:$H$104,4,FALSE)*$H27)+IF($L27="",0,VLOOKUP($L27,'⚪设计'!$B$85:$H$104,4,FALSE)*$M27)+IF($Q27="",0,VLOOKUP($Q27,'⚪设计'!$B$85:$H$104,4,FALSE)*$R27)+IF($V27="",0,VLOOKUP($V27,'⚪设计'!$B$85:$H$104,4,FALSE)*$W27))*IF(L27="",0,VLOOKUP(L27,'⚪设计'!$B$85:$H$104,4,FALSE)),0))</f>
        <v>200</v>
      </c>
      <c r="P27" s="97">
        <f>IF(L27="","",ROUND(VLOOKUP($B27,战斗节奏!$A$4:$F$13,2,FALSE)/(IF($G27="",0,VLOOKUP($G27,'⚪设计'!$B$85:$H$104,5,FALSE)*$H27)+IF($L27="",0,VLOOKUP($L27,'⚪设计'!$B$85:$H$104,5,FALSE)*$M27)+IF($Q27="",0,VLOOKUP($Q27,'⚪设计'!$B$85:$H$104,5,FALSE)*$R27)+IF($V27="",0,VLOOKUP($V27,'⚪设计'!$B$85:$H$104,5,FALSE)*$W27))*IF(L27="",0,VLOOKUP(L27,'⚪设计'!$B$85:$H$104,5,FALSE)),0))</f>
        <v>6</v>
      </c>
      <c r="Q27" s="97" t="str">
        <f>IF(VLOOKUP($A27,'⚪设计'!$A$144:$N$193,9,FALSE)="","",VLOOKUP($A27,'⚪设计'!$A$144:$N$193,9,FALSE))</f>
        <v>种子1</v>
      </c>
      <c r="R27" s="97">
        <f t="shared" si="3"/>
        <v>10</v>
      </c>
      <c r="S27" s="97">
        <f>IF(VLOOKUP($A27,'⚪设计'!$A$144:$N$193,13,FALSE)="","",VLOOKUP($A27,'⚪设计'!$A$144:$N$193,13,FALSE))</f>
        <v>2</v>
      </c>
      <c r="T27" s="97">
        <f>IF(Q27="","",ROUND($D27*'⚪设计'!$D168/(IF($G27="",0,VLOOKUP($G27,'⚪设计'!$B$85:$H$104,4,FALSE)*$H27)+IF($L27="",0,VLOOKUP($L27,'⚪设计'!$B$85:$H$104,4,FALSE)*$M27)+IF($Q27="",0,VLOOKUP($Q27,'⚪设计'!$B$85:$H$104,4,FALSE)*$R27)+IF($V27="",0,VLOOKUP($V27,'⚪设计'!$B$85:$H$104,4,FALSE)*$W27))*IF(Q27="",0,VLOOKUP(Q27,'⚪设计'!$B$85:$H$104,4,FALSE)),0))</f>
        <v>600</v>
      </c>
      <c r="U27" s="97">
        <f>IF(Q27="","",ROUND(VLOOKUP($B27,战斗节奏!$A$4:$F$13,2,FALSE)/(IF($G27="",0,VLOOKUP($G27,'⚪设计'!$B$85:$H$104,5,FALSE)*$H27)+IF($L27="",0,VLOOKUP($L27,'⚪设计'!$B$85:$H$104,5,FALSE)*$M27)+IF($Q27="",0,VLOOKUP($Q27,'⚪设计'!$B$85:$H$104,5,FALSE)*$R27)+IF($V27="",0,VLOOKUP($V27,'⚪设计'!$B$85:$H$104,5,FALSE)*$W27))*IF(Q27="",0,VLOOKUP(Q27,'⚪设计'!$B$85:$H$104,5,FALSE)),0))</f>
        <v>11</v>
      </c>
      <c r="V27" s="97" t="str">
        <f>IF(VLOOKUP($A27,'⚪设计'!$A$144:$N$193,10,FALSE)="","",VLOOKUP($A27,'⚪设计'!$A$144:$N$193,10,FALSE))</f>
        <v>蛋3</v>
      </c>
      <c r="W27" s="97">
        <f t="shared" si="4"/>
        <v>1</v>
      </c>
      <c r="X27" s="97">
        <f>IF(VLOOKUP($A27,'⚪设计'!$A$144:$N$193,14,FALSE)="","",VLOOKUP($A27,'⚪设计'!$A$144:$N$193,14,FALSE))</f>
        <v>0</v>
      </c>
      <c r="Y27" s="97">
        <f>IF(V27="","",ROUND($D27*'⚪设计'!$D168/(IF($G27="",0,VLOOKUP($G27,'⚪设计'!$B$85:$H$104,4,FALSE)*$H27)+IF($L27="",0,VLOOKUP($L27,'⚪设计'!$B$85:$H$104,4,FALSE)*$M27)+IF($Q27="",0,VLOOKUP($Q27,'⚪设计'!$B$85:$H$104,4,FALSE)*$R27)+IF($V27="",0,VLOOKUP($V27,'⚪设计'!$B$85:$H$104,4,FALSE)*$W27))*IF(V27="",0,VLOOKUP(V27,'⚪设计'!$B$85:$H$104,4,FALSE)),0))</f>
        <v>8000</v>
      </c>
      <c r="Z27" s="97">
        <f>IF(V27="","",ROUND(VLOOKUP($B27,战斗节奏!$A$4:$F$13,2,FALSE)/(IF($G27="",0,VLOOKUP($G27,'⚪设计'!$B$85:$H$104,5,FALSE)*$H27)+IF($L27="",0,VLOOKUP($L27,'⚪设计'!$B$85:$H$104,5,FALSE)*$M27)+IF($Q27="",0,VLOOKUP($Q27,'⚪设计'!$B$85:$H$104,5,FALSE)*$R27)+IF($V27="",0,VLOOKUP($V27,'⚪设计'!$B$85:$H$104,5,FALSE)*$W27))*IF(V27="",0,VLOOKUP(V27,'⚪设计'!$B$85:$H$104,5,FALSE)),0))</f>
        <v>229</v>
      </c>
    </row>
    <row r="28" spans="1:26" x14ac:dyDescent="0.2">
      <c r="A28" s="2" t="str">
        <f t="shared" si="0"/>
        <v>6_1</v>
      </c>
      <c r="B28" s="2">
        <v>6</v>
      </c>
      <c r="C28" s="2">
        <v>1</v>
      </c>
      <c r="D28" s="97">
        <f>VLOOKUP(C28,无限模式!$A$3:$B$22,2,FALSE)</f>
        <v>900</v>
      </c>
      <c r="E28" s="98">
        <v>1</v>
      </c>
      <c r="F28" s="97">
        <f>'⚪设计'!F169</f>
        <v>10</v>
      </c>
      <c r="G28" s="97" t="str">
        <f>IF(VLOOKUP($A28,'⚪设计'!$A$144:$N$193,7,FALSE)="","",VLOOKUP($A28,'⚪设计'!$A$144:$N$193,7,FALSE))</f>
        <v>蜜蜂1</v>
      </c>
      <c r="H28" s="97">
        <f>IF(I28=0,1,IF(I28="","",ROUND($F28/I28,0)))</f>
        <v>10</v>
      </c>
      <c r="I28" s="97">
        <f>IF(VLOOKUP($A28,'⚪设计'!$A$144:$N$193,11,FALSE)="","",VLOOKUP($A28,'⚪设计'!$A$144:$N$193,11,FALSE))</f>
        <v>1</v>
      </c>
      <c r="J28" s="97">
        <f>IF(G28="","",ROUND($D28*'⚪设计'!$D169/(IF($G28="",0,VLOOKUP($G28,'⚪设计'!$B$85:$H$104,4,FALSE)*$H28)+IF($L28="",0,VLOOKUP($L28,'⚪设计'!$B$85:$H$104,4,FALSE)*$M28)+IF($Q28="",0,VLOOKUP($Q28,'⚪设计'!$B$85:$H$104,4,FALSE)*$R28)+IF($V28="",0,VLOOKUP($V28,'⚪设计'!$B$85:$H$104,4,FALSE)*$W28))*IF(G28="",0,VLOOKUP(G28,'⚪设计'!$B$85:$H$104,4,FALSE)),0))</f>
        <v>386</v>
      </c>
      <c r="K28" s="97">
        <f>IF(G28="","",ROUND(VLOOKUP($B28,战斗节奏!$A$4:$F$13,2,FALSE)/(IF($G28="",0,VLOOKUP($G28,'⚪设计'!$B$85:$H$104,5,FALSE)*$H28)+IF($L28="",0,VLOOKUP($L28,'⚪设计'!$B$85:$H$104,5,FALSE)*$M28)+IF($Q28="",0,VLOOKUP($Q28,'⚪设计'!$B$85:$H$104,5,FALSE)*$R28)+IF($V28="",0,VLOOKUP($V28,'⚪设计'!$B$85:$H$104,5,FALSE)*$W28))*IF(G28="",0,VLOOKUP(G28,'⚪设计'!$B$85:$H$104,5,FALSE)),0))</f>
        <v>51</v>
      </c>
      <c r="L28" s="97" t="str">
        <f>IF(VLOOKUP($A28,'⚪设计'!$A$144:$N$193,8,FALSE)="","",VLOOKUP($A28,'⚪设计'!$A$144:$N$193,8,FALSE))</f>
        <v>鸟1</v>
      </c>
      <c r="M28" s="97">
        <f>IF(N28=0,1,IF(N28="","",ROUND($F28/N28,0)))</f>
        <v>1</v>
      </c>
      <c r="N28" s="97">
        <f>IF(VLOOKUP($A28,'⚪设计'!$A$144:$N$193,12,FALSE)="","",VLOOKUP($A28,'⚪设计'!$A$144:$N$193,12,FALSE))</f>
        <v>0</v>
      </c>
      <c r="O28" s="97">
        <f>IF(L28="","",ROUND($D28*'⚪设计'!$D169/(IF($G28="",0,VLOOKUP($G28,'⚪设计'!$B$85:$H$104,4,FALSE)*$H28)+IF($L28="",0,VLOOKUP($L28,'⚪设计'!$B$85:$H$104,4,FALSE)*$M28)+IF($Q28="",0,VLOOKUP($Q28,'⚪设计'!$B$85:$H$104,4,FALSE)*$R28)+IF($V28="",0,VLOOKUP($V28,'⚪设计'!$B$85:$H$104,4,FALSE)*$W28))*IF(L28="",0,VLOOKUP(L28,'⚪设计'!$B$85:$H$104,4,FALSE)),0))</f>
        <v>1543</v>
      </c>
      <c r="P28" s="97">
        <f>IF(L28="","",ROUND(VLOOKUP($B28,战斗节奏!$A$4:$F$13,2,FALSE)/(IF($G28="",0,VLOOKUP($G28,'⚪设计'!$B$85:$H$104,5,FALSE)*$H28)+IF($L28="",0,VLOOKUP($L28,'⚪设计'!$B$85:$H$104,5,FALSE)*$M28)+IF($Q28="",0,VLOOKUP($Q28,'⚪设计'!$B$85:$H$104,5,FALSE)*$R28)+IF($V28="",0,VLOOKUP($V28,'⚪设计'!$B$85:$H$104,5,FALSE)*$W28))*IF(L28="",0,VLOOKUP(L28,'⚪设计'!$B$85:$H$104,5,FALSE)),0))</f>
        <v>206</v>
      </c>
      <c r="Q28" s="97" t="str">
        <f>IF(VLOOKUP($A28,'⚪设计'!$A$144:$N$193,9,FALSE)="","",VLOOKUP($A28,'⚪设计'!$A$144:$N$193,9,FALSE))</f>
        <v/>
      </c>
      <c r="R28" s="97" t="str">
        <f>IF(S28=0,1,IF(S28="","",ROUND($F28/S28,0)))</f>
        <v/>
      </c>
      <c r="S28" s="97" t="str">
        <f>IF(VLOOKUP($A28,'⚪设计'!$A$144:$N$193,13,FALSE)="","",VLOOKUP($A28,'⚪设计'!$A$144:$N$193,13,FALSE))</f>
        <v/>
      </c>
      <c r="T28" s="97" t="str">
        <f>IF(Q28="","",ROUND($D28*'⚪设计'!$D169/(IF($G28="",0,VLOOKUP($G28,'⚪设计'!$B$85:$H$104,4,FALSE)*$H28)+IF($L28="",0,VLOOKUP($L28,'⚪设计'!$B$85:$H$104,4,FALSE)*$M28)+IF($Q28="",0,VLOOKUP($Q28,'⚪设计'!$B$85:$H$104,4,FALSE)*$R28)+IF($V28="",0,VLOOKUP($V28,'⚪设计'!$B$85:$H$104,4,FALSE)*$W28))*IF(Q28="",0,VLOOKUP(Q28,'⚪设计'!$B$85:$H$104,4,FALSE)),0))</f>
        <v/>
      </c>
      <c r="U28" s="97" t="str">
        <f>IF(Q28="","",ROUND(VLOOKUP($B28,战斗节奏!$A$4:$F$13,2,FALSE)/(IF($G28="",0,VLOOKUP($G28,'⚪设计'!$B$85:$H$104,5,FALSE)*$H28)+IF($L28="",0,VLOOKUP($L28,'⚪设计'!$B$85:$H$104,5,FALSE)*$M28)+IF($Q28="",0,VLOOKUP($Q28,'⚪设计'!$B$85:$H$104,5,FALSE)*$R28)+IF($V28="",0,VLOOKUP($V28,'⚪设计'!$B$85:$H$104,5,FALSE)*$W28))*IF(Q28="",0,VLOOKUP(Q28,'⚪设计'!$B$85:$H$104,5,FALSE)),0))</f>
        <v/>
      </c>
      <c r="V28" s="97" t="str">
        <f>IF(VLOOKUP($A28,'⚪设计'!$A$144:$N$193,10,FALSE)="","",VLOOKUP($A28,'⚪设计'!$A$144:$N$193,10,FALSE))</f>
        <v/>
      </c>
      <c r="W28" s="97" t="str">
        <f>IF(X28=0,1,IF(X28="","",ROUND($F28/X28,0)))</f>
        <v/>
      </c>
      <c r="X28" s="97" t="str">
        <f>IF(VLOOKUP($A28,'⚪设计'!$A$144:$N$193,14,FALSE)="","",VLOOKUP($A28,'⚪设计'!$A$144:$N$193,14,FALSE))</f>
        <v/>
      </c>
      <c r="Y28" s="97" t="str">
        <f>IF(V28="","",ROUND($D28*'⚪设计'!$D169/(IF($G28="",0,VLOOKUP($G28,'⚪设计'!$B$85:$H$104,4,FALSE)*$H28)+IF($L28="",0,VLOOKUP($L28,'⚪设计'!$B$85:$H$104,4,FALSE)*$M28)+IF($Q28="",0,VLOOKUP($Q28,'⚪设计'!$B$85:$H$104,4,FALSE)*$R28)+IF($V28="",0,VLOOKUP($V28,'⚪设计'!$B$85:$H$104,4,FALSE)*$W28))*IF(V28="",0,VLOOKUP(V28,'⚪设计'!$B$85:$H$104,4,FALSE)),0))</f>
        <v/>
      </c>
      <c r="Z28" s="97" t="str">
        <f>IF(V28="","",ROUND(VLOOKUP($B28,战斗节奏!$A$4:$F$13,2,FALSE)/(IF($G28="",0,VLOOKUP($G28,'⚪设计'!$B$85:$H$104,5,FALSE)*$H28)+IF($L28="",0,VLOOKUP($L28,'⚪设计'!$B$85:$H$104,5,FALSE)*$M28)+IF($Q28="",0,VLOOKUP($Q28,'⚪设计'!$B$85:$H$104,5,FALSE)*$R28)+IF($V28="",0,VLOOKUP($V28,'⚪设计'!$B$85:$H$104,5,FALSE)*$W28))*IF(V28="",0,VLOOKUP(V28,'⚪设计'!$B$85:$H$104,5,FALSE)),0))</f>
        <v/>
      </c>
    </row>
    <row r="29" spans="1:26" x14ac:dyDescent="0.2">
      <c r="A29" s="2" t="str">
        <f t="shared" si="0"/>
        <v>6_2</v>
      </c>
      <c r="B29" s="2">
        <v>6</v>
      </c>
      <c r="C29" s="2">
        <v>2</v>
      </c>
      <c r="D29" s="97">
        <f>VLOOKUP(C29,无限模式!$A$3:$B$22,2,FALSE)</f>
        <v>1800</v>
      </c>
      <c r="E29" s="98">
        <v>1</v>
      </c>
      <c r="F29" s="97">
        <f>'⚪设计'!F170</f>
        <v>12.5</v>
      </c>
      <c r="G29" s="97" t="str">
        <f>IF(VLOOKUP($A29,'⚪设计'!$A$144:$N$193,7,FALSE)="","",VLOOKUP($A29,'⚪设计'!$A$144:$N$193,7,FALSE))</f>
        <v>蜜蜂1</v>
      </c>
      <c r="H29" s="97">
        <f t="shared" si="1"/>
        <v>25</v>
      </c>
      <c r="I29" s="97">
        <f>IF(VLOOKUP($A29,'⚪设计'!$A$144:$N$193,11,FALSE)="","",VLOOKUP($A29,'⚪设计'!$A$144:$N$193,11,FALSE))</f>
        <v>0.5</v>
      </c>
      <c r="J29" s="97">
        <f>IF(G29="","",ROUND($D29*'⚪设计'!$D170/(IF($G29="",0,VLOOKUP($G29,'⚪设计'!$B$85:$H$104,4,FALSE)*$H29)+IF($L29="",0,VLOOKUP($L29,'⚪设计'!$B$85:$H$104,4,FALSE)*$M29)+IF($Q29="",0,VLOOKUP($Q29,'⚪设计'!$B$85:$H$104,4,FALSE)*$R29)+IF($V29="",0,VLOOKUP($V29,'⚪设计'!$B$85:$H$104,4,FALSE)*$W29))*IF(G29="",0,VLOOKUP(G29,'⚪设计'!$B$85:$H$104,4,FALSE)),0))</f>
        <v>438</v>
      </c>
      <c r="K29" s="97">
        <f>IF(G29="","",ROUND(VLOOKUP($B29,战斗节奏!$A$4:$F$13,2,FALSE)/(IF($G29="",0,VLOOKUP($G29,'⚪设计'!$B$85:$H$104,5,FALSE)*$H29)+IF($L29="",0,VLOOKUP($L29,'⚪设计'!$B$85:$H$104,5,FALSE)*$M29)+IF($Q29="",0,VLOOKUP($Q29,'⚪设计'!$B$85:$H$104,5,FALSE)*$R29)+IF($V29="",0,VLOOKUP($V29,'⚪设计'!$B$85:$H$104,5,FALSE)*$W29))*IF(G29="",0,VLOOKUP(G29,'⚪设计'!$B$85:$H$104,5,FALSE)),0))</f>
        <v>19</v>
      </c>
      <c r="L29" s="97" t="str">
        <f>IF(VLOOKUP($A29,'⚪设计'!$A$144:$N$193,8,FALSE)="","",VLOOKUP($A29,'⚪设计'!$A$144:$N$193,8,FALSE))</f>
        <v>鸟1</v>
      </c>
      <c r="M29" s="97">
        <f t="shared" si="2"/>
        <v>3</v>
      </c>
      <c r="N29" s="97">
        <f>IF(VLOOKUP($A29,'⚪设计'!$A$144:$N$193,12,FALSE)="","",VLOOKUP($A29,'⚪设计'!$A$144:$N$193,12,FALSE))</f>
        <v>4</v>
      </c>
      <c r="O29" s="97">
        <f>IF(L29="","",ROUND($D29*'⚪设计'!$D170/(IF($G29="",0,VLOOKUP($G29,'⚪设计'!$B$85:$H$104,4,FALSE)*$H29)+IF($L29="",0,VLOOKUP($L29,'⚪设计'!$B$85:$H$104,4,FALSE)*$M29)+IF($Q29="",0,VLOOKUP($Q29,'⚪设计'!$B$85:$H$104,4,FALSE)*$R29)+IF($V29="",0,VLOOKUP($V29,'⚪设计'!$B$85:$H$104,4,FALSE)*$W29))*IF(L29="",0,VLOOKUP(L29,'⚪设计'!$B$85:$H$104,4,FALSE)),0))</f>
        <v>1751</v>
      </c>
      <c r="P29" s="97">
        <f>IF(L29="","",ROUND(VLOOKUP($B29,战斗节奏!$A$4:$F$13,2,FALSE)/(IF($G29="",0,VLOOKUP($G29,'⚪设计'!$B$85:$H$104,5,FALSE)*$H29)+IF($L29="",0,VLOOKUP($L29,'⚪设计'!$B$85:$H$104,5,FALSE)*$M29)+IF($Q29="",0,VLOOKUP($Q29,'⚪设计'!$B$85:$H$104,5,FALSE)*$R29)+IF($V29="",0,VLOOKUP($V29,'⚪设计'!$B$85:$H$104,5,FALSE)*$W29))*IF(L29="",0,VLOOKUP(L29,'⚪设计'!$B$85:$H$104,5,FALSE)),0))</f>
        <v>78</v>
      </c>
      <c r="Q29" s="97" t="str">
        <f>IF(VLOOKUP($A29,'⚪设计'!$A$144:$N$193,9,FALSE)="","",VLOOKUP($A29,'⚪设计'!$A$144:$N$193,9,FALSE))</f>
        <v/>
      </c>
      <c r="R29" s="97" t="str">
        <f t="shared" si="3"/>
        <v/>
      </c>
      <c r="S29" s="97" t="str">
        <f>IF(VLOOKUP($A29,'⚪设计'!$A$144:$N$193,13,FALSE)="","",VLOOKUP($A29,'⚪设计'!$A$144:$N$193,13,FALSE))</f>
        <v/>
      </c>
      <c r="T29" s="97" t="str">
        <f>IF(Q29="","",ROUND($D29*'⚪设计'!$D170/(IF($G29="",0,VLOOKUP($G29,'⚪设计'!$B$85:$H$104,4,FALSE)*$H29)+IF($L29="",0,VLOOKUP($L29,'⚪设计'!$B$85:$H$104,4,FALSE)*$M29)+IF($Q29="",0,VLOOKUP($Q29,'⚪设计'!$B$85:$H$104,4,FALSE)*$R29)+IF($V29="",0,VLOOKUP($V29,'⚪设计'!$B$85:$H$104,4,FALSE)*$W29))*IF(Q29="",0,VLOOKUP(Q29,'⚪设计'!$B$85:$H$104,4,FALSE)),0))</f>
        <v/>
      </c>
      <c r="U29" s="97" t="str">
        <f>IF(Q29="","",ROUND(VLOOKUP($B29,战斗节奏!$A$4:$F$13,2,FALSE)/(IF($G29="",0,VLOOKUP($G29,'⚪设计'!$B$85:$H$104,5,FALSE)*$H29)+IF($L29="",0,VLOOKUP($L29,'⚪设计'!$B$85:$H$104,5,FALSE)*$M29)+IF($Q29="",0,VLOOKUP($Q29,'⚪设计'!$B$85:$H$104,5,FALSE)*$R29)+IF($V29="",0,VLOOKUP($V29,'⚪设计'!$B$85:$H$104,5,FALSE)*$W29))*IF(Q29="",0,VLOOKUP(Q29,'⚪设计'!$B$85:$H$104,5,FALSE)),0))</f>
        <v/>
      </c>
      <c r="V29" s="97" t="str">
        <f>IF(VLOOKUP($A29,'⚪设计'!$A$144:$N$193,10,FALSE)="","",VLOOKUP($A29,'⚪设计'!$A$144:$N$193,10,FALSE))</f>
        <v/>
      </c>
      <c r="W29" s="97" t="str">
        <f t="shared" si="4"/>
        <v/>
      </c>
      <c r="X29" s="97" t="str">
        <f>IF(VLOOKUP($A29,'⚪设计'!$A$144:$N$193,14,FALSE)="","",VLOOKUP($A29,'⚪设计'!$A$144:$N$193,14,FALSE))</f>
        <v/>
      </c>
      <c r="Y29" s="97" t="str">
        <f>IF(V29="","",ROUND($D29*'⚪设计'!$D170/(IF($G29="",0,VLOOKUP($G29,'⚪设计'!$B$85:$H$104,4,FALSE)*$H29)+IF($L29="",0,VLOOKUP($L29,'⚪设计'!$B$85:$H$104,4,FALSE)*$M29)+IF($Q29="",0,VLOOKUP($Q29,'⚪设计'!$B$85:$H$104,4,FALSE)*$R29)+IF($V29="",0,VLOOKUP($V29,'⚪设计'!$B$85:$H$104,4,FALSE)*$W29))*IF(V29="",0,VLOOKUP(V29,'⚪设计'!$B$85:$H$104,4,FALSE)),0))</f>
        <v/>
      </c>
      <c r="Z29" s="97" t="str">
        <f>IF(V29="","",ROUND(VLOOKUP($B29,战斗节奏!$A$4:$F$13,2,FALSE)/(IF($G29="",0,VLOOKUP($G29,'⚪设计'!$B$85:$H$104,5,FALSE)*$H29)+IF($L29="",0,VLOOKUP($L29,'⚪设计'!$B$85:$H$104,5,FALSE)*$M29)+IF($Q29="",0,VLOOKUP($Q29,'⚪设计'!$B$85:$H$104,5,FALSE)*$R29)+IF($V29="",0,VLOOKUP($V29,'⚪设计'!$B$85:$H$104,5,FALSE)*$W29))*IF(V29="",0,VLOOKUP(V29,'⚪设计'!$B$85:$H$104,5,FALSE)),0))</f>
        <v/>
      </c>
    </row>
    <row r="30" spans="1:26" x14ac:dyDescent="0.2">
      <c r="A30" s="2" t="str">
        <f t="shared" si="0"/>
        <v>6_3</v>
      </c>
      <c r="B30" s="2">
        <v>6</v>
      </c>
      <c r="C30" s="2">
        <v>3</v>
      </c>
      <c r="D30" s="97">
        <f>VLOOKUP(C30,无限模式!$A$3:$B$22,2,FALSE)</f>
        <v>3600</v>
      </c>
      <c r="E30" s="98">
        <v>1</v>
      </c>
      <c r="F30" s="97">
        <f>'⚪设计'!F171</f>
        <v>15</v>
      </c>
      <c r="G30" s="97" t="str">
        <f>IF(VLOOKUP($A30,'⚪设计'!$A$144:$N$193,7,FALSE)="","",VLOOKUP($A30,'⚪设计'!$A$144:$N$193,7,FALSE))</f>
        <v>蜜蜂1</v>
      </c>
      <c r="H30" s="97">
        <f t="shared" si="1"/>
        <v>30</v>
      </c>
      <c r="I30" s="97">
        <f>IF(VLOOKUP($A30,'⚪设计'!$A$144:$N$193,11,FALSE)="","",VLOOKUP($A30,'⚪设计'!$A$144:$N$193,11,FALSE))</f>
        <v>0.5</v>
      </c>
      <c r="J30" s="97">
        <f>IF(G30="","",ROUND($D30*'⚪设计'!$D171/(IF($G30="",0,VLOOKUP($G30,'⚪设计'!$B$85:$H$104,4,FALSE)*$H30)+IF($L30="",0,VLOOKUP($L30,'⚪设计'!$B$85:$H$104,4,FALSE)*$M30)+IF($Q30="",0,VLOOKUP($Q30,'⚪设计'!$B$85:$H$104,4,FALSE)*$R30)+IF($V30="",0,VLOOKUP($V30,'⚪设计'!$B$85:$H$104,4,FALSE)*$W30))*IF(G30="",0,VLOOKUP(G30,'⚪设计'!$B$85:$H$104,4,FALSE)),0))</f>
        <v>628</v>
      </c>
      <c r="K30" s="97">
        <f>IF(G30="","",ROUND(VLOOKUP($B30,战斗节奏!$A$4:$F$13,2,FALSE)/(IF($G30="",0,VLOOKUP($G30,'⚪设计'!$B$85:$H$104,5,FALSE)*$H30)+IF($L30="",0,VLOOKUP($L30,'⚪设计'!$B$85:$H$104,5,FALSE)*$M30)+IF($Q30="",0,VLOOKUP($Q30,'⚪设计'!$B$85:$H$104,5,FALSE)*$R30)+IF($V30="",0,VLOOKUP($V30,'⚪设计'!$B$85:$H$104,5,FALSE)*$W30))*IF(G30="",0,VLOOKUP(G30,'⚪设计'!$B$85:$H$104,5,FALSE)),0))</f>
        <v>8</v>
      </c>
      <c r="L30" s="97" t="str">
        <f>IF(VLOOKUP($A30,'⚪设计'!$A$144:$N$193,8,FALSE)="","",VLOOKUP($A30,'⚪设计'!$A$144:$N$193,8,FALSE))</f>
        <v>蜜蜂2</v>
      </c>
      <c r="M30" s="97">
        <f t="shared" si="2"/>
        <v>10</v>
      </c>
      <c r="N30" s="97">
        <f>IF(VLOOKUP($A30,'⚪设计'!$A$144:$N$193,12,FALSE)="","",VLOOKUP($A30,'⚪设计'!$A$144:$N$193,12,FALSE))</f>
        <v>1.5</v>
      </c>
      <c r="O30" s="97">
        <f>IF(L30="","",ROUND($D30*'⚪设计'!$D171/(IF($G30="",0,VLOOKUP($G30,'⚪设计'!$B$85:$H$104,4,FALSE)*$H30)+IF($L30="",0,VLOOKUP($L30,'⚪设计'!$B$85:$H$104,4,FALSE)*$M30)+IF($Q30="",0,VLOOKUP($Q30,'⚪设计'!$B$85:$H$104,4,FALSE)*$R30)+IF($V30="",0,VLOOKUP($V30,'⚪设计'!$B$85:$H$104,4,FALSE)*$W30))*IF(L30="",0,VLOOKUP(L30,'⚪设计'!$B$85:$H$104,4,FALSE)),0))</f>
        <v>2512</v>
      </c>
      <c r="P30" s="97">
        <f>IF(L30="","",ROUND(VLOOKUP($B30,战斗节奏!$A$4:$F$13,2,FALSE)/(IF($G30="",0,VLOOKUP($G30,'⚪设计'!$B$85:$H$104,5,FALSE)*$H30)+IF($L30="",0,VLOOKUP($L30,'⚪设计'!$B$85:$H$104,5,FALSE)*$M30)+IF($Q30="",0,VLOOKUP($Q30,'⚪设计'!$B$85:$H$104,5,FALSE)*$R30)+IF($V30="",0,VLOOKUP($V30,'⚪设计'!$B$85:$H$104,5,FALSE)*$W30))*IF(L30="",0,VLOOKUP(L30,'⚪设计'!$B$85:$H$104,5,FALSE)),0))</f>
        <v>33</v>
      </c>
      <c r="Q30" s="97" t="str">
        <f>IF(VLOOKUP($A30,'⚪设计'!$A$144:$N$193,9,FALSE)="","",VLOOKUP($A30,'⚪设计'!$A$144:$N$193,9,FALSE))</f>
        <v>鸟1</v>
      </c>
      <c r="R30" s="97">
        <f t="shared" si="3"/>
        <v>4</v>
      </c>
      <c r="S30" s="97">
        <f>IF(VLOOKUP($A30,'⚪设计'!$A$144:$N$193,13,FALSE)="","",VLOOKUP($A30,'⚪设计'!$A$144:$N$193,13,FALSE))</f>
        <v>4</v>
      </c>
      <c r="T30" s="97">
        <f>IF(Q30="","",ROUND($D30*'⚪设计'!$D171/(IF($G30="",0,VLOOKUP($G30,'⚪设计'!$B$85:$H$104,4,FALSE)*$H30)+IF($L30="",0,VLOOKUP($L30,'⚪设计'!$B$85:$H$104,4,FALSE)*$M30)+IF($Q30="",0,VLOOKUP($Q30,'⚪设计'!$B$85:$H$104,4,FALSE)*$R30)+IF($V30="",0,VLOOKUP($V30,'⚪设计'!$B$85:$H$104,4,FALSE)*$W30))*IF(Q30="",0,VLOOKUP(Q30,'⚪设计'!$B$85:$H$104,4,FALSE)),0))</f>
        <v>2512</v>
      </c>
      <c r="U30" s="97">
        <f>IF(Q30="","",ROUND(VLOOKUP($B30,战斗节奏!$A$4:$F$13,2,FALSE)/(IF($G30="",0,VLOOKUP($G30,'⚪设计'!$B$85:$H$104,5,FALSE)*$H30)+IF($L30="",0,VLOOKUP($L30,'⚪设计'!$B$85:$H$104,5,FALSE)*$M30)+IF($Q30="",0,VLOOKUP($Q30,'⚪设计'!$B$85:$H$104,5,FALSE)*$R30)+IF($V30="",0,VLOOKUP($V30,'⚪设计'!$B$85:$H$104,5,FALSE)*$W30))*IF(Q30="",0,VLOOKUP(Q30,'⚪设计'!$B$85:$H$104,5,FALSE)),0))</f>
        <v>33</v>
      </c>
      <c r="V30" s="97" t="str">
        <f>IF(VLOOKUP($A30,'⚪设计'!$A$144:$N$193,10,FALSE)="","",VLOOKUP($A30,'⚪设计'!$A$144:$N$193,10,FALSE))</f>
        <v/>
      </c>
      <c r="W30" s="97" t="str">
        <f t="shared" si="4"/>
        <v/>
      </c>
      <c r="X30" s="97" t="str">
        <f>IF(VLOOKUP($A30,'⚪设计'!$A$144:$N$193,14,FALSE)="","",VLOOKUP($A30,'⚪设计'!$A$144:$N$193,14,FALSE))</f>
        <v/>
      </c>
      <c r="Y30" s="97" t="str">
        <f>IF(V30="","",ROUND($D30*'⚪设计'!$D171/(IF($G30="",0,VLOOKUP($G30,'⚪设计'!$B$85:$H$104,4,FALSE)*$H30)+IF($L30="",0,VLOOKUP($L30,'⚪设计'!$B$85:$H$104,4,FALSE)*$M30)+IF($Q30="",0,VLOOKUP($Q30,'⚪设计'!$B$85:$H$104,4,FALSE)*$R30)+IF($V30="",0,VLOOKUP($V30,'⚪设计'!$B$85:$H$104,4,FALSE)*$W30))*IF(V30="",0,VLOOKUP(V30,'⚪设计'!$B$85:$H$104,4,FALSE)),0))</f>
        <v/>
      </c>
      <c r="Z30" s="97" t="str">
        <f>IF(V30="","",ROUND(VLOOKUP($B30,战斗节奏!$A$4:$F$13,2,FALSE)/(IF($G30="",0,VLOOKUP($G30,'⚪设计'!$B$85:$H$104,5,FALSE)*$H30)+IF($L30="",0,VLOOKUP($L30,'⚪设计'!$B$85:$H$104,5,FALSE)*$M30)+IF($Q30="",0,VLOOKUP($Q30,'⚪设计'!$B$85:$H$104,5,FALSE)*$R30)+IF($V30="",0,VLOOKUP($V30,'⚪设计'!$B$85:$H$104,5,FALSE)*$W30))*IF(V30="",0,VLOOKUP(V30,'⚪设计'!$B$85:$H$104,5,FALSE)),0))</f>
        <v/>
      </c>
    </row>
    <row r="31" spans="1:26" x14ac:dyDescent="0.2">
      <c r="A31" s="2" t="str">
        <f t="shared" si="0"/>
        <v>6_4</v>
      </c>
      <c r="B31" s="2">
        <v>6</v>
      </c>
      <c r="C31" s="2">
        <v>4</v>
      </c>
      <c r="D31" s="97">
        <f>VLOOKUP(C31,无限模式!$A$3:$B$22,2,FALSE)</f>
        <v>4500</v>
      </c>
      <c r="E31" s="98">
        <v>1</v>
      </c>
      <c r="F31" s="97">
        <f>'⚪设计'!F172</f>
        <v>17.5</v>
      </c>
      <c r="G31" s="97" t="str">
        <f>IF(VLOOKUP($A31,'⚪设计'!$A$144:$N$193,7,FALSE)="","",VLOOKUP($A31,'⚪设计'!$A$144:$N$193,7,FALSE))</f>
        <v>蜜蜂1</v>
      </c>
      <c r="H31" s="97">
        <f t="shared" si="1"/>
        <v>58</v>
      </c>
      <c r="I31" s="97">
        <f>IF(VLOOKUP($A31,'⚪设计'!$A$144:$N$193,11,FALSE)="","",VLOOKUP($A31,'⚪设计'!$A$144:$N$193,11,FALSE))</f>
        <v>0.3</v>
      </c>
      <c r="J31" s="97">
        <f>IF(G31="","",ROUND($D31*'⚪设计'!$D172/(IF($G31="",0,VLOOKUP($G31,'⚪设计'!$B$85:$H$104,4,FALSE)*$H31)+IF($L31="",0,VLOOKUP($L31,'⚪设计'!$B$85:$H$104,4,FALSE)*$M31)+IF($Q31="",0,VLOOKUP($Q31,'⚪设计'!$B$85:$H$104,4,FALSE)*$R31)+IF($V31="",0,VLOOKUP($V31,'⚪设计'!$B$85:$H$104,4,FALSE)*$W31))*IF(G31="",0,VLOOKUP(G31,'⚪设计'!$B$85:$H$104,4,FALSE)),0))</f>
        <v>775</v>
      </c>
      <c r="K31" s="97">
        <f>IF(G31="","",ROUND(VLOOKUP($B31,战斗节奏!$A$4:$F$13,2,FALSE)/(IF($G31="",0,VLOOKUP($G31,'⚪设计'!$B$85:$H$104,5,FALSE)*$H31)+IF($L31="",0,VLOOKUP($L31,'⚪设计'!$B$85:$H$104,5,FALSE)*$M31)+IF($Q31="",0,VLOOKUP($Q31,'⚪设计'!$B$85:$H$104,5,FALSE)*$R31)+IF($V31="",0,VLOOKUP($V31,'⚪设计'!$B$85:$H$104,5,FALSE)*$W31))*IF(G31="",0,VLOOKUP(G31,'⚪设计'!$B$85:$H$104,5,FALSE)),0))</f>
        <v>6</v>
      </c>
      <c r="L31" s="97" t="str">
        <f>IF(VLOOKUP($A31,'⚪设计'!$A$144:$N$193,8,FALSE)="","",VLOOKUP($A31,'⚪设计'!$A$144:$N$193,8,FALSE))</f>
        <v>蜜蜂2</v>
      </c>
      <c r="M31" s="97">
        <f t="shared" si="2"/>
        <v>12</v>
      </c>
      <c r="N31" s="97">
        <f>IF(VLOOKUP($A31,'⚪设计'!$A$144:$N$193,12,FALSE)="","",VLOOKUP($A31,'⚪设计'!$A$144:$N$193,12,FALSE))</f>
        <v>1.5</v>
      </c>
      <c r="O31" s="97">
        <f>IF(L31="","",ROUND($D31*'⚪设计'!$D172/(IF($G31="",0,VLOOKUP($G31,'⚪设计'!$B$85:$H$104,4,FALSE)*$H31)+IF($L31="",0,VLOOKUP($L31,'⚪设计'!$B$85:$H$104,4,FALSE)*$M31)+IF($Q31="",0,VLOOKUP($Q31,'⚪设计'!$B$85:$H$104,4,FALSE)*$R31)+IF($V31="",0,VLOOKUP($V31,'⚪设计'!$B$85:$H$104,4,FALSE)*$W31))*IF(L31="",0,VLOOKUP(L31,'⚪设计'!$B$85:$H$104,4,FALSE)),0))</f>
        <v>3098</v>
      </c>
      <c r="P31" s="97">
        <f>IF(L31="","",ROUND(VLOOKUP($B31,战斗节奏!$A$4:$F$13,2,FALSE)/(IF($G31="",0,VLOOKUP($G31,'⚪设计'!$B$85:$H$104,5,FALSE)*$H31)+IF($L31="",0,VLOOKUP($L31,'⚪设计'!$B$85:$H$104,5,FALSE)*$M31)+IF($Q31="",0,VLOOKUP($Q31,'⚪设计'!$B$85:$H$104,5,FALSE)*$R31)+IF($V31="",0,VLOOKUP($V31,'⚪设计'!$B$85:$H$104,5,FALSE)*$W31))*IF(L31="",0,VLOOKUP(L31,'⚪设计'!$B$85:$H$104,5,FALSE)),0))</f>
        <v>24</v>
      </c>
      <c r="Q31" s="97" t="str">
        <f>IF(VLOOKUP($A31,'⚪设计'!$A$144:$N$193,9,FALSE)="","",VLOOKUP($A31,'⚪设计'!$A$144:$N$193,9,FALSE))</f>
        <v>鸟1</v>
      </c>
      <c r="R31" s="97">
        <f t="shared" si="3"/>
        <v>4</v>
      </c>
      <c r="S31" s="97">
        <f>IF(VLOOKUP($A31,'⚪设计'!$A$144:$N$193,13,FALSE)="","",VLOOKUP($A31,'⚪设计'!$A$144:$N$193,13,FALSE))</f>
        <v>4</v>
      </c>
      <c r="T31" s="97">
        <f>IF(Q31="","",ROUND($D31*'⚪设计'!$D172/(IF($G31="",0,VLOOKUP($G31,'⚪设计'!$B$85:$H$104,4,FALSE)*$H31)+IF($L31="",0,VLOOKUP($L31,'⚪设计'!$B$85:$H$104,4,FALSE)*$M31)+IF($Q31="",0,VLOOKUP($Q31,'⚪设计'!$B$85:$H$104,4,FALSE)*$R31)+IF($V31="",0,VLOOKUP($V31,'⚪设计'!$B$85:$H$104,4,FALSE)*$W31))*IF(Q31="",0,VLOOKUP(Q31,'⚪设计'!$B$85:$H$104,4,FALSE)),0))</f>
        <v>3098</v>
      </c>
      <c r="U31" s="97">
        <f>IF(Q31="","",ROUND(VLOOKUP($B31,战斗节奏!$A$4:$F$13,2,FALSE)/(IF($G31="",0,VLOOKUP($G31,'⚪设计'!$B$85:$H$104,5,FALSE)*$H31)+IF($L31="",0,VLOOKUP($L31,'⚪设计'!$B$85:$H$104,5,FALSE)*$M31)+IF($Q31="",0,VLOOKUP($Q31,'⚪设计'!$B$85:$H$104,5,FALSE)*$R31)+IF($V31="",0,VLOOKUP($V31,'⚪设计'!$B$85:$H$104,5,FALSE)*$W31))*IF(Q31="",0,VLOOKUP(Q31,'⚪设计'!$B$85:$H$104,5,FALSE)),0))</f>
        <v>24</v>
      </c>
      <c r="V31" s="97" t="str">
        <f>IF(VLOOKUP($A31,'⚪设计'!$A$144:$N$193,10,FALSE)="","",VLOOKUP($A31,'⚪设计'!$A$144:$N$193,10,FALSE))</f>
        <v/>
      </c>
      <c r="W31" s="97" t="str">
        <f t="shared" si="4"/>
        <v/>
      </c>
      <c r="X31" s="97" t="str">
        <f>IF(VLOOKUP($A31,'⚪设计'!$A$144:$N$193,14,FALSE)="","",VLOOKUP($A31,'⚪设计'!$A$144:$N$193,14,FALSE))</f>
        <v/>
      </c>
      <c r="Y31" s="97" t="str">
        <f>IF(V31="","",ROUND($D31*'⚪设计'!$D172/(IF($G31="",0,VLOOKUP($G31,'⚪设计'!$B$85:$H$104,4,FALSE)*$H31)+IF($L31="",0,VLOOKUP($L31,'⚪设计'!$B$85:$H$104,4,FALSE)*$M31)+IF($Q31="",0,VLOOKUP($Q31,'⚪设计'!$B$85:$H$104,4,FALSE)*$R31)+IF($V31="",0,VLOOKUP($V31,'⚪设计'!$B$85:$H$104,4,FALSE)*$W31))*IF(V31="",0,VLOOKUP(V31,'⚪设计'!$B$85:$H$104,4,FALSE)),0))</f>
        <v/>
      </c>
      <c r="Z31" s="97" t="str">
        <f>IF(V31="","",ROUND(VLOOKUP($B31,战斗节奏!$A$4:$F$13,2,FALSE)/(IF($G31="",0,VLOOKUP($G31,'⚪设计'!$B$85:$H$104,5,FALSE)*$H31)+IF($L31="",0,VLOOKUP($L31,'⚪设计'!$B$85:$H$104,5,FALSE)*$M31)+IF($Q31="",0,VLOOKUP($Q31,'⚪设计'!$B$85:$H$104,5,FALSE)*$R31)+IF($V31="",0,VLOOKUP($V31,'⚪设计'!$B$85:$H$104,5,FALSE)*$W31))*IF(V31="",0,VLOOKUP(V31,'⚪设计'!$B$85:$H$104,5,FALSE)),0))</f>
        <v/>
      </c>
    </row>
    <row r="32" spans="1:26" x14ac:dyDescent="0.2">
      <c r="A32" s="2" t="str">
        <f t="shared" si="0"/>
        <v>6_5</v>
      </c>
      <c r="B32" s="2">
        <v>6</v>
      </c>
      <c r="C32" s="2">
        <v>5</v>
      </c>
      <c r="D32" s="97">
        <f>VLOOKUP(C32,无限模式!$A$3:$B$22,2,FALSE)</f>
        <v>5400</v>
      </c>
      <c r="E32" s="98">
        <v>1</v>
      </c>
      <c r="F32" s="97">
        <f>'⚪设计'!F173</f>
        <v>20</v>
      </c>
      <c r="G32" s="97" t="str">
        <f>IF(VLOOKUP($A32,'⚪设计'!$A$144:$N$193,7,FALSE)="","",VLOOKUP($A32,'⚪设计'!$A$144:$N$193,7,FALSE))</f>
        <v>蜜蜂1</v>
      </c>
      <c r="H32" s="97">
        <f t="shared" si="1"/>
        <v>67</v>
      </c>
      <c r="I32" s="97">
        <f>IF(VLOOKUP($A32,'⚪设计'!$A$144:$N$193,11,FALSE)="","",VLOOKUP($A32,'⚪设计'!$A$144:$N$193,11,FALSE))</f>
        <v>0.3</v>
      </c>
      <c r="J32" s="97">
        <f>IF(G32="","",ROUND($D32*'⚪设计'!$D173/(IF($G32="",0,VLOOKUP($G32,'⚪设计'!$B$85:$H$104,4,FALSE)*$H32)+IF($L32="",0,VLOOKUP($L32,'⚪设计'!$B$85:$H$104,4,FALSE)*$M32)+IF($Q32="",0,VLOOKUP($Q32,'⚪设计'!$B$85:$H$104,4,FALSE)*$R32)+IF($V32="",0,VLOOKUP($V32,'⚪设计'!$B$85:$H$104,4,FALSE)*$W32))*IF(G32="",0,VLOOKUP(G32,'⚪设计'!$B$85:$H$104,4,FALSE)),0))</f>
        <v>703</v>
      </c>
      <c r="K32" s="97">
        <f>IF(G32="","",ROUND(VLOOKUP($B32,战斗节奏!$A$4:$F$13,2,FALSE)/(IF($G32="",0,VLOOKUP($G32,'⚪设计'!$B$85:$H$104,5,FALSE)*$H32)+IF($L32="",0,VLOOKUP($L32,'⚪设计'!$B$85:$H$104,5,FALSE)*$M32)+IF($Q32="",0,VLOOKUP($Q32,'⚪设计'!$B$85:$H$104,5,FALSE)*$R32)+IF($V32="",0,VLOOKUP($V32,'⚪设计'!$B$85:$H$104,5,FALSE)*$W32))*IF(G32="",0,VLOOKUP(G32,'⚪设计'!$B$85:$H$104,5,FALSE)),0))</f>
        <v>3</v>
      </c>
      <c r="L32" s="97" t="str">
        <f>IF(VLOOKUP($A32,'⚪设计'!$A$144:$N$193,8,FALSE)="","",VLOOKUP($A32,'⚪设计'!$A$144:$N$193,8,FALSE))</f>
        <v>蜜蜂2</v>
      </c>
      <c r="M32" s="97">
        <f t="shared" si="2"/>
        <v>27</v>
      </c>
      <c r="N32" s="97">
        <f>IF(VLOOKUP($A32,'⚪设计'!$A$144:$N$193,12,FALSE)="","",VLOOKUP($A32,'⚪设计'!$A$144:$N$193,12,FALSE))</f>
        <v>0.75</v>
      </c>
      <c r="O32" s="97">
        <f>IF(L32="","",ROUND($D32*'⚪设计'!$D173/(IF($G32="",0,VLOOKUP($G32,'⚪设计'!$B$85:$H$104,4,FALSE)*$H32)+IF($L32="",0,VLOOKUP($L32,'⚪设计'!$B$85:$H$104,4,FALSE)*$M32)+IF($Q32="",0,VLOOKUP($Q32,'⚪设计'!$B$85:$H$104,4,FALSE)*$R32)+IF($V32="",0,VLOOKUP($V32,'⚪设计'!$B$85:$H$104,4,FALSE)*$W32))*IF(L32="",0,VLOOKUP(L32,'⚪设计'!$B$85:$H$104,4,FALSE)),0))</f>
        <v>2813</v>
      </c>
      <c r="P32" s="97">
        <f>IF(L32="","",ROUND(VLOOKUP($B32,战斗节奏!$A$4:$F$13,2,FALSE)/(IF($G32="",0,VLOOKUP($G32,'⚪设计'!$B$85:$H$104,5,FALSE)*$H32)+IF($L32="",0,VLOOKUP($L32,'⚪设计'!$B$85:$H$104,5,FALSE)*$M32)+IF($Q32="",0,VLOOKUP($Q32,'⚪设计'!$B$85:$H$104,5,FALSE)*$R32)+IF($V32="",0,VLOOKUP($V32,'⚪设计'!$B$85:$H$104,5,FALSE)*$W32))*IF(L32="",0,VLOOKUP(L32,'⚪设计'!$B$85:$H$104,5,FALSE)),0))</f>
        <v>13</v>
      </c>
      <c r="Q32" s="97" t="str">
        <f>IF(VLOOKUP($A32,'⚪设计'!$A$144:$N$193,9,FALSE)="","",VLOOKUP($A32,'⚪设计'!$A$144:$N$193,9,FALSE))</f>
        <v>鸟1</v>
      </c>
      <c r="R32" s="97">
        <f t="shared" si="3"/>
        <v>10</v>
      </c>
      <c r="S32" s="97">
        <f>IF(VLOOKUP($A32,'⚪设计'!$A$144:$N$193,13,FALSE)="","",VLOOKUP($A32,'⚪设计'!$A$144:$N$193,13,FALSE))</f>
        <v>2</v>
      </c>
      <c r="T32" s="97">
        <f>IF(Q32="","",ROUND($D32*'⚪设计'!$D173/(IF($G32="",0,VLOOKUP($G32,'⚪设计'!$B$85:$H$104,4,FALSE)*$H32)+IF($L32="",0,VLOOKUP($L32,'⚪设计'!$B$85:$H$104,4,FALSE)*$M32)+IF($Q32="",0,VLOOKUP($Q32,'⚪设计'!$B$85:$H$104,4,FALSE)*$R32)+IF($V32="",0,VLOOKUP($V32,'⚪设计'!$B$85:$H$104,4,FALSE)*$W32))*IF(Q32="",0,VLOOKUP(Q32,'⚪设计'!$B$85:$H$104,4,FALSE)),0))</f>
        <v>2813</v>
      </c>
      <c r="U32" s="97">
        <f>IF(Q32="","",ROUND(VLOOKUP($B32,战斗节奏!$A$4:$F$13,2,FALSE)/(IF($G32="",0,VLOOKUP($G32,'⚪设计'!$B$85:$H$104,5,FALSE)*$H32)+IF($L32="",0,VLOOKUP($L32,'⚪设计'!$B$85:$H$104,5,FALSE)*$M32)+IF($Q32="",0,VLOOKUP($Q32,'⚪设计'!$B$85:$H$104,5,FALSE)*$R32)+IF($V32="",0,VLOOKUP($V32,'⚪设计'!$B$85:$H$104,5,FALSE)*$W32))*IF(Q32="",0,VLOOKUP(Q32,'⚪设计'!$B$85:$H$104,5,FALSE)),0))</f>
        <v>13</v>
      </c>
      <c r="V32" s="97" t="str">
        <f>IF(VLOOKUP($A32,'⚪设计'!$A$144:$N$193,10,FALSE)="","",VLOOKUP($A32,'⚪设计'!$A$144:$N$193,10,FALSE))</f>
        <v/>
      </c>
      <c r="W32" s="97" t="str">
        <f t="shared" si="4"/>
        <v/>
      </c>
      <c r="X32" s="97" t="str">
        <f>IF(VLOOKUP($A32,'⚪设计'!$A$144:$N$193,14,FALSE)="","",VLOOKUP($A32,'⚪设计'!$A$144:$N$193,14,FALSE))</f>
        <v/>
      </c>
      <c r="Y32" s="97" t="str">
        <f>IF(V32="","",ROUND($D32*'⚪设计'!$D173/(IF($G32="",0,VLOOKUP($G32,'⚪设计'!$B$85:$H$104,4,FALSE)*$H32)+IF($L32="",0,VLOOKUP($L32,'⚪设计'!$B$85:$H$104,4,FALSE)*$M32)+IF($Q32="",0,VLOOKUP($Q32,'⚪设计'!$B$85:$H$104,4,FALSE)*$R32)+IF($V32="",0,VLOOKUP($V32,'⚪设计'!$B$85:$H$104,4,FALSE)*$W32))*IF(V32="",0,VLOOKUP(V32,'⚪设计'!$B$85:$H$104,4,FALSE)),0))</f>
        <v/>
      </c>
      <c r="Z32" s="97" t="str">
        <f>IF(V32="","",ROUND(VLOOKUP($B32,战斗节奏!$A$4:$F$13,2,FALSE)/(IF($G32="",0,VLOOKUP($G32,'⚪设计'!$B$85:$H$104,5,FALSE)*$H32)+IF($L32="",0,VLOOKUP($L32,'⚪设计'!$B$85:$H$104,5,FALSE)*$M32)+IF($Q32="",0,VLOOKUP($Q32,'⚪设计'!$B$85:$H$104,5,FALSE)*$R32)+IF($V32="",0,VLOOKUP($V32,'⚪设计'!$B$85:$H$104,5,FALSE)*$W32))*IF(V32="",0,VLOOKUP(V32,'⚪设计'!$B$85:$H$104,5,FALSE)),0))</f>
        <v/>
      </c>
    </row>
    <row r="33" spans="1:26" x14ac:dyDescent="0.2">
      <c r="A33" s="2" t="str">
        <f t="shared" si="0"/>
        <v>7_1</v>
      </c>
      <c r="B33" s="2">
        <v>7</v>
      </c>
      <c r="C33" s="2">
        <v>1</v>
      </c>
      <c r="D33" s="97">
        <f>VLOOKUP(C33,无限模式!$A$3:$B$22,2,FALSE)</f>
        <v>900</v>
      </c>
      <c r="E33" s="98">
        <v>1</v>
      </c>
      <c r="F33" s="97">
        <f>'⚪设计'!F174</f>
        <v>10</v>
      </c>
      <c r="G33" s="97" t="str">
        <f>IF(VLOOKUP($A33,'⚪设计'!$A$144:$N$193,7,FALSE)="","",VLOOKUP($A33,'⚪设计'!$A$144:$N$193,7,FALSE))</f>
        <v>蜘蛛1</v>
      </c>
      <c r="H33" s="97">
        <f t="shared" si="1"/>
        <v>10</v>
      </c>
      <c r="I33" s="97">
        <f>IF(VLOOKUP($A33,'⚪设计'!$A$144:$N$193,11,FALSE)="","",VLOOKUP($A33,'⚪设计'!$A$144:$N$193,11,FALSE))</f>
        <v>1</v>
      </c>
      <c r="J33" s="97">
        <f>IF(G33="","",ROUND($D33*'⚪设计'!$D174/(IF($G33="",0,VLOOKUP($G33,'⚪设计'!$B$85:$H$104,4,FALSE)*$H33)+IF($L33="",0,VLOOKUP($L33,'⚪设计'!$B$85:$H$104,4,FALSE)*$M33)+IF($Q33="",0,VLOOKUP($Q33,'⚪设计'!$B$85:$H$104,4,FALSE)*$R33)+IF($V33="",0,VLOOKUP($V33,'⚪设计'!$B$85:$H$104,4,FALSE)*$W33))*IF(G33="",0,VLOOKUP(G33,'⚪设计'!$B$85:$H$104,4,FALSE)),0))</f>
        <v>495</v>
      </c>
      <c r="K33" s="97">
        <f>IF(G33="","",ROUND(VLOOKUP($B33,战斗节奏!$A$4:$F$13,2,FALSE)/(IF($G33="",0,VLOOKUP($G33,'⚪设计'!$B$85:$H$104,5,FALSE)*$H33)+IF($L33="",0,VLOOKUP($L33,'⚪设计'!$B$85:$H$104,5,FALSE)*$M33)+IF($Q33="",0,VLOOKUP($Q33,'⚪设计'!$B$85:$H$104,5,FALSE)*$R33)+IF($V33="",0,VLOOKUP($V33,'⚪设计'!$B$85:$H$104,5,FALSE)*$W33))*IF(G33="",0,VLOOKUP(G33,'⚪设计'!$B$85:$H$104,5,FALSE)),0))</f>
        <v>60</v>
      </c>
      <c r="L33" s="97" t="str">
        <f>IF(VLOOKUP($A33,'⚪设计'!$A$144:$N$193,8,FALSE)="","",VLOOKUP($A33,'⚪设计'!$A$144:$N$193,8,FALSE))</f>
        <v>鸟1</v>
      </c>
      <c r="M33" s="97">
        <f t="shared" si="2"/>
        <v>1</v>
      </c>
      <c r="N33" s="97">
        <f>IF(VLOOKUP($A33,'⚪设计'!$A$144:$N$193,12,FALSE)="","",VLOOKUP($A33,'⚪设计'!$A$144:$N$193,12,FALSE))</f>
        <v>0</v>
      </c>
      <c r="O33" s="97">
        <f>IF(L33="","",ROUND($D33*'⚪设计'!$D174/(IF($G33="",0,VLOOKUP($G33,'⚪设计'!$B$85:$H$104,4,FALSE)*$H33)+IF($L33="",0,VLOOKUP($L33,'⚪设计'!$B$85:$H$104,4,FALSE)*$M33)+IF($Q33="",0,VLOOKUP($Q33,'⚪设计'!$B$85:$H$104,4,FALSE)*$R33)+IF($V33="",0,VLOOKUP($V33,'⚪设计'!$B$85:$H$104,4,FALSE)*$W33))*IF(L33="",0,VLOOKUP(L33,'⚪设计'!$B$85:$H$104,4,FALSE)),0))</f>
        <v>990</v>
      </c>
      <c r="P33" s="97">
        <f>IF(L33="","",ROUND(VLOOKUP($B33,战斗节奏!$A$4:$F$13,2,FALSE)/(IF($G33="",0,VLOOKUP($G33,'⚪设计'!$B$85:$H$104,5,FALSE)*$H33)+IF($L33="",0,VLOOKUP($L33,'⚪设计'!$B$85:$H$104,5,FALSE)*$M33)+IF($Q33="",0,VLOOKUP($Q33,'⚪设计'!$B$85:$H$104,5,FALSE)*$R33)+IF($V33="",0,VLOOKUP($V33,'⚪设计'!$B$85:$H$104,5,FALSE)*$W33))*IF(L33="",0,VLOOKUP(L33,'⚪设计'!$B$85:$H$104,5,FALSE)),0))</f>
        <v>120</v>
      </c>
      <c r="Q33" s="97" t="str">
        <f>IF(VLOOKUP($A33,'⚪设计'!$A$144:$N$193,9,FALSE)="","",VLOOKUP($A33,'⚪设计'!$A$144:$N$193,9,FALSE))</f>
        <v/>
      </c>
      <c r="R33" s="97" t="str">
        <f t="shared" si="3"/>
        <v/>
      </c>
      <c r="S33" s="97" t="str">
        <f>IF(VLOOKUP($A33,'⚪设计'!$A$144:$N$193,13,FALSE)="","",VLOOKUP($A33,'⚪设计'!$A$144:$N$193,13,FALSE))</f>
        <v/>
      </c>
      <c r="T33" s="97" t="str">
        <f>IF(Q33="","",ROUND($D33*'⚪设计'!$D174/(IF($G33="",0,VLOOKUP($G33,'⚪设计'!$B$85:$H$104,4,FALSE)*$H33)+IF($L33="",0,VLOOKUP($L33,'⚪设计'!$B$85:$H$104,4,FALSE)*$M33)+IF($Q33="",0,VLOOKUP($Q33,'⚪设计'!$B$85:$H$104,4,FALSE)*$R33)+IF($V33="",0,VLOOKUP($V33,'⚪设计'!$B$85:$H$104,4,FALSE)*$W33))*IF(Q33="",0,VLOOKUP(Q33,'⚪设计'!$B$85:$H$104,4,FALSE)),0))</f>
        <v/>
      </c>
      <c r="U33" s="97" t="str">
        <f>IF(Q33="","",ROUND(VLOOKUP($B33,战斗节奏!$A$4:$F$13,2,FALSE)/(IF($G33="",0,VLOOKUP($G33,'⚪设计'!$B$85:$H$104,5,FALSE)*$H33)+IF($L33="",0,VLOOKUP($L33,'⚪设计'!$B$85:$H$104,5,FALSE)*$M33)+IF($Q33="",0,VLOOKUP($Q33,'⚪设计'!$B$85:$H$104,5,FALSE)*$R33)+IF($V33="",0,VLOOKUP($V33,'⚪设计'!$B$85:$H$104,5,FALSE)*$W33))*IF(Q33="",0,VLOOKUP(Q33,'⚪设计'!$B$85:$H$104,5,FALSE)),0))</f>
        <v/>
      </c>
      <c r="V33" s="97" t="str">
        <f>IF(VLOOKUP($A33,'⚪设计'!$A$144:$N$193,10,FALSE)="","",VLOOKUP($A33,'⚪设计'!$A$144:$N$193,10,FALSE))</f>
        <v/>
      </c>
      <c r="W33" s="97" t="str">
        <f t="shared" si="4"/>
        <v/>
      </c>
      <c r="X33" s="97" t="str">
        <f>IF(VLOOKUP($A33,'⚪设计'!$A$144:$N$193,14,FALSE)="","",VLOOKUP($A33,'⚪设计'!$A$144:$N$193,14,FALSE))</f>
        <v/>
      </c>
      <c r="Y33" s="97" t="str">
        <f>IF(V33="","",ROUND($D33*'⚪设计'!$D174/(IF($G33="",0,VLOOKUP($G33,'⚪设计'!$B$85:$H$104,4,FALSE)*$H33)+IF($L33="",0,VLOOKUP($L33,'⚪设计'!$B$85:$H$104,4,FALSE)*$M33)+IF($Q33="",0,VLOOKUP($Q33,'⚪设计'!$B$85:$H$104,4,FALSE)*$R33)+IF($V33="",0,VLOOKUP($V33,'⚪设计'!$B$85:$H$104,4,FALSE)*$W33))*IF(V33="",0,VLOOKUP(V33,'⚪设计'!$B$85:$H$104,4,FALSE)),0))</f>
        <v/>
      </c>
      <c r="Z33" s="97" t="str">
        <f>IF(V33="","",ROUND(VLOOKUP($B33,战斗节奏!$A$4:$F$13,2,FALSE)/(IF($G33="",0,VLOOKUP($G33,'⚪设计'!$B$85:$H$104,5,FALSE)*$H33)+IF($L33="",0,VLOOKUP($L33,'⚪设计'!$B$85:$H$104,5,FALSE)*$M33)+IF($Q33="",0,VLOOKUP($Q33,'⚪设计'!$B$85:$H$104,5,FALSE)*$R33)+IF($V33="",0,VLOOKUP($V33,'⚪设计'!$B$85:$H$104,5,FALSE)*$W33))*IF(V33="",0,VLOOKUP(V33,'⚪设计'!$B$85:$H$104,5,FALSE)),0))</f>
        <v/>
      </c>
    </row>
    <row r="34" spans="1:26" x14ac:dyDescent="0.2">
      <c r="A34" s="2" t="str">
        <f t="shared" si="0"/>
        <v>7_2</v>
      </c>
      <c r="B34" s="2">
        <v>7</v>
      </c>
      <c r="C34" s="2">
        <v>2</v>
      </c>
      <c r="D34" s="97">
        <f>VLOOKUP(C34,无限模式!$A$3:$B$22,2,FALSE)</f>
        <v>1800</v>
      </c>
      <c r="E34" s="98">
        <v>1</v>
      </c>
      <c r="F34" s="97">
        <f>'⚪设计'!F175</f>
        <v>12.5</v>
      </c>
      <c r="G34" s="97" t="str">
        <f>IF(VLOOKUP($A34,'⚪设计'!$A$144:$N$193,7,FALSE)="","",VLOOKUP($A34,'⚪设计'!$A$144:$N$193,7,FALSE))</f>
        <v>蜘蛛1</v>
      </c>
      <c r="H34" s="97">
        <f t="shared" si="1"/>
        <v>13</v>
      </c>
      <c r="I34" s="97">
        <f>IF(VLOOKUP($A34,'⚪设计'!$A$144:$N$193,11,FALSE)="","",VLOOKUP($A34,'⚪设计'!$A$144:$N$193,11,FALSE))</f>
        <v>1</v>
      </c>
      <c r="J34" s="97">
        <f>IF(G34="","",ROUND($D34*'⚪设计'!$D175/(IF($G34="",0,VLOOKUP($G34,'⚪设计'!$B$85:$H$104,4,FALSE)*$H34)+IF($L34="",0,VLOOKUP($L34,'⚪设计'!$B$85:$H$104,4,FALSE)*$M34)+IF($Q34="",0,VLOOKUP($Q34,'⚪设计'!$B$85:$H$104,4,FALSE)*$R34)+IF($V34="",0,VLOOKUP($V34,'⚪设计'!$B$85:$H$104,4,FALSE)*$W34))*IF(G34="",0,VLOOKUP(G34,'⚪设计'!$B$85:$H$104,4,FALSE)),0))</f>
        <v>258</v>
      </c>
      <c r="K34" s="97">
        <f>IF(G34="","",ROUND(VLOOKUP($B34,战斗节奏!$A$4:$F$13,2,FALSE)/(IF($G34="",0,VLOOKUP($G34,'⚪设计'!$B$85:$H$104,5,FALSE)*$H34)+IF($L34="",0,VLOOKUP($L34,'⚪设计'!$B$85:$H$104,5,FALSE)*$M34)+IF($Q34="",0,VLOOKUP($Q34,'⚪设计'!$B$85:$H$104,5,FALSE)*$R34)+IF($V34="",0,VLOOKUP($V34,'⚪设计'!$B$85:$H$104,5,FALSE)*$W34))*IF(G34="",0,VLOOKUP(G34,'⚪设计'!$B$85:$H$104,5,FALSE)),0))</f>
        <v>10</v>
      </c>
      <c r="L34" s="97" t="str">
        <f>IF(VLOOKUP($A34,'⚪设计'!$A$144:$N$193,8,FALSE)="","",VLOOKUP($A34,'⚪设计'!$A$144:$N$193,8,FALSE))</f>
        <v>蜜蜂2</v>
      </c>
      <c r="M34" s="97">
        <f t="shared" si="2"/>
        <v>25</v>
      </c>
      <c r="N34" s="97">
        <f>IF(VLOOKUP($A34,'⚪设计'!$A$144:$N$193,12,FALSE)="","",VLOOKUP($A34,'⚪设计'!$A$144:$N$193,12,FALSE))</f>
        <v>0.5</v>
      </c>
      <c r="O34" s="97">
        <f>IF(L34="","",ROUND($D34*'⚪设计'!$D175/(IF($G34="",0,VLOOKUP($G34,'⚪设计'!$B$85:$H$104,4,FALSE)*$H34)+IF($L34="",0,VLOOKUP($L34,'⚪设计'!$B$85:$H$104,4,FALSE)*$M34)+IF($Q34="",0,VLOOKUP($Q34,'⚪设计'!$B$85:$H$104,4,FALSE)*$R34)+IF($V34="",0,VLOOKUP($V34,'⚪设计'!$B$85:$H$104,4,FALSE)*$W34))*IF(L34="",0,VLOOKUP(L34,'⚪设计'!$B$85:$H$104,4,FALSE)),0))</f>
        <v>517</v>
      </c>
      <c r="P34" s="97">
        <f>IF(L34="","",ROUND(VLOOKUP($B34,战斗节奏!$A$4:$F$13,2,FALSE)/(IF($G34="",0,VLOOKUP($G34,'⚪设计'!$B$85:$H$104,5,FALSE)*$H34)+IF($L34="",0,VLOOKUP($L34,'⚪设计'!$B$85:$H$104,5,FALSE)*$M34)+IF($Q34="",0,VLOOKUP($Q34,'⚪设计'!$B$85:$H$104,5,FALSE)*$R34)+IF($V34="",0,VLOOKUP($V34,'⚪设计'!$B$85:$H$104,5,FALSE)*$W34))*IF(L34="",0,VLOOKUP(L34,'⚪设计'!$B$85:$H$104,5,FALSE)),0))</f>
        <v>21</v>
      </c>
      <c r="Q34" s="97" t="str">
        <f>IF(VLOOKUP($A34,'⚪设计'!$A$144:$N$193,9,FALSE)="","",VLOOKUP($A34,'⚪设计'!$A$144:$N$193,9,FALSE))</f>
        <v>鸟1</v>
      </c>
      <c r="R34" s="97">
        <f t="shared" si="3"/>
        <v>3</v>
      </c>
      <c r="S34" s="97">
        <f>IF(VLOOKUP($A34,'⚪设计'!$A$144:$N$193,13,FALSE)="","",VLOOKUP($A34,'⚪设计'!$A$144:$N$193,13,FALSE))</f>
        <v>4</v>
      </c>
      <c r="T34" s="97">
        <f>IF(Q34="","",ROUND($D34*'⚪设计'!$D175/(IF($G34="",0,VLOOKUP($G34,'⚪设计'!$B$85:$H$104,4,FALSE)*$H34)+IF($L34="",0,VLOOKUP($L34,'⚪设计'!$B$85:$H$104,4,FALSE)*$M34)+IF($Q34="",0,VLOOKUP($Q34,'⚪设计'!$B$85:$H$104,4,FALSE)*$R34)+IF($V34="",0,VLOOKUP($V34,'⚪设计'!$B$85:$H$104,4,FALSE)*$W34))*IF(Q34="",0,VLOOKUP(Q34,'⚪设计'!$B$85:$H$104,4,FALSE)),0))</f>
        <v>517</v>
      </c>
      <c r="U34" s="97">
        <f>IF(Q34="","",ROUND(VLOOKUP($B34,战斗节奏!$A$4:$F$13,2,FALSE)/(IF($G34="",0,VLOOKUP($G34,'⚪设计'!$B$85:$H$104,5,FALSE)*$H34)+IF($L34="",0,VLOOKUP($L34,'⚪设计'!$B$85:$H$104,5,FALSE)*$M34)+IF($Q34="",0,VLOOKUP($Q34,'⚪设计'!$B$85:$H$104,5,FALSE)*$R34)+IF($V34="",0,VLOOKUP($V34,'⚪设计'!$B$85:$H$104,5,FALSE)*$W34))*IF(Q34="",0,VLOOKUP(Q34,'⚪设计'!$B$85:$H$104,5,FALSE)),0))</f>
        <v>21</v>
      </c>
      <c r="V34" s="97" t="str">
        <f>IF(VLOOKUP($A34,'⚪设计'!$A$144:$N$193,10,FALSE)="","",VLOOKUP($A34,'⚪设计'!$A$144:$N$193,10,FALSE))</f>
        <v/>
      </c>
      <c r="W34" s="97" t="str">
        <f t="shared" si="4"/>
        <v/>
      </c>
      <c r="X34" s="97" t="str">
        <f>IF(VLOOKUP($A34,'⚪设计'!$A$144:$N$193,14,FALSE)="","",VLOOKUP($A34,'⚪设计'!$A$144:$N$193,14,FALSE))</f>
        <v/>
      </c>
      <c r="Y34" s="97" t="str">
        <f>IF(V34="","",ROUND($D34*'⚪设计'!$D175/(IF($G34="",0,VLOOKUP($G34,'⚪设计'!$B$85:$H$104,4,FALSE)*$H34)+IF($L34="",0,VLOOKUP($L34,'⚪设计'!$B$85:$H$104,4,FALSE)*$M34)+IF($Q34="",0,VLOOKUP($Q34,'⚪设计'!$B$85:$H$104,4,FALSE)*$R34)+IF($V34="",0,VLOOKUP($V34,'⚪设计'!$B$85:$H$104,4,FALSE)*$W34))*IF(V34="",0,VLOOKUP(V34,'⚪设计'!$B$85:$H$104,4,FALSE)),0))</f>
        <v/>
      </c>
      <c r="Z34" s="97" t="str">
        <f>IF(V34="","",ROUND(VLOOKUP($B34,战斗节奏!$A$4:$F$13,2,FALSE)/(IF($G34="",0,VLOOKUP($G34,'⚪设计'!$B$85:$H$104,5,FALSE)*$H34)+IF($L34="",0,VLOOKUP($L34,'⚪设计'!$B$85:$H$104,5,FALSE)*$M34)+IF($Q34="",0,VLOOKUP($Q34,'⚪设计'!$B$85:$H$104,5,FALSE)*$R34)+IF($V34="",0,VLOOKUP($V34,'⚪设计'!$B$85:$H$104,5,FALSE)*$W34))*IF(V34="",0,VLOOKUP(V34,'⚪设计'!$B$85:$H$104,5,FALSE)),0))</f>
        <v/>
      </c>
    </row>
    <row r="35" spans="1:26" x14ac:dyDescent="0.2">
      <c r="A35" s="2" t="str">
        <f t="shared" si="0"/>
        <v>7_3</v>
      </c>
      <c r="B35" s="2">
        <v>7</v>
      </c>
      <c r="C35" s="2">
        <v>3</v>
      </c>
      <c r="D35" s="97">
        <f>VLOOKUP(C35,无限模式!$A$3:$B$22,2,FALSE)</f>
        <v>3600</v>
      </c>
      <c r="E35" s="98">
        <v>1</v>
      </c>
      <c r="F35" s="97">
        <f>'⚪设计'!F176</f>
        <v>15</v>
      </c>
      <c r="G35" s="97" t="str">
        <f>IF(VLOOKUP($A35,'⚪设计'!$A$144:$N$193,7,FALSE)="","",VLOOKUP($A35,'⚪设计'!$A$144:$N$193,7,FALSE))</f>
        <v>蜘蛛1</v>
      </c>
      <c r="H35" s="97">
        <f t="shared" si="1"/>
        <v>15</v>
      </c>
      <c r="I35" s="97">
        <f>IF(VLOOKUP($A35,'⚪设计'!$A$144:$N$193,11,FALSE)="","",VLOOKUP($A35,'⚪设计'!$A$144:$N$193,11,FALSE))</f>
        <v>1</v>
      </c>
      <c r="J35" s="97">
        <f>IF(G35="","",ROUND($D35*'⚪设计'!$D176/(IF($G35="",0,VLOOKUP($G35,'⚪设计'!$B$85:$H$104,4,FALSE)*$H35)+IF($L35="",0,VLOOKUP($L35,'⚪设计'!$B$85:$H$104,4,FALSE)*$M35)+IF($Q35="",0,VLOOKUP($Q35,'⚪设计'!$B$85:$H$104,4,FALSE)*$R35)+IF($V35="",0,VLOOKUP($V35,'⚪设计'!$B$85:$H$104,4,FALSE)*$W35))*IF(G35="",0,VLOOKUP(G35,'⚪设计'!$B$85:$H$104,4,FALSE)),0))</f>
        <v>982</v>
      </c>
      <c r="K35" s="97">
        <f>IF(G35="","",ROUND(VLOOKUP($B35,战斗节奏!$A$4:$F$13,2,FALSE)/(IF($G35="",0,VLOOKUP($G35,'⚪设计'!$B$85:$H$104,5,FALSE)*$H35)+IF($L35="",0,VLOOKUP($L35,'⚪设计'!$B$85:$H$104,5,FALSE)*$M35)+IF($Q35="",0,VLOOKUP($Q35,'⚪设计'!$B$85:$H$104,5,FALSE)*$R35)+IF($V35="",0,VLOOKUP($V35,'⚪设计'!$B$85:$H$104,5,FALSE)*$W35))*IF(G35="",0,VLOOKUP(G35,'⚪设计'!$B$85:$H$104,5,FALSE)),0))</f>
        <v>12</v>
      </c>
      <c r="L35" s="97" t="str">
        <f>IF(VLOOKUP($A35,'⚪设计'!$A$144:$N$193,8,FALSE)="","",VLOOKUP($A35,'⚪设计'!$A$144:$N$193,8,FALSE))</f>
        <v>蝙蝠1</v>
      </c>
      <c r="M35" s="97">
        <f t="shared" si="2"/>
        <v>75</v>
      </c>
      <c r="N35" s="97">
        <f>IF(VLOOKUP($A35,'⚪设计'!$A$144:$N$193,12,FALSE)="","",VLOOKUP($A35,'⚪设计'!$A$144:$N$193,12,FALSE))</f>
        <v>0.2</v>
      </c>
      <c r="O35" s="97">
        <f>IF(L35="","",ROUND($D35*'⚪设计'!$D176/(IF($G35="",0,VLOOKUP($G35,'⚪设计'!$B$85:$H$104,4,FALSE)*$H35)+IF($L35="",0,VLOOKUP($L35,'⚪设计'!$B$85:$H$104,4,FALSE)*$M35)+IF($Q35="",0,VLOOKUP($Q35,'⚪设计'!$B$85:$H$104,4,FALSE)*$R35)+IF($V35="",0,VLOOKUP($V35,'⚪设计'!$B$85:$H$104,4,FALSE)*$W35))*IF(L35="",0,VLOOKUP(L35,'⚪设计'!$B$85:$H$104,4,FALSE)),0))</f>
        <v>491</v>
      </c>
      <c r="P35" s="97">
        <f>IF(L35="","",ROUND(VLOOKUP($B35,战斗节奏!$A$4:$F$13,2,FALSE)/(IF($G35="",0,VLOOKUP($G35,'⚪设计'!$B$85:$H$104,5,FALSE)*$H35)+IF($L35="",0,VLOOKUP($L35,'⚪设计'!$B$85:$H$104,5,FALSE)*$M35)+IF($Q35="",0,VLOOKUP($Q35,'⚪设计'!$B$85:$H$104,5,FALSE)*$R35)+IF($V35="",0,VLOOKUP($V35,'⚪设计'!$B$85:$H$104,5,FALSE)*$W35))*IF(L35="",0,VLOOKUP(L35,'⚪设计'!$B$85:$H$104,5,FALSE)),0))</f>
        <v>6</v>
      </c>
      <c r="Q35" s="97" t="str">
        <f>IF(VLOOKUP($A35,'⚪设计'!$A$144:$N$193,9,FALSE)="","",VLOOKUP($A35,'⚪设计'!$A$144:$N$193,9,FALSE))</f>
        <v>鸟1</v>
      </c>
      <c r="R35" s="97">
        <f t="shared" si="3"/>
        <v>4</v>
      </c>
      <c r="S35" s="97">
        <f>IF(VLOOKUP($A35,'⚪设计'!$A$144:$N$193,13,FALSE)="","",VLOOKUP($A35,'⚪设计'!$A$144:$N$193,13,FALSE))</f>
        <v>4</v>
      </c>
      <c r="T35" s="97">
        <f>IF(Q35="","",ROUND($D35*'⚪设计'!$D176/(IF($G35="",0,VLOOKUP($G35,'⚪设计'!$B$85:$H$104,4,FALSE)*$H35)+IF($L35="",0,VLOOKUP($L35,'⚪设计'!$B$85:$H$104,4,FALSE)*$M35)+IF($Q35="",0,VLOOKUP($Q35,'⚪设计'!$B$85:$H$104,4,FALSE)*$R35)+IF($V35="",0,VLOOKUP($V35,'⚪设计'!$B$85:$H$104,4,FALSE)*$W35))*IF(Q35="",0,VLOOKUP(Q35,'⚪设计'!$B$85:$H$104,4,FALSE)),0))</f>
        <v>1964</v>
      </c>
      <c r="U35" s="97">
        <f>IF(Q35="","",ROUND(VLOOKUP($B35,战斗节奏!$A$4:$F$13,2,FALSE)/(IF($G35="",0,VLOOKUP($G35,'⚪设计'!$B$85:$H$104,5,FALSE)*$H35)+IF($L35="",0,VLOOKUP($L35,'⚪设计'!$B$85:$H$104,5,FALSE)*$M35)+IF($Q35="",0,VLOOKUP($Q35,'⚪设计'!$B$85:$H$104,5,FALSE)*$R35)+IF($V35="",0,VLOOKUP($V35,'⚪设计'!$B$85:$H$104,5,FALSE)*$W35))*IF(Q35="",0,VLOOKUP(Q35,'⚪设计'!$B$85:$H$104,5,FALSE)),0))</f>
        <v>24</v>
      </c>
      <c r="V35" s="97" t="str">
        <f>IF(VLOOKUP($A35,'⚪设计'!$A$144:$N$193,10,FALSE)="","",VLOOKUP($A35,'⚪设计'!$A$144:$N$193,10,FALSE))</f>
        <v/>
      </c>
      <c r="W35" s="97" t="str">
        <f t="shared" si="4"/>
        <v/>
      </c>
      <c r="X35" s="97" t="str">
        <f>IF(VLOOKUP($A35,'⚪设计'!$A$144:$N$193,14,FALSE)="","",VLOOKUP($A35,'⚪设计'!$A$144:$N$193,14,FALSE))</f>
        <v/>
      </c>
      <c r="Y35" s="97" t="str">
        <f>IF(V35="","",ROUND($D35*'⚪设计'!$D176/(IF($G35="",0,VLOOKUP($G35,'⚪设计'!$B$85:$H$104,4,FALSE)*$H35)+IF($L35="",0,VLOOKUP($L35,'⚪设计'!$B$85:$H$104,4,FALSE)*$M35)+IF($Q35="",0,VLOOKUP($Q35,'⚪设计'!$B$85:$H$104,4,FALSE)*$R35)+IF($V35="",0,VLOOKUP($V35,'⚪设计'!$B$85:$H$104,4,FALSE)*$W35))*IF(V35="",0,VLOOKUP(V35,'⚪设计'!$B$85:$H$104,4,FALSE)),0))</f>
        <v/>
      </c>
      <c r="Z35" s="97" t="str">
        <f>IF(V35="","",ROUND(VLOOKUP($B35,战斗节奏!$A$4:$F$13,2,FALSE)/(IF($G35="",0,VLOOKUP($G35,'⚪设计'!$B$85:$H$104,5,FALSE)*$H35)+IF($L35="",0,VLOOKUP($L35,'⚪设计'!$B$85:$H$104,5,FALSE)*$M35)+IF($Q35="",0,VLOOKUP($Q35,'⚪设计'!$B$85:$H$104,5,FALSE)*$R35)+IF($V35="",0,VLOOKUP($V35,'⚪设计'!$B$85:$H$104,5,FALSE)*$W35))*IF(V35="",0,VLOOKUP(V35,'⚪设计'!$B$85:$H$104,5,FALSE)),0))</f>
        <v/>
      </c>
    </row>
    <row r="36" spans="1:26" x14ac:dyDescent="0.2">
      <c r="A36" s="2" t="str">
        <f t="shared" si="0"/>
        <v>7_4</v>
      </c>
      <c r="B36" s="2">
        <v>7</v>
      </c>
      <c r="C36" s="2">
        <v>4</v>
      </c>
      <c r="D36" s="97">
        <f>VLOOKUP(C36,无限模式!$A$3:$B$22,2,FALSE)</f>
        <v>4500</v>
      </c>
      <c r="E36" s="98">
        <v>1</v>
      </c>
      <c r="F36" s="97">
        <f>'⚪设计'!F177</f>
        <v>17.5</v>
      </c>
      <c r="G36" s="97" t="str">
        <f>IF(VLOOKUP($A36,'⚪设计'!$A$144:$N$193,7,FALSE)="","",VLOOKUP($A36,'⚪设计'!$A$144:$N$193,7,FALSE))</f>
        <v>蜘蛛1</v>
      </c>
      <c r="H36" s="97">
        <f t="shared" si="1"/>
        <v>18</v>
      </c>
      <c r="I36" s="97">
        <f>IF(VLOOKUP($A36,'⚪设计'!$A$144:$N$193,11,FALSE)="","",VLOOKUP($A36,'⚪设计'!$A$144:$N$193,11,FALSE))</f>
        <v>1</v>
      </c>
      <c r="J36" s="97">
        <f>IF(G36="","",ROUND($D36*'⚪设计'!$D177/(IF($G36="",0,VLOOKUP($G36,'⚪设计'!$B$85:$H$104,4,FALSE)*$H36)+IF($L36="",0,VLOOKUP($L36,'⚪设计'!$B$85:$H$104,4,FALSE)*$M36)+IF($Q36="",0,VLOOKUP($Q36,'⚪设计'!$B$85:$H$104,4,FALSE)*$R36)+IF($V36="",0,VLOOKUP($V36,'⚪设计'!$B$85:$H$104,4,FALSE)*$W36))*IF(G36="",0,VLOOKUP(G36,'⚪设计'!$B$85:$H$104,4,FALSE)),0))</f>
        <v>881</v>
      </c>
      <c r="K36" s="97">
        <f>IF(G36="","",ROUND(VLOOKUP($B36,战斗节奏!$A$4:$F$13,2,FALSE)/(IF($G36="",0,VLOOKUP($G36,'⚪设计'!$B$85:$H$104,5,FALSE)*$H36)+IF($L36="",0,VLOOKUP($L36,'⚪设计'!$B$85:$H$104,5,FALSE)*$M36)+IF($Q36="",0,VLOOKUP($Q36,'⚪设计'!$B$85:$H$104,5,FALSE)*$R36)+IF($V36="",0,VLOOKUP($V36,'⚪设计'!$B$85:$H$104,5,FALSE)*$W36))*IF(G36="",0,VLOOKUP(G36,'⚪设计'!$B$85:$H$104,5,FALSE)),0))</f>
        <v>6</v>
      </c>
      <c r="L36" s="97" t="str">
        <f>IF(VLOOKUP($A36,'⚪设计'!$A$144:$N$193,8,FALSE)="","",VLOOKUP($A36,'⚪设计'!$A$144:$N$193,8,FALSE))</f>
        <v>蝙蝠1</v>
      </c>
      <c r="M36" s="97">
        <f t="shared" si="2"/>
        <v>44</v>
      </c>
      <c r="N36" s="97">
        <f>IF(VLOOKUP($A36,'⚪设计'!$A$144:$N$193,12,FALSE)="","",VLOOKUP($A36,'⚪设计'!$A$144:$N$193,12,FALSE))</f>
        <v>0.4</v>
      </c>
      <c r="O36" s="97">
        <f>IF(L36="","",ROUND($D36*'⚪设计'!$D177/(IF($G36="",0,VLOOKUP($G36,'⚪设计'!$B$85:$H$104,4,FALSE)*$H36)+IF($L36="",0,VLOOKUP($L36,'⚪设计'!$B$85:$H$104,4,FALSE)*$M36)+IF($Q36="",0,VLOOKUP($Q36,'⚪设计'!$B$85:$H$104,4,FALSE)*$R36)+IF($V36="",0,VLOOKUP($V36,'⚪设计'!$B$85:$H$104,4,FALSE)*$W36))*IF(L36="",0,VLOOKUP(L36,'⚪设计'!$B$85:$H$104,4,FALSE)),0))</f>
        <v>440</v>
      </c>
      <c r="P36" s="97">
        <f>IF(L36="","",ROUND(VLOOKUP($B36,战斗节奏!$A$4:$F$13,2,FALSE)/(IF($G36="",0,VLOOKUP($G36,'⚪设计'!$B$85:$H$104,5,FALSE)*$H36)+IF($L36="",0,VLOOKUP($L36,'⚪设计'!$B$85:$H$104,5,FALSE)*$M36)+IF($Q36="",0,VLOOKUP($Q36,'⚪设计'!$B$85:$H$104,5,FALSE)*$R36)+IF($V36="",0,VLOOKUP($V36,'⚪设计'!$B$85:$H$104,5,FALSE)*$W36))*IF(L36="",0,VLOOKUP(L36,'⚪设计'!$B$85:$H$104,5,FALSE)),0))</f>
        <v>3</v>
      </c>
      <c r="Q36" s="97" t="str">
        <f>IF(VLOOKUP($A36,'⚪设计'!$A$144:$N$193,9,FALSE)="","",VLOOKUP($A36,'⚪设计'!$A$144:$N$193,9,FALSE))</f>
        <v>蜜蜂2</v>
      </c>
      <c r="R36" s="97">
        <f t="shared" si="3"/>
        <v>35</v>
      </c>
      <c r="S36" s="97">
        <f>IF(VLOOKUP($A36,'⚪设计'!$A$144:$N$193,13,FALSE)="","",VLOOKUP($A36,'⚪设计'!$A$144:$N$193,13,FALSE))</f>
        <v>0.5</v>
      </c>
      <c r="T36" s="97">
        <f>IF(Q36="","",ROUND($D36*'⚪设计'!$D177/(IF($G36="",0,VLOOKUP($G36,'⚪设计'!$B$85:$H$104,4,FALSE)*$H36)+IF($L36="",0,VLOOKUP($L36,'⚪设计'!$B$85:$H$104,4,FALSE)*$M36)+IF($Q36="",0,VLOOKUP($Q36,'⚪设计'!$B$85:$H$104,4,FALSE)*$R36)+IF($V36="",0,VLOOKUP($V36,'⚪设计'!$B$85:$H$104,4,FALSE)*$W36))*IF(Q36="",0,VLOOKUP(Q36,'⚪设计'!$B$85:$H$104,4,FALSE)),0))</f>
        <v>1762</v>
      </c>
      <c r="U36" s="97">
        <f>IF(Q36="","",ROUND(VLOOKUP($B36,战斗节奏!$A$4:$F$13,2,FALSE)/(IF($G36="",0,VLOOKUP($G36,'⚪设计'!$B$85:$H$104,5,FALSE)*$H36)+IF($L36="",0,VLOOKUP($L36,'⚪设计'!$B$85:$H$104,5,FALSE)*$M36)+IF($Q36="",0,VLOOKUP($Q36,'⚪设计'!$B$85:$H$104,5,FALSE)*$R36)+IF($V36="",0,VLOOKUP($V36,'⚪设计'!$B$85:$H$104,5,FALSE)*$W36))*IF(Q36="",0,VLOOKUP(Q36,'⚪设计'!$B$85:$H$104,5,FALSE)),0))</f>
        <v>12</v>
      </c>
      <c r="V36" s="97" t="str">
        <f>IF(VLOOKUP($A36,'⚪设计'!$A$144:$N$193,10,FALSE)="","",VLOOKUP($A36,'⚪设计'!$A$144:$N$193,10,FALSE))</f>
        <v>鸟1</v>
      </c>
      <c r="W36" s="97">
        <f t="shared" si="4"/>
        <v>4</v>
      </c>
      <c r="X36" s="97">
        <f>IF(VLOOKUP($A36,'⚪设计'!$A$144:$N$193,14,FALSE)="","",VLOOKUP($A36,'⚪设计'!$A$144:$N$193,14,FALSE))</f>
        <v>4</v>
      </c>
      <c r="Y36" s="97">
        <f>IF(V36="","",ROUND($D36*'⚪设计'!$D177/(IF($G36="",0,VLOOKUP($G36,'⚪设计'!$B$85:$H$104,4,FALSE)*$H36)+IF($L36="",0,VLOOKUP($L36,'⚪设计'!$B$85:$H$104,4,FALSE)*$M36)+IF($Q36="",0,VLOOKUP($Q36,'⚪设计'!$B$85:$H$104,4,FALSE)*$R36)+IF($V36="",0,VLOOKUP($V36,'⚪设计'!$B$85:$H$104,4,FALSE)*$W36))*IF(V36="",0,VLOOKUP(V36,'⚪设计'!$B$85:$H$104,4,FALSE)),0))</f>
        <v>1762</v>
      </c>
      <c r="Z36" s="97">
        <f>IF(V36="","",ROUND(VLOOKUP($B36,战斗节奏!$A$4:$F$13,2,FALSE)/(IF($G36="",0,VLOOKUP($G36,'⚪设计'!$B$85:$H$104,5,FALSE)*$H36)+IF($L36="",0,VLOOKUP($L36,'⚪设计'!$B$85:$H$104,5,FALSE)*$M36)+IF($Q36="",0,VLOOKUP($Q36,'⚪设计'!$B$85:$H$104,5,FALSE)*$R36)+IF($V36="",0,VLOOKUP($V36,'⚪设计'!$B$85:$H$104,5,FALSE)*$W36))*IF(V36="",0,VLOOKUP(V36,'⚪设计'!$B$85:$H$104,5,FALSE)),0))</f>
        <v>12</v>
      </c>
    </row>
    <row r="37" spans="1:26" x14ac:dyDescent="0.2">
      <c r="A37" s="2" t="str">
        <f t="shared" si="0"/>
        <v>7_5</v>
      </c>
      <c r="B37" s="2">
        <v>7</v>
      </c>
      <c r="C37" s="2">
        <v>5</v>
      </c>
      <c r="D37" s="97">
        <f>VLOOKUP(C37,无限模式!$A$3:$B$22,2,FALSE)</f>
        <v>5400</v>
      </c>
      <c r="E37" s="98">
        <v>1</v>
      </c>
      <c r="F37" s="97">
        <f>'⚪设计'!F178</f>
        <v>20</v>
      </c>
      <c r="G37" s="97" t="str">
        <f>IF(VLOOKUP($A37,'⚪设计'!$A$144:$N$193,7,FALSE)="","",VLOOKUP($A37,'⚪设计'!$A$144:$N$193,7,FALSE))</f>
        <v>蜘蛛1</v>
      </c>
      <c r="H37" s="97">
        <f t="shared" si="1"/>
        <v>67</v>
      </c>
      <c r="I37" s="97">
        <f>IF(VLOOKUP($A37,'⚪设计'!$A$144:$N$193,11,FALSE)="","",VLOOKUP($A37,'⚪设计'!$A$144:$N$193,11,FALSE))</f>
        <v>0.3</v>
      </c>
      <c r="J37" s="97">
        <f>IF(G37="","",ROUND($D37*'⚪设计'!$D178/(IF($G37="",0,VLOOKUP($G37,'⚪设计'!$B$85:$H$104,4,FALSE)*$H37)+IF($L37="",0,VLOOKUP($L37,'⚪设计'!$B$85:$H$104,4,FALSE)*$M37)+IF($Q37="",0,VLOOKUP($Q37,'⚪设计'!$B$85:$H$104,4,FALSE)*$R37)+IF($V37="",0,VLOOKUP($V37,'⚪设计'!$B$85:$H$104,4,FALSE)*$W37))*IF(G37="",0,VLOOKUP(G37,'⚪设计'!$B$85:$H$104,4,FALSE)),0))</f>
        <v>766</v>
      </c>
      <c r="K37" s="97">
        <f>IF(G37="","",ROUND(VLOOKUP($B37,战斗节奏!$A$4:$F$13,2,FALSE)/(IF($G37="",0,VLOOKUP($G37,'⚪设计'!$B$85:$H$104,5,FALSE)*$H37)+IF($L37="",0,VLOOKUP($L37,'⚪设计'!$B$85:$H$104,5,FALSE)*$M37)+IF($Q37="",0,VLOOKUP($Q37,'⚪设计'!$B$85:$H$104,5,FALSE)*$R37)+IF($V37="",0,VLOOKUP($V37,'⚪设计'!$B$85:$H$104,5,FALSE)*$W37))*IF(G37="",0,VLOOKUP(G37,'⚪设计'!$B$85:$H$104,5,FALSE)),0))</f>
        <v>3</v>
      </c>
      <c r="L37" s="97" t="str">
        <f>IF(VLOOKUP($A37,'⚪设计'!$A$144:$N$193,8,FALSE)="","",VLOOKUP($A37,'⚪设计'!$A$144:$N$193,8,FALSE))</f>
        <v>蝙蝠1</v>
      </c>
      <c r="M37" s="97">
        <f t="shared" si="2"/>
        <v>100</v>
      </c>
      <c r="N37" s="97">
        <f>IF(VLOOKUP($A37,'⚪设计'!$A$144:$N$193,12,FALSE)="","",VLOOKUP($A37,'⚪设计'!$A$144:$N$193,12,FALSE))</f>
        <v>0.2</v>
      </c>
      <c r="O37" s="97">
        <f>IF(L37="","",ROUND($D37*'⚪设计'!$D178/(IF($G37="",0,VLOOKUP($G37,'⚪设计'!$B$85:$H$104,4,FALSE)*$H37)+IF($L37="",0,VLOOKUP($L37,'⚪设计'!$B$85:$H$104,4,FALSE)*$M37)+IF($Q37="",0,VLOOKUP($Q37,'⚪设计'!$B$85:$H$104,4,FALSE)*$R37)+IF($V37="",0,VLOOKUP($V37,'⚪设计'!$B$85:$H$104,4,FALSE)*$W37))*IF(L37="",0,VLOOKUP(L37,'⚪设计'!$B$85:$H$104,4,FALSE)),0))</f>
        <v>383</v>
      </c>
      <c r="P37" s="97">
        <f>IF(L37="","",ROUND(VLOOKUP($B37,战斗节奏!$A$4:$F$13,2,FALSE)/(IF($G37="",0,VLOOKUP($G37,'⚪设计'!$B$85:$H$104,5,FALSE)*$H37)+IF($L37="",0,VLOOKUP($L37,'⚪设计'!$B$85:$H$104,5,FALSE)*$M37)+IF($Q37="",0,VLOOKUP($Q37,'⚪设计'!$B$85:$H$104,5,FALSE)*$R37)+IF($V37="",0,VLOOKUP($V37,'⚪设计'!$B$85:$H$104,5,FALSE)*$W37))*IF(L37="",0,VLOOKUP(L37,'⚪设计'!$B$85:$H$104,5,FALSE)),0))</f>
        <v>2</v>
      </c>
      <c r="Q37" s="97" t="str">
        <f>IF(VLOOKUP($A37,'⚪设计'!$A$144:$N$193,9,FALSE)="","",VLOOKUP($A37,'⚪设计'!$A$144:$N$193,9,FALSE))</f>
        <v>蜜蜂2</v>
      </c>
      <c r="R37" s="97">
        <f t="shared" si="3"/>
        <v>40</v>
      </c>
      <c r="S37" s="97">
        <f>IF(VLOOKUP($A37,'⚪设计'!$A$144:$N$193,13,FALSE)="","",VLOOKUP($A37,'⚪设计'!$A$144:$N$193,13,FALSE))</f>
        <v>0.5</v>
      </c>
      <c r="T37" s="97">
        <f>IF(Q37="","",ROUND($D37*'⚪设计'!$D178/(IF($G37="",0,VLOOKUP($G37,'⚪设计'!$B$85:$H$104,4,FALSE)*$H37)+IF($L37="",0,VLOOKUP($L37,'⚪设计'!$B$85:$H$104,4,FALSE)*$M37)+IF($Q37="",0,VLOOKUP($Q37,'⚪设计'!$B$85:$H$104,4,FALSE)*$R37)+IF($V37="",0,VLOOKUP($V37,'⚪设计'!$B$85:$H$104,4,FALSE)*$W37))*IF(Q37="",0,VLOOKUP(Q37,'⚪设计'!$B$85:$H$104,4,FALSE)),0))</f>
        <v>1533</v>
      </c>
      <c r="U37" s="97">
        <f>IF(Q37="","",ROUND(VLOOKUP($B37,战斗节奏!$A$4:$F$13,2,FALSE)/(IF($G37="",0,VLOOKUP($G37,'⚪设计'!$B$85:$H$104,5,FALSE)*$H37)+IF($L37="",0,VLOOKUP($L37,'⚪设计'!$B$85:$H$104,5,FALSE)*$M37)+IF($Q37="",0,VLOOKUP($Q37,'⚪设计'!$B$85:$H$104,5,FALSE)*$R37)+IF($V37="",0,VLOOKUP($V37,'⚪设计'!$B$85:$H$104,5,FALSE)*$W37))*IF(Q37="",0,VLOOKUP(Q37,'⚪设计'!$B$85:$H$104,5,FALSE)),0))</f>
        <v>7</v>
      </c>
      <c r="V37" s="97" t="str">
        <f>IF(VLOOKUP($A37,'⚪设计'!$A$144:$N$193,10,FALSE)="","",VLOOKUP($A37,'⚪设计'!$A$144:$N$193,10,FALSE))</f>
        <v>鸟1</v>
      </c>
      <c r="W37" s="97">
        <f t="shared" si="4"/>
        <v>10</v>
      </c>
      <c r="X37" s="97">
        <f>IF(VLOOKUP($A37,'⚪设计'!$A$144:$N$193,14,FALSE)="","",VLOOKUP($A37,'⚪设计'!$A$144:$N$193,14,FALSE))</f>
        <v>2</v>
      </c>
      <c r="Y37" s="97">
        <f>IF(V37="","",ROUND($D37*'⚪设计'!$D178/(IF($G37="",0,VLOOKUP($G37,'⚪设计'!$B$85:$H$104,4,FALSE)*$H37)+IF($L37="",0,VLOOKUP($L37,'⚪设计'!$B$85:$H$104,4,FALSE)*$M37)+IF($Q37="",0,VLOOKUP($Q37,'⚪设计'!$B$85:$H$104,4,FALSE)*$R37)+IF($V37="",0,VLOOKUP($V37,'⚪设计'!$B$85:$H$104,4,FALSE)*$W37))*IF(V37="",0,VLOOKUP(V37,'⚪设计'!$B$85:$H$104,4,FALSE)),0))</f>
        <v>1533</v>
      </c>
      <c r="Z37" s="97">
        <f>IF(V37="","",ROUND(VLOOKUP($B37,战斗节奏!$A$4:$F$13,2,FALSE)/(IF($G37="",0,VLOOKUP($G37,'⚪设计'!$B$85:$H$104,5,FALSE)*$H37)+IF($L37="",0,VLOOKUP($L37,'⚪设计'!$B$85:$H$104,5,FALSE)*$M37)+IF($Q37="",0,VLOOKUP($Q37,'⚪设计'!$B$85:$H$104,5,FALSE)*$R37)+IF($V37="",0,VLOOKUP($V37,'⚪设计'!$B$85:$H$104,5,FALSE)*$W37))*IF(V37="",0,VLOOKUP(V37,'⚪设计'!$B$85:$H$104,5,FALSE)),0))</f>
        <v>7</v>
      </c>
    </row>
    <row r="38" spans="1:26" x14ac:dyDescent="0.2">
      <c r="A38" s="2" t="str">
        <f t="shared" si="0"/>
        <v>8_1</v>
      </c>
      <c r="B38" s="2">
        <v>8</v>
      </c>
      <c r="C38" s="2">
        <v>1</v>
      </c>
      <c r="D38" s="97">
        <f>VLOOKUP(C38,无限模式!$A$3:$B$22,2,FALSE)</f>
        <v>900</v>
      </c>
      <c r="E38" s="98">
        <v>1</v>
      </c>
      <c r="F38" s="97">
        <f>'⚪设计'!F179</f>
        <v>10</v>
      </c>
      <c r="G38" s="97" t="str">
        <f>IF(VLOOKUP($A38,'⚪设计'!$A$144:$N$193,7,FALSE)="","",VLOOKUP($A38,'⚪设计'!$A$144:$N$193,7,FALSE))</f>
        <v>种子1</v>
      </c>
      <c r="H38" s="97">
        <f t="shared" si="1"/>
        <v>5</v>
      </c>
      <c r="I38" s="97">
        <f>IF(VLOOKUP($A38,'⚪设计'!$A$144:$N$193,11,FALSE)="","",VLOOKUP($A38,'⚪设计'!$A$144:$N$193,11,FALSE))</f>
        <v>2</v>
      </c>
      <c r="J38" s="97">
        <f>IF(G38="","",ROUND($D38*'⚪设计'!$D179/(IF($G38="",0,VLOOKUP($G38,'⚪设计'!$B$85:$H$104,4,FALSE)*$H38)+IF($L38="",0,VLOOKUP($L38,'⚪设计'!$B$85:$H$104,4,FALSE)*$M38)+IF($Q38="",0,VLOOKUP($Q38,'⚪设计'!$B$85:$H$104,4,FALSE)*$R38)+IF($V38="",0,VLOOKUP($V38,'⚪设计'!$B$85:$H$104,4,FALSE)*$W38))*IF(G38="",0,VLOOKUP(G38,'⚪设计'!$B$85:$H$104,4,FALSE)),0))</f>
        <v>853</v>
      </c>
      <c r="K38" s="97">
        <f>IF(G38="","",ROUND(VLOOKUP($B38,战斗节奏!$A$4:$F$13,2,FALSE)/(IF($G38="",0,VLOOKUP($G38,'⚪设计'!$B$85:$H$104,5,FALSE)*$H38)+IF($L38="",0,VLOOKUP($L38,'⚪设计'!$B$85:$H$104,5,FALSE)*$M38)+IF($Q38="",0,VLOOKUP($Q38,'⚪设计'!$B$85:$H$104,5,FALSE)*$R38)+IF($V38="",0,VLOOKUP($V38,'⚪设计'!$B$85:$H$104,5,FALSE)*$W38))*IF(G38="",0,VLOOKUP(G38,'⚪设计'!$B$85:$H$104,5,FALSE)),0))</f>
        <v>120</v>
      </c>
      <c r="L38" s="97" t="str">
        <f>IF(VLOOKUP($A38,'⚪设计'!$A$144:$N$193,8,FALSE)="","",VLOOKUP($A38,'⚪设计'!$A$144:$N$193,8,FALSE))</f>
        <v>鸟2</v>
      </c>
      <c r="M38" s="97">
        <f t="shared" si="2"/>
        <v>1</v>
      </c>
      <c r="N38" s="97">
        <f>IF(VLOOKUP($A38,'⚪设计'!$A$144:$N$193,12,FALSE)="","",VLOOKUP($A38,'⚪设计'!$A$144:$N$193,12,FALSE))</f>
        <v>0</v>
      </c>
      <c r="O38" s="97">
        <f>IF(L38="","",ROUND($D38*'⚪设计'!$D179/(IF($G38="",0,VLOOKUP($G38,'⚪设计'!$B$85:$H$104,4,FALSE)*$H38)+IF($L38="",0,VLOOKUP($L38,'⚪设计'!$B$85:$H$104,4,FALSE)*$M38)+IF($Q38="",0,VLOOKUP($Q38,'⚪设计'!$B$85:$H$104,4,FALSE)*$R38)+IF($V38="",0,VLOOKUP($V38,'⚪设计'!$B$85:$H$104,4,FALSE)*$W38))*IF(L38="",0,VLOOKUP(L38,'⚪设计'!$B$85:$H$104,4,FALSE)),0))</f>
        <v>1137</v>
      </c>
      <c r="P38" s="97">
        <f>IF(L38="","",ROUND(VLOOKUP($B38,战斗节奏!$A$4:$F$13,2,FALSE)/(IF($G38="",0,VLOOKUP($G38,'⚪设计'!$B$85:$H$104,5,FALSE)*$H38)+IF($L38="",0,VLOOKUP($L38,'⚪设计'!$B$85:$H$104,5,FALSE)*$M38)+IF($Q38="",0,VLOOKUP($Q38,'⚪设计'!$B$85:$H$104,5,FALSE)*$R38)+IF($V38="",0,VLOOKUP($V38,'⚪设计'!$B$85:$H$104,5,FALSE)*$W38))*IF(L38="",0,VLOOKUP(L38,'⚪设计'!$B$85:$H$104,5,FALSE)),0))</f>
        <v>120</v>
      </c>
      <c r="Q38" s="97" t="str">
        <f>IF(VLOOKUP($A38,'⚪设计'!$A$144:$N$193,9,FALSE)="","",VLOOKUP($A38,'⚪设计'!$A$144:$N$193,9,FALSE))</f>
        <v/>
      </c>
      <c r="R38" s="97" t="str">
        <f t="shared" si="3"/>
        <v/>
      </c>
      <c r="S38" s="97" t="str">
        <f>IF(VLOOKUP($A38,'⚪设计'!$A$144:$N$193,13,FALSE)="","",VLOOKUP($A38,'⚪设计'!$A$144:$N$193,13,FALSE))</f>
        <v/>
      </c>
      <c r="T38" s="97" t="str">
        <f>IF(Q38="","",ROUND($D38*'⚪设计'!$D179/(IF($G38="",0,VLOOKUP($G38,'⚪设计'!$B$85:$H$104,4,FALSE)*$H38)+IF($L38="",0,VLOOKUP($L38,'⚪设计'!$B$85:$H$104,4,FALSE)*$M38)+IF($Q38="",0,VLOOKUP($Q38,'⚪设计'!$B$85:$H$104,4,FALSE)*$R38)+IF($V38="",0,VLOOKUP($V38,'⚪设计'!$B$85:$H$104,4,FALSE)*$W38))*IF(Q38="",0,VLOOKUP(Q38,'⚪设计'!$B$85:$H$104,4,FALSE)),0))</f>
        <v/>
      </c>
      <c r="U38" s="97" t="str">
        <f>IF(Q38="","",ROUND(VLOOKUP($B38,战斗节奏!$A$4:$F$13,2,FALSE)/(IF($G38="",0,VLOOKUP($G38,'⚪设计'!$B$85:$H$104,5,FALSE)*$H38)+IF($L38="",0,VLOOKUP($L38,'⚪设计'!$B$85:$H$104,5,FALSE)*$M38)+IF($Q38="",0,VLOOKUP($Q38,'⚪设计'!$B$85:$H$104,5,FALSE)*$R38)+IF($V38="",0,VLOOKUP($V38,'⚪设计'!$B$85:$H$104,5,FALSE)*$W38))*IF(Q38="",0,VLOOKUP(Q38,'⚪设计'!$B$85:$H$104,5,FALSE)),0))</f>
        <v/>
      </c>
      <c r="V38" s="97" t="str">
        <f>IF(VLOOKUP($A38,'⚪设计'!$A$144:$N$193,10,FALSE)="","",VLOOKUP($A38,'⚪设计'!$A$144:$N$193,10,FALSE))</f>
        <v/>
      </c>
      <c r="W38" s="97" t="str">
        <f t="shared" si="4"/>
        <v/>
      </c>
      <c r="X38" s="97" t="str">
        <f>IF(VLOOKUP($A38,'⚪设计'!$A$144:$N$193,14,FALSE)="","",VLOOKUP($A38,'⚪设计'!$A$144:$N$193,14,FALSE))</f>
        <v/>
      </c>
      <c r="Y38" s="97" t="str">
        <f>IF(V38="","",ROUND($D38*'⚪设计'!$D179/(IF($G38="",0,VLOOKUP($G38,'⚪设计'!$B$85:$H$104,4,FALSE)*$H38)+IF($L38="",0,VLOOKUP($L38,'⚪设计'!$B$85:$H$104,4,FALSE)*$M38)+IF($Q38="",0,VLOOKUP($Q38,'⚪设计'!$B$85:$H$104,4,FALSE)*$R38)+IF($V38="",0,VLOOKUP($V38,'⚪设计'!$B$85:$H$104,4,FALSE)*$W38))*IF(V38="",0,VLOOKUP(V38,'⚪设计'!$B$85:$H$104,4,FALSE)),0))</f>
        <v/>
      </c>
      <c r="Z38" s="97" t="str">
        <f>IF(V38="","",ROUND(VLOOKUP($B38,战斗节奏!$A$4:$F$13,2,FALSE)/(IF($G38="",0,VLOOKUP($G38,'⚪设计'!$B$85:$H$104,5,FALSE)*$H38)+IF($L38="",0,VLOOKUP($L38,'⚪设计'!$B$85:$H$104,5,FALSE)*$M38)+IF($Q38="",0,VLOOKUP($Q38,'⚪设计'!$B$85:$H$104,5,FALSE)*$R38)+IF($V38="",0,VLOOKUP($V38,'⚪设计'!$B$85:$H$104,5,FALSE)*$W38))*IF(V38="",0,VLOOKUP(V38,'⚪设计'!$B$85:$H$104,5,FALSE)),0))</f>
        <v/>
      </c>
    </row>
    <row r="39" spans="1:26" x14ac:dyDescent="0.2">
      <c r="A39" s="2" t="str">
        <f t="shared" si="0"/>
        <v>8_2</v>
      </c>
      <c r="B39" s="2">
        <v>8</v>
      </c>
      <c r="C39" s="2">
        <v>2</v>
      </c>
      <c r="D39" s="97">
        <f>VLOOKUP(C39,无限模式!$A$3:$B$22,2,FALSE)</f>
        <v>1800</v>
      </c>
      <c r="E39" s="98">
        <v>1</v>
      </c>
      <c r="F39" s="97">
        <f>'⚪设计'!F180</f>
        <v>12.5</v>
      </c>
      <c r="G39" s="97" t="str">
        <f>IF(VLOOKUP($A39,'⚪设计'!$A$144:$N$193,7,FALSE)="","",VLOOKUP($A39,'⚪设计'!$A$144:$N$193,7,FALSE))</f>
        <v>种子1</v>
      </c>
      <c r="H39" s="97">
        <f t="shared" si="1"/>
        <v>6</v>
      </c>
      <c r="I39" s="97">
        <f>IF(VLOOKUP($A39,'⚪设计'!$A$144:$N$193,11,FALSE)="","",VLOOKUP($A39,'⚪设计'!$A$144:$N$193,11,FALSE))</f>
        <v>2</v>
      </c>
      <c r="J39" s="97">
        <f>IF(G39="","",ROUND($D39*'⚪设计'!$D180/(IF($G39="",0,VLOOKUP($G39,'⚪设计'!$B$85:$H$104,4,FALSE)*$H39)+IF($L39="",0,VLOOKUP($L39,'⚪设计'!$B$85:$H$104,4,FALSE)*$M39)+IF($Q39="",0,VLOOKUP($Q39,'⚪设计'!$B$85:$H$104,4,FALSE)*$R39)+IF($V39="",0,VLOOKUP($V39,'⚪设计'!$B$85:$H$104,4,FALSE)*$W39))*IF(G39="",0,VLOOKUP(G39,'⚪设计'!$B$85:$H$104,4,FALSE)),0))</f>
        <v>868</v>
      </c>
      <c r="K39" s="97">
        <f>IF(G39="","",ROUND(VLOOKUP($B39,战斗节奏!$A$4:$F$13,2,FALSE)/(IF($G39="",0,VLOOKUP($G39,'⚪设计'!$B$85:$H$104,5,FALSE)*$H39)+IF($L39="",0,VLOOKUP($L39,'⚪设计'!$B$85:$H$104,5,FALSE)*$M39)+IF($Q39="",0,VLOOKUP($Q39,'⚪设计'!$B$85:$H$104,5,FALSE)*$R39)+IF($V39="",0,VLOOKUP($V39,'⚪设计'!$B$85:$H$104,5,FALSE)*$W39))*IF(G39="",0,VLOOKUP(G39,'⚪设计'!$B$85:$H$104,5,FALSE)),0))</f>
        <v>33</v>
      </c>
      <c r="L39" s="97" t="str">
        <f>IF(VLOOKUP($A39,'⚪设计'!$A$144:$N$193,8,FALSE)="","",VLOOKUP($A39,'⚪设计'!$A$144:$N$193,8,FALSE))</f>
        <v>蜜蜂2</v>
      </c>
      <c r="M39" s="97">
        <f t="shared" si="2"/>
        <v>13</v>
      </c>
      <c r="N39" s="97">
        <f>IF(VLOOKUP($A39,'⚪设计'!$A$144:$N$193,12,FALSE)="","",VLOOKUP($A39,'⚪设计'!$A$144:$N$193,12,FALSE))</f>
        <v>1</v>
      </c>
      <c r="O39" s="97">
        <f>IF(L39="","",ROUND($D39*'⚪设计'!$D180/(IF($G39="",0,VLOOKUP($G39,'⚪设计'!$B$85:$H$104,4,FALSE)*$H39)+IF($L39="",0,VLOOKUP($L39,'⚪设计'!$B$85:$H$104,4,FALSE)*$M39)+IF($Q39="",0,VLOOKUP($Q39,'⚪设计'!$B$85:$H$104,4,FALSE)*$R39)+IF($V39="",0,VLOOKUP($V39,'⚪设计'!$B$85:$H$104,4,FALSE)*$W39))*IF(L39="",0,VLOOKUP(L39,'⚪设计'!$B$85:$H$104,4,FALSE)),0))</f>
        <v>579</v>
      </c>
      <c r="P39" s="97">
        <f>IF(L39="","",ROUND(VLOOKUP($B39,战斗节奏!$A$4:$F$13,2,FALSE)/(IF($G39="",0,VLOOKUP($G39,'⚪设计'!$B$85:$H$104,5,FALSE)*$H39)+IF($L39="",0,VLOOKUP($L39,'⚪设计'!$B$85:$H$104,5,FALSE)*$M39)+IF($Q39="",0,VLOOKUP($Q39,'⚪设计'!$B$85:$H$104,5,FALSE)*$R39)+IF($V39="",0,VLOOKUP($V39,'⚪设计'!$B$85:$H$104,5,FALSE)*$W39))*IF(L39="",0,VLOOKUP(L39,'⚪设计'!$B$85:$H$104,5,FALSE)),0))</f>
        <v>33</v>
      </c>
      <c r="Q39" s="97" t="str">
        <f>IF(VLOOKUP($A39,'⚪设计'!$A$144:$N$193,9,FALSE)="","",VLOOKUP($A39,'⚪设计'!$A$144:$N$193,9,FALSE))</f>
        <v>鸟2</v>
      </c>
      <c r="R39" s="97">
        <f t="shared" si="3"/>
        <v>3</v>
      </c>
      <c r="S39" s="97">
        <f>IF(VLOOKUP($A39,'⚪设计'!$A$144:$N$193,13,FALSE)="","",VLOOKUP($A39,'⚪设计'!$A$144:$N$193,13,FALSE))</f>
        <v>4</v>
      </c>
      <c r="T39" s="97">
        <f>IF(Q39="","",ROUND($D39*'⚪设计'!$D180/(IF($G39="",0,VLOOKUP($G39,'⚪设计'!$B$85:$H$104,4,FALSE)*$H39)+IF($L39="",0,VLOOKUP($L39,'⚪设计'!$B$85:$H$104,4,FALSE)*$M39)+IF($Q39="",0,VLOOKUP($Q39,'⚪设计'!$B$85:$H$104,4,FALSE)*$R39)+IF($V39="",0,VLOOKUP($V39,'⚪设计'!$B$85:$H$104,4,FALSE)*$W39))*IF(Q39="",0,VLOOKUP(Q39,'⚪设计'!$B$85:$H$104,4,FALSE)),0))</f>
        <v>1157</v>
      </c>
      <c r="U39" s="97">
        <f>IF(Q39="","",ROUND(VLOOKUP($B39,战斗节奏!$A$4:$F$13,2,FALSE)/(IF($G39="",0,VLOOKUP($G39,'⚪设计'!$B$85:$H$104,5,FALSE)*$H39)+IF($L39="",0,VLOOKUP($L39,'⚪设计'!$B$85:$H$104,5,FALSE)*$M39)+IF($Q39="",0,VLOOKUP($Q39,'⚪设计'!$B$85:$H$104,5,FALSE)*$R39)+IF($V39="",0,VLOOKUP($V39,'⚪设计'!$B$85:$H$104,5,FALSE)*$W39))*IF(Q39="",0,VLOOKUP(Q39,'⚪设计'!$B$85:$H$104,5,FALSE)),0))</f>
        <v>33</v>
      </c>
      <c r="V39" s="97" t="str">
        <f>IF(VLOOKUP($A39,'⚪设计'!$A$144:$N$193,10,FALSE)="","",VLOOKUP($A39,'⚪设计'!$A$144:$N$193,10,FALSE))</f>
        <v/>
      </c>
      <c r="W39" s="97" t="str">
        <f t="shared" si="4"/>
        <v/>
      </c>
      <c r="X39" s="97" t="str">
        <f>IF(VLOOKUP($A39,'⚪设计'!$A$144:$N$193,14,FALSE)="","",VLOOKUP($A39,'⚪设计'!$A$144:$N$193,14,FALSE))</f>
        <v/>
      </c>
      <c r="Y39" s="97" t="str">
        <f>IF(V39="","",ROUND($D39*'⚪设计'!$D180/(IF($G39="",0,VLOOKUP($G39,'⚪设计'!$B$85:$H$104,4,FALSE)*$H39)+IF($L39="",0,VLOOKUP($L39,'⚪设计'!$B$85:$H$104,4,FALSE)*$M39)+IF($Q39="",0,VLOOKUP($Q39,'⚪设计'!$B$85:$H$104,4,FALSE)*$R39)+IF($V39="",0,VLOOKUP($V39,'⚪设计'!$B$85:$H$104,4,FALSE)*$W39))*IF(V39="",0,VLOOKUP(V39,'⚪设计'!$B$85:$H$104,4,FALSE)),0))</f>
        <v/>
      </c>
      <c r="Z39" s="97" t="str">
        <f>IF(V39="","",ROUND(VLOOKUP($B39,战斗节奏!$A$4:$F$13,2,FALSE)/(IF($G39="",0,VLOOKUP($G39,'⚪设计'!$B$85:$H$104,5,FALSE)*$H39)+IF($L39="",0,VLOOKUP($L39,'⚪设计'!$B$85:$H$104,5,FALSE)*$M39)+IF($Q39="",0,VLOOKUP($Q39,'⚪设计'!$B$85:$H$104,5,FALSE)*$R39)+IF($V39="",0,VLOOKUP($V39,'⚪设计'!$B$85:$H$104,5,FALSE)*$W39))*IF(V39="",0,VLOOKUP(V39,'⚪设计'!$B$85:$H$104,5,FALSE)),0))</f>
        <v/>
      </c>
    </row>
    <row r="40" spans="1:26" x14ac:dyDescent="0.2">
      <c r="A40" s="2" t="str">
        <f t="shared" si="0"/>
        <v>8_3</v>
      </c>
      <c r="B40" s="2">
        <v>8</v>
      </c>
      <c r="C40" s="2">
        <v>3</v>
      </c>
      <c r="D40" s="97">
        <f>VLOOKUP(C40,无限模式!$A$3:$B$22,2,FALSE)</f>
        <v>3600</v>
      </c>
      <c r="E40" s="98">
        <v>1</v>
      </c>
      <c r="F40" s="97">
        <f>'⚪设计'!F181</f>
        <v>15</v>
      </c>
      <c r="G40" s="97" t="str">
        <f>IF(VLOOKUP($A40,'⚪设计'!$A$144:$N$193,7,FALSE)="","",VLOOKUP($A40,'⚪设计'!$A$144:$N$193,7,FALSE))</f>
        <v>种子1</v>
      </c>
      <c r="H40" s="97">
        <f t="shared" si="1"/>
        <v>8</v>
      </c>
      <c r="I40" s="97">
        <f>IF(VLOOKUP($A40,'⚪设计'!$A$144:$N$193,11,FALSE)="","",VLOOKUP($A40,'⚪设计'!$A$144:$N$193,11,FALSE))</f>
        <v>2</v>
      </c>
      <c r="J40" s="97">
        <f>IF(G40="","",ROUND($D40*'⚪设计'!$D181/(IF($G40="",0,VLOOKUP($G40,'⚪设计'!$B$85:$H$104,4,FALSE)*$H40)+IF($L40="",0,VLOOKUP($L40,'⚪设计'!$B$85:$H$104,4,FALSE)*$M40)+IF($Q40="",0,VLOOKUP($Q40,'⚪设计'!$B$85:$H$104,4,FALSE)*$R40)+IF($V40="",0,VLOOKUP($V40,'⚪设计'!$B$85:$H$104,4,FALSE)*$W40))*IF(G40="",0,VLOOKUP(G40,'⚪设计'!$B$85:$H$104,4,FALSE)),0))</f>
        <v>2492</v>
      </c>
      <c r="K40" s="97">
        <f>IF(G40="","",ROUND(VLOOKUP($B40,战斗节奏!$A$4:$F$13,2,FALSE)/(IF($G40="",0,VLOOKUP($G40,'⚪设计'!$B$85:$H$104,5,FALSE)*$H40)+IF($L40="",0,VLOOKUP($L40,'⚪设计'!$B$85:$H$104,5,FALSE)*$M40)+IF($Q40="",0,VLOOKUP($Q40,'⚪设计'!$B$85:$H$104,5,FALSE)*$R40)+IF($V40="",0,VLOOKUP($V40,'⚪设计'!$B$85:$H$104,5,FALSE)*$W40))*IF(G40="",0,VLOOKUP(G40,'⚪设计'!$B$85:$H$104,5,FALSE)),0))</f>
        <v>29</v>
      </c>
      <c r="L40" s="97" t="str">
        <f>IF(VLOOKUP($A40,'⚪设计'!$A$144:$N$193,8,FALSE)="","",VLOOKUP($A40,'⚪设计'!$A$144:$N$193,8,FALSE))</f>
        <v>蝙蝠1</v>
      </c>
      <c r="M40" s="97">
        <f t="shared" si="2"/>
        <v>50</v>
      </c>
      <c r="N40" s="97">
        <f>IF(VLOOKUP($A40,'⚪设计'!$A$144:$N$193,12,FALSE)="","",VLOOKUP($A40,'⚪设计'!$A$144:$N$193,12,FALSE))</f>
        <v>0.3</v>
      </c>
      <c r="O40" s="97">
        <f>IF(L40="","",ROUND($D40*'⚪设计'!$D181/(IF($G40="",0,VLOOKUP($G40,'⚪设计'!$B$85:$H$104,4,FALSE)*$H40)+IF($L40="",0,VLOOKUP($L40,'⚪设计'!$B$85:$H$104,4,FALSE)*$M40)+IF($Q40="",0,VLOOKUP($Q40,'⚪设计'!$B$85:$H$104,4,FALSE)*$R40)+IF($V40="",0,VLOOKUP($V40,'⚪设计'!$B$85:$H$104,4,FALSE)*$W40))*IF(L40="",0,VLOOKUP(L40,'⚪设计'!$B$85:$H$104,4,FALSE)),0))</f>
        <v>415</v>
      </c>
      <c r="P40" s="97">
        <f>IF(L40="","",ROUND(VLOOKUP($B40,战斗节奏!$A$4:$F$13,2,FALSE)/(IF($G40="",0,VLOOKUP($G40,'⚪设计'!$B$85:$H$104,5,FALSE)*$H40)+IF($L40="",0,VLOOKUP($L40,'⚪设计'!$B$85:$H$104,5,FALSE)*$M40)+IF($Q40="",0,VLOOKUP($Q40,'⚪设计'!$B$85:$H$104,5,FALSE)*$R40)+IF($V40="",0,VLOOKUP($V40,'⚪设计'!$B$85:$H$104,5,FALSE)*$W40))*IF(L40="",0,VLOOKUP(L40,'⚪设计'!$B$85:$H$104,5,FALSE)),0))</f>
        <v>7</v>
      </c>
      <c r="Q40" s="97" t="str">
        <f>IF(VLOOKUP($A40,'⚪设计'!$A$144:$N$193,9,FALSE)="","",VLOOKUP($A40,'⚪设计'!$A$144:$N$193,9,FALSE))</f>
        <v>鸟2</v>
      </c>
      <c r="R40" s="97">
        <f t="shared" si="3"/>
        <v>4</v>
      </c>
      <c r="S40" s="97">
        <f>IF(VLOOKUP($A40,'⚪设计'!$A$144:$N$193,13,FALSE)="","",VLOOKUP($A40,'⚪设计'!$A$144:$N$193,13,FALSE))</f>
        <v>4</v>
      </c>
      <c r="T40" s="97">
        <f>IF(Q40="","",ROUND($D40*'⚪设计'!$D181/(IF($G40="",0,VLOOKUP($G40,'⚪设计'!$B$85:$H$104,4,FALSE)*$H40)+IF($L40="",0,VLOOKUP($L40,'⚪设计'!$B$85:$H$104,4,FALSE)*$M40)+IF($Q40="",0,VLOOKUP($Q40,'⚪设计'!$B$85:$H$104,4,FALSE)*$R40)+IF($V40="",0,VLOOKUP($V40,'⚪设计'!$B$85:$H$104,4,FALSE)*$W40))*IF(Q40="",0,VLOOKUP(Q40,'⚪设计'!$B$85:$H$104,4,FALSE)),0))</f>
        <v>3323</v>
      </c>
      <c r="U40" s="97">
        <f>IF(Q40="","",ROUND(VLOOKUP($B40,战斗节奏!$A$4:$F$13,2,FALSE)/(IF($G40="",0,VLOOKUP($G40,'⚪设计'!$B$85:$H$104,5,FALSE)*$H40)+IF($L40="",0,VLOOKUP($L40,'⚪设计'!$B$85:$H$104,5,FALSE)*$M40)+IF($Q40="",0,VLOOKUP($Q40,'⚪设计'!$B$85:$H$104,5,FALSE)*$R40)+IF($V40="",0,VLOOKUP($V40,'⚪设计'!$B$85:$H$104,5,FALSE)*$W40))*IF(Q40="",0,VLOOKUP(Q40,'⚪设计'!$B$85:$H$104,5,FALSE)),0))</f>
        <v>29</v>
      </c>
      <c r="V40" s="97" t="str">
        <f>IF(VLOOKUP($A40,'⚪设计'!$A$144:$N$193,10,FALSE)="","",VLOOKUP($A40,'⚪设计'!$A$144:$N$193,10,FALSE))</f>
        <v/>
      </c>
      <c r="W40" s="97" t="str">
        <f t="shared" si="4"/>
        <v/>
      </c>
      <c r="X40" s="97" t="str">
        <f>IF(VLOOKUP($A40,'⚪设计'!$A$144:$N$193,14,FALSE)="","",VLOOKUP($A40,'⚪设计'!$A$144:$N$193,14,FALSE))</f>
        <v/>
      </c>
      <c r="Y40" s="97" t="str">
        <f>IF(V40="","",ROUND($D40*'⚪设计'!$D181/(IF($G40="",0,VLOOKUP($G40,'⚪设计'!$B$85:$H$104,4,FALSE)*$H40)+IF($L40="",0,VLOOKUP($L40,'⚪设计'!$B$85:$H$104,4,FALSE)*$M40)+IF($Q40="",0,VLOOKUP($Q40,'⚪设计'!$B$85:$H$104,4,FALSE)*$R40)+IF($V40="",0,VLOOKUP($V40,'⚪设计'!$B$85:$H$104,4,FALSE)*$W40))*IF(V40="",0,VLOOKUP(V40,'⚪设计'!$B$85:$H$104,4,FALSE)),0))</f>
        <v/>
      </c>
      <c r="Z40" s="97" t="str">
        <f>IF(V40="","",ROUND(VLOOKUP($B40,战斗节奏!$A$4:$F$13,2,FALSE)/(IF($G40="",0,VLOOKUP($G40,'⚪设计'!$B$85:$H$104,5,FALSE)*$H40)+IF($L40="",0,VLOOKUP($L40,'⚪设计'!$B$85:$H$104,5,FALSE)*$M40)+IF($Q40="",0,VLOOKUP($Q40,'⚪设计'!$B$85:$H$104,5,FALSE)*$R40)+IF($V40="",0,VLOOKUP($V40,'⚪设计'!$B$85:$H$104,5,FALSE)*$W40))*IF(V40="",0,VLOOKUP(V40,'⚪设计'!$B$85:$H$104,5,FALSE)),0))</f>
        <v/>
      </c>
    </row>
    <row r="41" spans="1:26" x14ac:dyDescent="0.2">
      <c r="A41" s="2" t="str">
        <f t="shared" si="0"/>
        <v>8_4</v>
      </c>
      <c r="B41" s="2">
        <v>8</v>
      </c>
      <c r="C41" s="2">
        <v>4</v>
      </c>
      <c r="D41" s="97">
        <f>VLOOKUP(C41,无限模式!$A$3:$B$22,2,FALSE)</f>
        <v>4500</v>
      </c>
      <c r="E41" s="98">
        <v>1</v>
      </c>
      <c r="F41" s="97">
        <f>'⚪设计'!F182</f>
        <v>17.5</v>
      </c>
      <c r="G41" s="97" t="str">
        <f>IF(VLOOKUP($A41,'⚪设计'!$A$144:$N$193,7,FALSE)="","",VLOOKUP($A41,'⚪设计'!$A$144:$N$193,7,FALSE))</f>
        <v>种子1</v>
      </c>
      <c r="H41" s="97">
        <f t="shared" si="1"/>
        <v>9</v>
      </c>
      <c r="I41" s="97">
        <f>IF(VLOOKUP($A41,'⚪设计'!$A$144:$N$193,11,FALSE)="","",VLOOKUP($A41,'⚪设计'!$A$144:$N$193,11,FALSE))</f>
        <v>2</v>
      </c>
      <c r="J41" s="97">
        <f>IF(G41="","",ROUND($D41*'⚪设计'!$D182/(IF($G41="",0,VLOOKUP($G41,'⚪设计'!$B$85:$H$104,4,FALSE)*$H41)+IF($L41="",0,VLOOKUP($L41,'⚪设计'!$B$85:$H$104,4,FALSE)*$M41)+IF($Q41="",0,VLOOKUP($Q41,'⚪设计'!$B$85:$H$104,4,FALSE)*$R41)+IF($V41="",0,VLOOKUP($V41,'⚪设计'!$B$85:$H$104,4,FALSE)*$W41))*IF(G41="",0,VLOOKUP(G41,'⚪设计'!$B$85:$H$104,4,FALSE)),0))</f>
        <v>2700</v>
      </c>
      <c r="K41" s="97">
        <f>IF(G41="","",ROUND(VLOOKUP($B41,战斗节奏!$A$4:$F$13,2,FALSE)/(IF($G41="",0,VLOOKUP($G41,'⚪设计'!$B$85:$H$104,5,FALSE)*$H41)+IF($L41="",0,VLOOKUP($L41,'⚪设计'!$B$85:$H$104,5,FALSE)*$M41)+IF($Q41="",0,VLOOKUP($Q41,'⚪设计'!$B$85:$H$104,5,FALSE)*$R41)+IF($V41="",0,VLOOKUP($V41,'⚪设计'!$B$85:$H$104,5,FALSE)*$W41))*IF(G41="",0,VLOOKUP(G41,'⚪设计'!$B$85:$H$104,5,FALSE)),0))</f>
        <v>20</v>
      </c>
      <c r="L41" s="97" t="str">
        <f>IF(VLOOKUP($A41,'⚪设计'!$A$144:$N$193,8,FALSE)="","",VLOOKUP($A41,'⚪设计'!$A$144:$N$193,8,FALSE))</f>
        <v>蝙蝠1</v>
      </c>
      <c r="M41" s="97">
        <f t="shared" si="2"/>
        <v>58</v>
      </c>
      <c r="N41" s="97">
        <f>IF(VLOOKUP($A41,'⚪设计'!$A$144:$N$193,12,FALSE)="","",VLOOKUP($A41,'⚪设计'!$A$144:$N$193,12,FALSE))</f>
        <v>0.3</v>
      </c>
      <c r="O41" s="97">
        <f>IF(L41="","",ROUND($D41*'⚪设计'!$D182/(IF($G41="",0,VLOOKUP($G41,'⚪设计'!$B$85:$H$104,4,FALSE)*$H41)+IF($L41="",0,VLOOKUP($L41,'⚪设计'!$B$85:$H$104,4,FALSE)*$M41)+IF($Q41="",0,VLOOKUP($Q41,'⚪设计'!$B$85:$H$104,4,FALSE)*$R41)+IF($V41="",0,VLOOKUP($V41,'⚪设计'!$B$85:$H$104,4,FALSE)*$W41))*IF(L41="",0,VLOOKUP(L41,'⚪设计'!$B$85:$H$104,4,FALSE)),0))</f>
        <v>450</v>
      </c>
      <c r="P41" s="97">
        <f>IF(L41="","",ROUND(VLOOKUP($B41,战斗节奏!$A$4:$F$13,2,FALSE)/(IF($G41="",0,VLOOKUP($G41,'⚪设计'!$B$85:$H$104,5,FALSE)*$H41)+IF($L41="",0,VLOOKUP($L41,'⚪设计'!$B$85:$H$104,5,FALSE)*$M41)+IF($Q41="",0,VLOOKUP($Q41,'⚪设计'!$B$85:$H$104,5,FALSE)*$R41)+IF($V41="",0,VLOOKUP($V41,'⚪设计'!$B$85:$H$104,5,FALSE)*$W41))*IF(L41="",0,VLOOKUP(L41,'⚪设计'!$B$85:$H$104,5,FALSE)),0))</f>
        <v>5</v>
      </c>
      <c r="Q41" s="97" t="str">
        <f>IF(VLOOKUP($A41,'⚪设计'!$A$144:$N$193,9,FALSE)="","",VLOOKUP($A41,'⚪设计'!$A$144:$N$193,9,FALSE))</f>
        <v>蜘蛛1</v>
      </c>
      <c r="R41" s="97">
        <f t="shared" si="3"/>
        <v>18</v>
      </c>
      <c r="S41" s="97">
        <f>IF(VLOOKUP($A41,'⚪设计'!$A$144:$N$193,13,FALSE)="","",VLOOKUP($A41,'⚪设计'!$A$144:$N$193,13,FALSE))</f>
        <v>1</v>
      </c>
      <c r="T41" s="97">
        <f>IF(Q41="","",ROUND($D41*'⚪设计'!$D182/(IF($G41="",0,VLOOKUP($G41,'⚪设计'!$B$85:$H$104,4,FALSE)*$H41)+IF($L41="",0,VLOOKUP($L41,'⚪设计'!$B$85:$H$104,4,FALSE)*$M41)+IF($Q41="",0,VLOOKUP($Q41,'⚪设计'!$B$85:$H$104,4,FALSE)*$R41)+IF($V41="",0,VLOOKUP($V41,'⚪设计'!$B$85:$H$104,4,FALSE)*$W41))*IF(Q41="",0,VLOOKUP(Q41,'⚪设计'!$B$85:$H$104,4,FALSE)),0))</f>
        <v>900</v>
      </c>
      <c r="U41" s="97">
        <f>IF(Q41="","",ROUND(VLOOKUP($B41,战斗节奏!$A$4:$F$13,2,FALSE)/(IF($G41="",0,VLOOKUP($G41,'⚪设计'!$B$85:$H$104,5,FALSE)*$H41)+IF($L41="",0,VLOOKUP($L41,'⚪设计'!$B$85:$H$104,5,FALSE)*$M41)+IF($Q41="",0,VLOOKUP($Q41,'⚪设计'!$B$85:$H$104,5,FALSE)*$R41)+IF($V41="",0,VLOOKUP($V41,'⚪设计'!$B$85:$H$104,5,FALSE)*$W41))*IF(Q41="",0,VLOOKUP(Q41,'⚪设计'!$B$85:$H$104,5,FALSE)),0))</f>
        <v>10</v>
      </c>
      <c r="V41" s="97" t="str">
        <f>IF(VLOOKUP($A41,'⚪设计'!$A$144:$N$193,10,FALSE)="","",VLOOKUP($A41,'⚪设计'!$A$144:$N$193,10,FALSE))</f>
        <v>鸟2</v>
      </c>
      <c r="W41" s="97">
        <f t="shared" si="4"/>
        <v>4</v>
      </c>
      <c r="X41" s="97">
        <f>IF(VLOOKUP($A41,'⚪设计'!$A$144:$N$193,14,FALSE)="","",VLOOKUP($A41,'⚪设计'!$A$144:$N$193,14,FALSE))</f>
        <v>4</v>
      </c>
      <c r="Y41" s="97">
        <f>IF(V41="","",ROUND($D41*'⚪设计'!$D182/(IF($G41="",0,VLOOKUP($G41,'⚪设计'!$B$85:$H$104,4,FALSE)*$H41)+IF($L41="",0,VLOOKUP($L41,'⚪设计'!$B$85:$H$104,4,FALSE)*$M41)+IF($Q41="",0,VLOOKUP($Q41,'⚪设计'!$B$85:$H$104,4,FALSE)*$R41)+IF($V41="",0,VLOOKUP($V41,'⚪设计'!$B$85:$H$104,4,FALSE)*$W41))*IF(V41="",0,VLOOKUP(V41,'⚪设计'!$B$85:$H$104,4,FALSE)),0))</f>
        <v>3600</v>
      </c>
      <c r="Z41" s="97">
        <f>IF(V41="","",ROUND(VLOOKUP($B41,战斗节奏!$A$4:$F$13,2,FALSE)/(IF($G41="",0,VLOOKUP($G41,'⚪设计'!$B$85:$H$104,5,FALSE)*$H41)+IF($L41="",0,VLOOKUP($L41,'⚪设计'!$B$85:$H$104,5,FALSE)*$M41)+IF($Q41="",0,VLOOKUP($Q41,'⚪设计'!$B$85:$H$104,5,FALSE)*$R41)+IF($V41="",0,VLOOKUP($V41,'⚪设计'!$B$85:$H$104,5,FALSE)*$W41))*IF(V41="",0,VLOOKUP(V41,'⚪设计'!$B$85:$H$104,5,FALSE)),0))</f>
        <v>20</v>
      </c>
    </row>
    <row r="42" spans="1:26" x14ac:dyDescent="0.2">
      <c r="A42" s="2" t="str">
        <f t="shared" si="0"/>
        <v>8_5</v>
      </c>
      <c r="B42" s="2">
        <v>8</v>
      </c>
      <c r="C42" s="2">
        <v>5</v>
      </c>
      <c r="D42" s="97">
        <f>VLOOKUP(C42,无限模式!$A$3:$B$22,2,FALSE)</f>
        <v>5400</v>
      </c>
      <c r="E42" s="98">
        <v>1</v>
      </c>
      <c r="F42" s="97">
        <f>'⚪设计'!F183</f>
        <v>20</v>
      </c>
      <c r="G42" s="97" t="str">
        <f>IF(VLOOKUP($A42,'⚪设计'!$A$144:$N$193,7,FALSE)="","",VLOOKUP($A42,'⚪设计'!$A$144:$N$193,7,FALSE))</f>
        <v>种子1</v>
      </c>
      <c r="H42" s="97">
        <f t="shared" si="1"/>
        <v>20</v>
      </c>
      <c r="I42" s="97">
        <f>IF(VLOOKUP($A42,'⚪设计'!$A$144:$N$193,11,FALSE)="","",VLOOKUP($A42,'⚪设计'!$A$144:$N$193,11,FALSE))</f>
        <v>1</v>
      </c>
      <c r="J42" s="97">
        <f>IF(G42="","",ROUND($D42*'⚪设计'!$D183/(IF($G42="",0,VLOOKUP($G42,'⚪设计'!$B$85:$H$104,4,FALSE)*$H42)+IF($L42="",0,VLOOKUP($L42,'⚪设计'!$B$85:$H$104,4,FALSE)*$M42)+IF($Q42="",0,VLOOKUP($Q42,'⚪设计'!$B$85:$H$104,4,FALSE)*$R42)+IF($V42="",0,VLOOKUP($V42,'⚪设计'!$B$85:$H$104,4,FALSE)*$W42))*IF(G42="",0,VLOOKUP(G42,'⚪设计'!$B$85:$H$104,4,FALSE)),0))</f>
        <v>1878</v>
      </c>
      <c r="K42" s="97">
        <f>IF(G42="","",ROUND(VLOOKUP($B42,战斗节奏!$A$4:$F$13,2,FALSE)/(IF($G42="",0,VLOOKUP($G42,'⚪设计'!$B$85:$H$104,5,FALSE)*$H42)+IF($L42="",0,VLOOKUP($L42,'⚪设计'!$B$85:$H$104,5,FALSE)*$M42)+IF($Q42="",0,VLOOKUP($Q42,'⚪设计'!$B$85:$H$104,5,FALSE)*$R42)+IF($V42="",0,VLOOKUP($V42,'⚪设计'!$B$85:$H$104,5,FALSE)*$W42))*IF(G42="",0,VLOOKUP(G42,'⚪设计'!$B$85:$H$104,5,FALSE)),0))</f>
        <v>9</v>
      </c>
      <c r="L42" s="97" t="str">
        <f>IF(VLOOKUP($A42,'⚪设计'!$A$144:$N$193,8,FALSE)="","",VLOOKUP($A42,'⚪设计'!$A$144:$N$193,8,FALSE))</f>
        <v>蜜蜂2</v>
      </c>
      <c r="M42" s="97">
        <f t="shared" si="2"/>
        <v>20</v>
      </c>
      <c r="N42" s="97">
        <f>IF(VLOOKUP($A42,'⚪设计'!$A$144:$N$193,12,FALSE)="","",VLOOKUP($A42,'⚪设计'!$A$144:$N$193,12,FALSE))</f>
        <v>1</v>
      </c>
      <c r="O42" s="97">
        <f>IF(L42="","",ROUND($D42*'⚪设计'!$D183/(IF($G42="",0,VLOOKUP($G42,'⚪设计'!$B$85:$H$104,4,FALSE)*$H42)+IF($L42="",0,VLOOKUP($L42,'⚪设计'!$B$85:$H$104,4,FALSE)*$M42)+IF($Q42="",0,VLOOKUP($Q42,'⚪设计'!$B$85:$H$104,4,FALSE)*$R42)+IF($V42="",0,VLOOKUP($V42,'⚪设计'!$B$85:$H$104,4,FALSE)*$W42))*IF(L42="",0,VLOOKUP(L42,'⚪设计'!$B$85:$H$104,4,FALSE)),0))</f>
        <v>1252</v>
      </c>
      <c r="P42" s="97">
        <f>IF(L42="","",ROUND(VLOOKUP($B42,战斗节奏!$A$4:$F$13,2,FALSE)/(IF($G42="",0,VLOOKUP($G42,'⚪设计'!$B$85:$H$104,5,FALSE)*$H42)+IF($L42="",0,VLOOKUP($L42,'⚪设计'!$B$85:$H$104,5,FALSE)*$M42)+IF($Q42="",0,VLOOKUP($Q42,'⚪设计'!$B$85:$H$104,5,FALSE)*$R42)+IF($V42="",0,VLOOKUP($V42,'⚪设计'!$B$85:$H$104,5,FALSE)*$W42))*IF(L42="",0,VLOOKUP(L42,'⚪设计'!$B$85:$H$104,5,FALSE)),0))</f>
        <v>9</v>
      </c>
      <c r="Q42" s="97" t="str">
        <f>IF(VLOOKUP($A42,'⚪设计'!$A$144:$N$193,9,FALSE)="","",VLOOKUP($A42,'⚪设计'!$A$144:$N$193,9,FALSE))</f>
        <v>蜘蛛1</v>
      </c>
      <c r="R42" s="97">
        <f t="shared" si="3"/>
        <v>67</v>
      </c>
      <c r="S42" s="97">
        <f>IF(VLOOKUP($A42,'⚪设计'!$A$144:$N$193,13,FALSE)="","",VLOOKUP($A42,'⚪设计'!$A$144:$N$193,13,FALSE))</f>
        <v>0.3</v>
      </c>
      <c r="T42" s="97">
        <f>IF(Q42="","",ROUND($D42*'⚪设计'!$D183/(IF($G42="",0,VLOOKUP($G42,'⚪设计'!$B$85:$H$104,4,FALSE)*$H42)+IF($L42="",0,VLOOKUP($L42,'⚪设计'!$B$85:$H$104,4,FALSE)*$M42)+IF($Q42="",0,VLOOKUP($Q42,'⚪设计'!$B$85:$H$104,4,FALSE)*$R42)+IF($V42="",0,VLOOKUP($V42,'⚪设计'!$B$85:$H$104,4,FALSE)*$W42))*IF(Q42="",0,VLOOKUP(Q42,'⚪设计'!$B$85:$H$104,4,FALSE)),0))</f>
        <v>626</v>
      </c>
      <c r="U42" s="97">
        <f>IF(Q42="","",ROUND(VLOOKUP($B42,战斗节奏!$A$4:$F$13,2,FALSE)/(IF($G42="",0,VLOOKUP($G42,'⚪设计'!$B$85:$H$104,5,FALSE)*$H42)+IF($L42="",0,VLOOKUP($L42,'⚪设计'!$B$85:$H$104,5,FALSE)*$M42)+IF($Q42="",0,VLOOKUP($Q42,'⚪设计'!$B$85:$H$104,5,FALSE)*$R42)+IF($V42="",0,VLOOKUP($V42,'⚪设计'!$B$85:$H$104,5,FALSE)*$W42))*IF(Q42="",0,VLOOKUP(Q42,'⚪设计'!$B$85:$H$104,5,FALSE)),0))</f>
        <v>4</v>
      </c>
      <c r="V42" s="97" t="str">
        <f>IF(VLOOKUP($A42,'⚪设计'!$A$144:$N$193,10,FALSE)="","",VLOOKUP($A42,'⚪设计'!$A$144:$N$193,10,FALSE))</f>
        <v>鸟2</v>
      </c>
      <c r="W42" s="97">
        <f t="shared" si="4"/>
        <v>10</v>
      </c>
      <c r="X42" s="97">
        <f>IF(VLOOKUP($A42,'⚪设计'!$A$144:$N$193,14,FALSE)="","",VLOOKUP($A42,'⚪设计'!$A$144:$N$193,14,FALSE))</f>
        <v>2</v>
      </c>
      <c r="Y42" s="97">
        <f>IF(V42="","",ROUND($D42*'⚪设计'!$D183/(IF($G42="",0,VLOOKUP($G42,'⚪设计'!$B$85:$H$104,4,FALSE)*$H42)+IF($L42="",0,VLOOKUP($L42,'⚪设计'!$B$85:$H$104,4,FALSE)*$M42)+IF($Q42="",0,VLOOKUP($Q42,'⚪设计'!$B$85:$H$104,4,FALSE)*$R42)+IF($V42="",0,VLOOKUP($V42,'⚪设计'!$B$85:$H$104,4,FALSE)*$W42))*IF(V42="",0,VLOOKUP(V42,'⚪设计'!$B$85:$H$104,4,FALSE)),0))</f>
        <v>2504</v>
      </c>
      <c r="Z42" s="97">
        <f>IF(V42="","",ROUND(VLOOKUP($B42,战斗节奏!$A$4:$F$13,2,FALSE)/(IF($G42="",0,VLOOKUP($G42,'⚪设计'!$B$85:$H$104,5,FALSE)*$H42)+IF($L42="",0,VLOOKUP($L42,'⚪设计'!$B$85:$H$104,5,FALSE)*$M42)+IF($Q42="",0,VLOOKUP($Q42,'⚪设计'!$B$85:$H$104,5,FALSE)*$R42)+IF($V42="",0,VLOOKUP($V42,'⚪设计'!$B$85:$H$104,5,FALSE)*$W42))*IF(V42="",0,VLOOKUP(V42,'⚪设计'!$B$85:$H$104,5,FALSE)),0))</f>
        <v>9</v>
      </c>
    </row>
    <row r="43" spans="1:26" x14ac:dyDescent="0.2">
      <c r="A43" s="2" t="str">
        <f t="shared" si="0"/>
        <v>9_1</v>
      </c>
      <c r="B43" s="2">
        <v>9</v>
      </c>
      <c r="C43" s="2">
        <v>1</v>
      </c>
      <c r="D43" s="97">
        <f>VLOOKUP(C43,无限模式!$A$3:$B$22,2,FALSE)</f>
        <v>900</v>
      </c>
      <c r="E43" s="98">
        <v>1</v>
      </c>
      <c r="F43" s="97">
        <f>'⚪设计'!F184</f>
        <v>10</v>
      </c>
      <c r="G43" s="97" t="str">
        <f>IF(VLOOKUP($A43,'⚪设计'!$A$144:$N$193,7,FALSE)="","",VLOOKUP($A43,'⚪设计'!$A$144:$N$193,7,FALSE))</f>
        <v>鬼1</v>
      </c>
      <c r="H43" s="97">
        <f t="shared" si="1"/>
        <v>7</v>
      </c>
      <c r="I43" s="97">
        <f>IF(VLOOKUP($A43,'⚪设计'!$A$144:$N$193,11,FALSE)="","",VLOOKUP($A43,'⚪设计'!$A$144:$N$193,11,FALSE))</f>
        <v>1.5</v>
      </c>
      <c r="J43" s="97">
        <f>IF(G43="","",ROUND($D43*'⚪设计'!$D184/(IF($G43="",0,VLOOKUP($G43,'⚪设计'!$B$85:$H$104,4,FALSE)*$H43)+IF($L43="",0,VLOOKUP($L43,'⚪设计'!$B$85:$H$104,4,FALSE)*$M43)+IF($Q43="",0,VLOOKUP($Q43,'⚪设计'!$B$85:$H$104,4,FALSE)*$R43)+IF($V43="",0,VLOOKUP($V43,'⚪设计'!$B$85:$H$104,4,FALSE)*$W43))*IF(G43="",0,VLOOKUP(G43,'⚪设计'!$B$85:$H$104,4,FALSE)),0))</f>
        <v>540</v>
      </c>
      <c r="K43" s="97">
        <f>IF(G43="","",ROUND(VLOOKUP($B43,战斗节奏!$A$4:$F$13,2,FALSE)/(IF($G43="",0,VLOOKUP($G43,'⚪设计'!$B$85:$H$104,5,FALSE)*$H43)+IF($L43="",0,VLOOKUP($L43,'⚪设计'!$B$85:$H$104,5,FALSE)*$M43)+IF($Q43="",0,VLOOKUP($Q43,'⚪设计'!$B$85:$H$104,5,FALSE)*$R43)+IF($V43="",0,VLOOKUP($V43,'⚪设计'!$B$85:$H$104,5,FALSE)*$W43))*IF(G43="",0,VLOOKUP(G43,'⚪设计'!$B$85:$H$104,5,FALSE)),0))</f>
        <v>80</v>
      </c>
      <c r="L43" s="97" t="str">
        <f>IF(VLOOKUP($A43,'⚪设计'!$A$144:$N$193,8,FALSE)="","",VLOOKUP($A43,'⚪设计'!$A$144:$N$193,8,FALSE))</f>
        <v>鸟2</v>
      </c>
      <c r="M43" s="97">
        <f t="shared" si="2"/>
        <v>1</v>
      </c>
      <c r="N43" s="97">
        <f>IF(VLOOKUP($A43,'⚪设计'!$A$144:$N$193,12,FALSE)="","",VLOOKUP($A43,'⚪设计'!$A$144:$N$193,12,FALSE))</f>
        <v>0</v>
      </c>
      <c r="O43" s="97">
        <f>IF(L43="","",ROUND($D43*'⚪设计'!$D184/(IF($G43="",0,VLOOKUP($G43,'⚪设计'!$B$85:$H$104,4,FALSE)*$H43)+IF($L43="",0,VLOOKUP($L43,'⚪设计'!$B$85:$H$104,4,FALSE)*$M43)+IF($Q43="",0,VLOOKUP($Q43,'⚪设计'!$B$85:$H$104,4,FALSE)*$R43)+IF($V43="",0,VLOOKUP($V43,'⚪设计'!$B$85:$H$104,4,FALSE)*$W43))*IF(L43="",0,VLOOKUP(L43,'⚪设计'!$B$85:$H$104,4,FALSE)),0))</f>
        <v>2160</v>
      </c>
      <c r="P43" s="97">
        <f>IF(L43="","",ROUND(VLOOKUP($B43,战斗节奏!$A$4:$F$13,2,FALSE)/(IF($G43="",0,VLOOKUP($G43,'⚪设计'!$B$85:$H$104,5,FALSE)*$H43)+IF($L43="",0,VLOOKUP($L43,'⚪设计'!$B$85:$H$104,5,FALSE)*$M43)+IF($Q43="",0,VLOOKUP($Q43,'⚪设计'!$B$85:$H$104,5,FALSE)*$R43)+IF($V43="",0,VLOOKUP($V43,'⚪设计'!$B$85:$H$104,5,FALSE)*$W43))*IF(L43="",0,VLOOKUP(L43,'⚪设计'!$B$85:$H$104,5,FALSE)),0))</f>
        <v>160</v>
      </c>
      <c r="Q43" s="97" t="str">
        <f>IF(VLOOKUP($A43,'⚪设计'!$A$144:$N$193,9,FALSE)="","",VLOOKUP($A43,'⚪设计'!$A$144:$N$193,9,FALSE))</f>
        <v/>
      </c>
      <c r="R43" s="97" t="str">
        <f t="shared" si="3"/>
        <v/>
      </c>
      <c r="S43" s="97" t="str">
        <f>IF(VLOOKUP($A43,'⚪设计'!$A$144:$N$193,13,FALSE)="","",VLOOKUP($A43,'⚪设计'!$A$144:$N$193,13,FALSE))</f>
        <v/>
      </c>
      <c r="T43" s="97" t="str">
        <f>IF(Q43="","",ROUND($D43*'⚪设计'!$D184/(IF($G43="",0,VLOOKUP($G43,'⚪设计'!$B$85:$H$104,4,FALSE)*$H43)+IF($L43="",0,VLOOKUP($L43,'⚪设计'!$B$85:$H$104,4,FALSE)*$M43)+IF($Q43="",0,VLOOKUP($Q43,'⚪设计'!$B$85:$H$104,4,FALSE)*$R43)+IF($V43="",0,VLOOKUP($V43,'⚪设计'!$B$85:$H$104,4,FALSE)*$W43))*IF(Q43="",0,VLOOKUP(Q43,'⚪设计'!$B$85:$H$104,4,FALSE)),0))</f>
        <v/>
      </c>
      <c r="U43" s="97" t="str">
        <f>IF(Q43="","",ROUND(VLOOKUP($B43,战斗节奏!$A$4:$F$13,2,FALSE)/(IF($G43="",0,VLOOKUP($G43,'⚪设计'!$B$85:$H$104,5,FALSE)*$H43)+IF($L43="",0,VLOOKUP($L43,'⚪设计'!$B$85:$H$104,5,FALSE)*$M43)+IF($Q43="",0,VLOOKUP($Q43,'⚪设计'!$B$85:$H$104,5,FALSE)*$R43)+IF($V43="",0,VLOOKUP($V43,'⚪设计'!$B$85:$H$104,5,FALSE)*$W43))*IF(Q43="",0,VLOOKUP(Q43,'⚪设计'!$B$85:$H$104,5,FALSE)),0))</f>
        <v/>
      </c>
      <c r="V43" s="97" t="str">
        <f>IF(VLOOKUP($A43,'⚪设计'!$A$144:$N$193,10,FALSE)="","",VLOOKUP($A43,'⚪设计'!$A$144:$N$193,10,FALSE))</f>
        <v/>
      </c>
      <c r="W43" s="97" t="str">
        <f t="shared" si="4"/>
        <v/>
      </c>
      <c r="X43" s="97" t="str">
        <f>IF(VLOOKUP($A43,'⚪设计'!$A$144:$N$193,14,FALSE)="","",VLOOKUP($A43,'⚪设计'!$A$144:$N$193,14,FALSE))</f>
        <v/>
      </c>
      <c r="Y43" s="97" t="str">
        <f>IF(V43="","",ROUND($D43*'⚪设计'!$D184/(IF($G43="",0,VLOOKUP($G43,'⚪设计'!$B$85:$H$104,4,FALSE)*$H43)+IF($L43="",0,VLOOKUP($L43,'⚪设计'!$B$85:$H$104,4,FALSE)*$M43)+IF($Q43="",0,VLOOKUP($Q43,'⚪设计'!$B$85:$H$104,4,FALSE)*$R43)+IF($V43="",0,VLOOKUP($V43,'⚪设计'!$B$85:$H$104,4,FALSE)*$W43))*IF(V43="",0,VLOOKUP(V43,'⚪设计'!$B$85:$H$104,4,FALSE)),0))</f>
        <v/>
      </c>
      <c r="Z43" s="97" t="str">
        <f>IF(V43="","",ROUND(VLOOKUP($B43,战斗节奏!$A$4:$F$13,2,FALSE)/(IF($G43="",0,VLOOKUP($G43,'⚪设计'!$B$85:$H$104,5,FALSE)*$H43)+IF($L43="",0,VLOOKUP($L43,'⚪设计'!$B$85:$H$104,5,FALSE)*$M43)+IF($Q43="",0,VLOOKUP($Q43,'⚪设计'!$B$85:$H$104,5,FALSE)*$R43)+IF($V43="",0,VLOOKUP($V43,'⚪设计'!$B$85:$H$104,5,FALSE)*$W43))*IF(V43="",0,VLOOKUP(V43,'⚪设计'!$B$85:$H$104,5,FALSE)),0))</f>
        <v/>
      </c>
    </row>
    <row r="44" spans="1:26" x14ac:dyDescent="0.2">
      <c r="A44" s="2" t="str">
        <f t="shared" si="0"/>
        <v>9_2</v>
      </c>
      <c r="B44" s="2">
        <v>9</v>
      </c>
      <c r="C44" s="2">
        <v>2</v>
      </c>
      <c r="D44" s="97">
        <f>VLOOKUP(C44,无限模式!$A$3:$B$22,2,FALSE)</f>
        <v>1800</v>
      </c>
      <c r="E44" s="98">
        <v>1</v>
      </c>
      <c r="F44" s="97">
        <f>'⚪设计'!F185</f>
        <v>12.5</v>
      </c>
      <c r="G44" s="97" t="str">
        <f>IF(VLOOKUP($A44,'⚪设计'!$A$144:$N$193,7,FALSE)="","",VLOOKUP($A44,'⚪设计'!$A$144:$N$193,7,FALSE))</f>
        <v>鬼1</v>
      </c>
      <c r="H44" s="97">
        <f t="shared" si="1"/>
        <v>8</v>
      </c>
      <c r="I44" s="97">
        <f>IF(VLOOKUP($A44,'⚪设计'!$A$144:$N$193,11,FALSE)="","",VLOOKUP($A44,'⚪设计'!$A$144:$N$193,11,FALSE))</f>
        <v>1.5</v>
      </c>
      <c r="J44" s="97">
        <f>IF(G44="","",ROUND($D44*'⚪设计'!$D185/(IF($G44="",0,VLOOKUP($G44,'⚪设计'!$B$85:$H$104,4,FALSE)*$H44)+IF($L44="",0,VLOOKUP($L44,'⚪设计'!$B$85:$H$104,4,FALSE)*$M44)+IF($Q44="",0,VLOOKUP($Q44,'⚪设计'!$B$85:$H$104,4,FALSE)*$R44)+IF($V44="",0,VLOOKUP($V44,'⚪设计'!$B$85:$H$104,4,FALSE)*$W44))*IF(G44="",0,VLOOKUP(G44,'⚪设计'!$B$85:$H$104,4,FALSE)),0))</f>
        <v>255</v>
      </c>
      <c r="K44" s="97">
        <f>IF(G44="","",ROUND(VLOOKUP($B44,战斗节奏!$A$4:$F$13,2,FALSE)/(IF($G44="",0,VLOOKUP($G44,'⚪设计'!$B$85:$H$104,5,FALSE)*$H44)+IF($L44="",0,VLOOKUP($L44,'⚪设计'!$B$85:$H$104,5,FALSE)*$M44)+IF($Q44="",0,VLOOKUP($Q44,'⚪设计'!$B$85:$H$104,5,FALSE)*$R44)+IF($V44="",0,VLOOKUP($V44,'⚪设计'!$B$85:$H$104,5,FALSE)*$W44))*IF(G44="",0,VLOOKUP(G44,'⚪设计'!$B$85:$H$104,5,FALSE)),0))</f>
        <v>11</v>
      </c>
      <c r="L44" s="97" t="str">
        <f>IF(VLOOKUP($A44,'⚪设计'!$A$144:$N$193,8,FALSE)="","",VLOOKUP($A44,'⚪设计'!$A$144:$N$193,8,FALSE))</f>
        <v>蜜蜂2</v>
      </c>
      <c r="M44" s="97">
        <f t="shared" si="2"/>
        <v>25</v>
      </c>
      <c r="N44" s="97">
        <f>IF(VLOOKUP($A44,'⚪设计'!$A$144:$N$193,12,FALSE)="","",VLOOKUP($A44,'⚪设计'!$A$144:$N$193,12,FALSE))</f>
        <v>0.5</v>
      </c>
      <c r="O44" s="97">
        <f>IF(L44="","",ROUND($D44*'⚪设计'!$D185/(IF($G44="",0,VLOOKUP($G44,'⚪设计'!$B$85:$H$104,4,FALSE)*$H44)+IF($L44="",0,VLOOKUP($L44,'⚪设计'!$B$85:$H$104,4,FALSE)*$M44)+IF($Q44="",0,VLOOKUP($Q44,'⚪设计'!$B$85:$H$104,4,FALSE)*$R44)+IF($V44="",0,VLOOKUP($V44,'⚪设计'!$B$85:$H$104,4,FALSE)*$W44))*IF(L44="",0,VLOOKUP(L44,'⚪设计'!$B$85:$H$104,4,FALSE)),0))</f>
        <v>509</v>
      </c>
      <c r="P44" s="97">
        <f>IF(L44="","",ROUND(VLOOKUP($B44,战斗节奏!$A$4:$F$13,2,FALSE)/(IF($G44="",0,VLOOKUP($G44,'⚪设计'!$B$85:$H$104,5,FALSE)*$H44)+IF($L44="",0,VLOOKUP($L44,'⚪设计'!$B$85:$H$104,5,FALSE)*$M44)+IF($Q44="",0,VLOOKUP($Q44,'⚪设计'!$B$85:$H$104,5,FALSE)*$R44)+IF($V44="",0,VLOOKUP($V44,'⚪设计'!$B$85:$H$104,5,FALSE)*$W44))*IF(L44="",0,VLOOKUP(L44,'⚪设计'!$B$85:$H$104,5,FALSE)),0))</f>
        <v>23</v>
      </c>
      <c r="Q44" s="97" t="str">
        <f>IF(VLOOKUP($A44,'⚪设计'!$A$144:$N$193,9,FALSE)="","",VLOOKUP($A44,'⚪设计'!$A$144:$N$193,9,FALSE))</f>
        <v>鸟2</v>
      </c>
      <c r="R44" s="97">
        <f t="shared" si="3"/>
        <v>3</v>
      </c>
      <c r="S44" s="97">
        <f>IF(VLOOKUP($A44,'⚪设计'!$A$144:$N$193,13,FALSE)="","",VLOOKUP($A44,'⚪设计'!$A$144:$N$193,13,FALSE))</f>
        <v>4</v>
      </c>
      <c r="T44" s="97">
        <f>IF(Q44="","",ROUND($D44*'⚪设计'!$D185/(IF($G44="",0,VLOOKUP($G44,'⚪设计'!$B$85:$H$104,4,FALSE)*$H44)+IF($L44="",0,VLOOKUP($L44,'⚪设计'!$B$85:$H$104,4,FALSE)*$M44)+IF($Q44="",0,VLOOKUP($Q44,'⚪设计'!$B$85:$H$104,4,FALSE)*$R44)+IF($V44="",0,VLOOKUP($V44,'⚪设计'!$B$85:$H$104,4,FALSE)*$W44))*IF(Q44="",0,VLOOKUP(Q44,'⚪设计'!$B$85:$H$104,4,FALSE)),0))</f>
        <v>1018</v>
      </c>
      <c r="U44" s="97">
        <f>IF(Q44="","",ROUND(VLOOKUP($B44,战斗节奏!$A$4:$F$13,2,FALSE)/(IF($G44="",0,VLOOKUP($G44,'⚪设计'!$B$85:$H$104,5,FALSE)*$H44)+IF($L44="",0,VLOOKUP($L44,'⚪设计'!$B$85:$H$104,5,FALSE)*$M44)+IF($Q44="",0,VLOOKUP($Q44,'⚪设计'!$B$85:$H$104,5,FALSE)*$R44)+IF($V44="",0,VLOOKUP($V44,'⚪设计'!$B$85:$H$104,5,FALSE)*$W44))*IF(Q44="",0,VLOOKUP(Q44,'⚪设计'!$B$85:$H$104,5,FALSE)),0))</f>
        <v>23</v>
      </c>
      <c r="V44" s="97" t="str">
        <f>IF(VLOOKUP($A44,'⚪设计'!$A$144:$N$193,10,FALSE)="","",VLOOKUP($A44,'⚪设计'!$A$144:$N$193,10,FALSE))</f>
        <v/>
      </c>
      <c r="W44" s="97" t="str">
        <f t="shared" si="4"/>
        <v/>
      </c>
      <c r="X44" s="97" t="str">
        <f>IF(VLOOKUP($A44,'⚪设计'!$A$144:$N$193,14,FALSE)="","",VLOOKUP($A44,'⚪设计'!$A$144:$N$193,14,FALSE))</f>
        <v/>
      </c>
      <c r="Y44" s="97" t="str">
        <f>IF(V44="","",ROUND($D44*'⚪设计'!$D185/(IF($G44="",0,VLOOKUP($G44,'⚪设计'!$B$85:$H$104,4,FALSE)*$H44)+IF($L44="",0,VLOOKUP($L44,'⚪设计'!$B$85:$H$104,4,FALSE)*$M44)+IF($Q44="",0,VLOOKUP($Q44,'⚪设计'!$B$85:$H$104,4,FALSE)*$R44)+IF($V44="",0,VLOOKUP($V44,'⚪设计'!$B$85:$H$104,4,FALSE)*$W44))*IF(V44="",0,VLOOKUP(V44,'⚪设计'!$B$85:$H$104,4,FALSE)),0))</f>
        <v/>
      </c>
      <c r="Z44" s="97" t="str">
        <f>IF(V44="","",ROUND(VLOOKUP($B44,战斗节奏!$A$4:$F$13,2,FALSE)/(IF($G44="",0,VLOOKUP($G44,'⚪设计'!$B$85:$H$104,5,FALSE)*$H44)+IF($L44="",0,VLOOKUP($L44,'⚪设计'!$B$85:$H$104,5,FALSE)*$M44)+IF($Q44="",0,VLOOKUP($Q44,'⚪设计'!$B$85:$H$104,5,FALSE)*$R44)+IF($V44="",0,VLOOKUP($V44,'⚪设计'!$B$85:$H$104,5,FALSE)*$W44))*IF(V44="",0,VLOOKUP(V44,'⚪设计'!$B$85:$H$104,5,FALSE)),0))</f>
        <v/>
      </c>
    </row>
    <row r="45" spans="1:26" x14ac:dyDescent="0.2">
      <c r="A45" s="2" t="str">
        <f t="shared" si="0"/>
        <v>9_3</v>
      </c>
      <c r="B45" s="2">
        <v>9</v>
      </c>
      <c r="C45" s="2">
        <v>3</v>
      </c>
      <c r="D45" s="97">
        <f>VLOOKUP(C45,无限模式!$A$3:$B$22,2,FALSE)</f>
        <v>3600</v>
      </c>
      <c r="E45" s="98">
        <v>1</v>
      </c>
      <c r="F45" s="97">
        <f>'⚪设计'!F186</f>
        <v>15</v>
      </c>
      <c r="G45" s="97" t="str">
        <f>IF(VLOOKUP($A45,'⚪设计'!$A$144:$N$193,7,FALSE)="","",VLOOKUP($A45,'⚪设计'!$A$144:$N$193,7,FALSE))</f>
        <v>鬼1</v>
      </c>
      <c r="H45" s="97">
        <f t="shared" si="1"/>
        <v>10</v>
      </c>
      <c r="I45" s="97">
        <f>IF(VLOOKUP($A45,'⚪设计'!$A$144:$N$193,11,FALSE)="","",VLOOKUP($A45,'⚪设计'!$A$144:$N$193,11,FALSE))</f>
        <v>1.5</v>
      </c>
      <c r="J45" s="97">
        <f>IF(G45="","",ROUND($D45*'⚪设计'!$D186/(IF($G45="",0,VLOOKUP($G45,'⚪设计'!$B$85:$H$104,4,FALSE)*$H45)+IF($L45="",0,VLOOKUP($L45,'⚪设计'!$B$85:$H$104,4,FALSE)*$M45)+IF($Q45="",0,VLOOKUP($Q45,'⚪设计'!$B$85:$H$104,4,FALSE)*$R45)+IF($V45="",0,VLOOKUP($V45,'⚪设计'!$B$85:$H$104,4,FALSE)*$W45))*IF(G45="",0,VLOOKUP(G45,'⚪设计'!$B$85:$H$104,4,FALSE)),0))</f>
        <v>935</v>
      </c>
      <c r="K45" s="97">
        <f>IF(G45="","",ROUND(VLOOKUP($B45,战斗节奏!$A$4:$F$13,2,FALSE)/(IF($G45="",0,VLOOKUP($G45,'⚪设计'!$B$85:$H$104,5,FALSE)*$H45)+IF($L45="",0,VLOOKUP($L45,'⚪设计'!$B$85:$H$104,5,FALSE)*$M45)+IF($Q45="",0,VLOOKUP($Q45,'⚪设计'!$B$85:$H$104,5,FALSE)*$R45)+IF($V45="",0,VLOOKUP($V45,'⚪设计'!$B$85:$H$104,5,FALSE)*$W45))*IF(G45="",0,VLOOKUP(G45,'⚪设计'!$B$85:$H$104,5,FALSE)),0))</f>
        <v>13</v>
      </c>
      <c r="L45" s="97" t="str">
        <f>IF(VLOOKUP($A45,'⚪设计'!$A$144:$N$193,8,FALSE)="","",VLOOKUP($A45,'⚪设计'!$A$144:$N$193,8,FALSE))</f>
        <v>蝙蝠1</v>
      </c>
      <c r="M45" s="97">
        <f t="shared" si="2"/>
        <v>75</v>
      </c>
      <c r="N45" s="97">
        <f>IF(VLOOKUP($A45,'⚪设计'!$A$144:$N$193,12,FALSE)="","",VLOOKUP($A45,'⚪设计'!$A$144:$N$193,12,FALSE))</f>
        <v>0.2</v>
      </c>
      <c r="O45" s="97">
        <f>IF(L45="","",ROUND($D45*'⚪设计'!$D186/(IF($G45="",0,VLOOKUP($G45,'⚪设计'!$B$85:$H$104,4,FALSE)*$H45)+IF($L45="",0,VLOOKUP($L45,'⚪设计'!$B$85:$H$104,4,FALSE)*$M45)+IF($Q45="",0,VLOOKUP($Q45,'⚪设计'!$B$85:$H$104,4,FALSE)*$R45)+IF($V45="",0,VLOOKUP($V45,'⚪设计'!$B$85:$H$104,4,FALSE)*$W45))*IF(L45="",0,VLOOKUP(L45,'⚪设计'!$B$85:$H$104,4,FALSE)),0))</f>
        <v>468</v>
      </c>
      <c r="P45" s="97">
        <f>IF(L45="","",ROUND(VLOOKUP($B45,战斗节奏!$A$4:$F$13,2,FALSE)/(IF($G45="",0,VLOOKUP($G45,'⚪设计'!$B$85:$H$104,5,FALSE)*$H45)+IF($L45="",0,VLOOKUP($L45,'⚪设计'!$B$85:$H$104,5,FALSE)*$M45)+IF($Q45="",0,VLOOKUP($Q45,'⚪设计'!$B$85:$H$104,5,FALSE)*$R45)+IF($V45="",0,VLOOKUP($V45,'⚪设计'!$B$85:$H$104,5,FALSE)*$W45))*IF(L45="",0,VLOOKUP(L45,'⚪设计'!$B$85:$H$104,5,FALSE)),0))</f>
        <v>6</v>
      </c>
      <c r="Q45" s="97" t="str">
        <f>IF(VLOOKUP($A45,'⚪设计'!$A$144:$N$193,9,FALSE)="","",VLOOKUP($A45,'⚪设计'!$A$144:$N$193,9,FALSE))</f>
        <v>鸟2</v>
      </c>
      <c r="R45" s="97">
        <f t="shared" si="3"/>
        <v>4</v>
      </c>
      <c r="S45" s="97">
        <f>IF(VLOOKUP($A45,'⚪设计'!$A$144:$N$193,13,FALSE)="","",VLOOKUP($A45,'⚪设计'!$A$144:$N$193,13,FALSE))</f>
        <v>4</v>
      </c>
      <c r="T45" s="97">
        <f>IF(Q45="","",ROUND($D45*'⚪设计'!$D186/(IF($G45="",0,VLOOKUP($G45,'⚪设计'!$B$85:$H$104,4,FALSE)*$H45)+IF($L45="",0,VLOOKUP($L45,'⚪设计'!$B$85:$H$104,4,FALSE)*$M45)+IF($Q45="",0,VLOOKUP($Q45,'⚪设计'!$B$85:$H$104,4,FALSE)*$R45)+IF($V45="",0,VLOOKUP($V45,'⚪设计'!$B$85:$H$104,4,FALSE)*$W45))*IF(Q45="",0,VLOOKUP(Q45,'⚪设计'!$B$85:$H$104,4,FALSE)),0))</f>
        <v>3742</v>
      </c>
      <c r="U45" s="97">
        <f>IF(Q45="","",ROUND(VLOOKUP($B45,战斗节奏!$A$4:$F$13,2,FALSE)/(IF($G45="",0,VLOOKUP($G45,'⚪设计'!$B$85:$H$104,5,FALSE)*$H45)+IF($L45="",0,VLOOKUP($L45,'⚪设计'!$B$85:$H$104,5,FALSE)*$M45)+IF($Q45="",0,VLOOKUP($Q45,'⚪设计'!$B$85:$H$104,5,FALSE)*$R45)+IF($V45="",0,VLOOKUP($V45,'⚪设计'!$B$85:$H$104,5,FALSE)*$W45))*IF(Q45="",0,VLOOKUP(Q45,'⚪设计'!$B$85:$H$104,5,FALSE)),0))</f>
        <v>26</v>
      </c>
      <c r="V45" s="97" t="str">
        <f>IF(VLOOKUP($A45,'⚪设计'!$A$144:$N$193,10,FALSE)="","",VLOOKUP($A45,'⚪设计'!$A$144:$N$193,10,FALSE))</f>
        <v/>
      </c>
      <c r="W45" s="97" t="str">
        <f t="shared" si="4"/>
        <v/>
      </c>
      <c r="X45" s="97" t="str">
        <f>IF(VLOOKUP($A45,'⚪设计'!$A$144:$N$193,14,FALSE)="","",VLOOKUP($A45,'⚪设计'!$A$144:$N$193,14,FALSE))</f>
        <v/>
      </c>
      <c r="Y45" s="97" t="str">
        <f>IF(V45="","",ROUND($D45*'⚪设计'!$D186/(IF($G45="",0,VLOOKUP($G45,'⚪设计'!$B$85:$H$104,4,FALSE)*$H45)+IF($L45="",0,VLOOKUP($L45,'⚪设计'!$B$85:$H$104,4,FALSE)*$M45)+IF($Q45="",0,VLOOKUP($Q45,'⚪设计'!$B$85:$H$104,4,FALSE)*$R45)+IF($V45="",0,VLOOKUP($V45,'⚪设计'!$B$85:$H$104,4,FALSE)*$W45))*IF(V45="",0,VLOOKUP(V45,'⚪设计'!$B$85:$H$104,4,FALSE)),0))</f>
        <v/>
      </c>
      <c r="Z45" s="97" t="str">
        <f>IF(V45="","",ROUND(VLOOKUP($B45,战斗节奏!$A$4:$F$13,2,FALSE)/(IF($G45="",0,VLOOKUP($G45,'⚪设计'!$B$85:$H$104,5,FALSE)*$H45)+IF($L45="",0,VLOOKUP($L45,'⚪设计'!$B$85:$H$104,5,FALSE)*$M45)+IF($Q45="",0,VLOOKUP($Q45,'⚪设计'!$B$85:$H$104,5,FALSE)*$R45)+IF($V45="",0,VLOOKUP($V45,'⚪设计'!$B$85:$H$104,5,FALSE)*$W45))*IF(V45="",0,VLOOKUP(V45,'⚪设计'!$B$85:$H$104,5,FALSE)),0))</f>
        <v/>
      </c>
    </row>
    <row r="46" spans="1:26" x14ac:dyDescent="0.2">
      <c r="A46" s="2" t="str">
        <f t="shared" si="0"/>
        <v>9_4</v>
      </c>
      <c r="B46" s="2">
        <v>9</v>
      </c>
      <c r="C46" s="2">
        <v>4</v>
      </c>
      <c r="D46" s="97">
        <f>VLOOKUP(C46,无限模式!$A$3:$B$22,2,FALSE)</f>
        <v>4500</v>
      </c>
      <c r="E46" s="98">
        <v>1</v>
      </c>
      <c r="F46" s="97">
        <f>'⚪设计'!F187</f>
        <v>17.5</v>
      </c>
      <c r="G46" s="97" t="str">
        <f>IF(VLOOKUP($A46,'⚪设计'!$A$144:$N$193,7,FALSE)="","",VLOOKUP($A46,'⚪设计'!$A$144:$N$193,7,FALSE))</f>
        <v>鬼1</v>
      </c>
      <c r="H46" s="97">
        <f t="shared" si="1"/>
        <v>12</v>
      </c>
      <c r="I46" s="97">
        <f>IF(VLOOKUP($A46,'⚪设计'!$A$144:$N$193,11,FALSE)="","",VLOOKUP($A46,'⚪设计'!$A$144:$N$193,11,FALSE))</f>
        <v>1.5</v>
      </c>
      <c r="J46" s="97">
        <f>IF(G46="","",ROUND($D46*'⚪设计'!$D187/(IF($G46="",0,VLOOKUP($G46,'⚪设计'!$B$85:$H$104,4,FALSE)*$H46)+IF($L46="",0,VLOOKUP($L46,'⚪设计'!$B$85:$H$104,4,FALSE)*$M46)+IF($Q46="",0,VLOOKUP($Q46,'⚪设计'!$B$85:$H$104,4,FALSE)*$R46)+IF($V46="",0,VLOOKUP($V46,'⚪设计'!$B$85:$H$104,4,FALSE)*$W46))*IF(G46="",0,VLOOKUP(G46,'⚪设计'!$B$85:$H$104,4,FALSE)),0))</f>
        <v>1238</v>
      </c>
      <c r="K46" s="97">
        <f>IF(G46="","",ROUND(VLOOKUP($B46,战斗节奏!$A$4:$F$13,2,FALSE)/(IF($G46="",0,VLOOKUP($G46,'⚪设计'!$B$85:$H$104,5,FALSE)*$H46)+IF($L46="",0,VLOOKUP($L46,'⚪设计'!$B$85:$H$104,5,FALSE)*$M46)+IF($Q46="",0,VLOOKUP($Q46,'⚪设计'!$B$85:$H$104,5,FALSE)*$R46)+IF($V46="",0,VLOOKUP($V46,'⚪设计'!$B$85:$H$104,5,FALSE)*$W46))*IF(G46="",0,VLOOKUP(G46,'⚪设计'!$B$85:$H$104,5,FALSE)),0))</f>
        <v>11</v>
      </c>
      <c r="L46" s="97" t="str">
        <f>IF(VLOOKUP($A46,'⚪设计'!$A$144:$N$193,8,FALSE)="","",VLOOKUP($A46,'⚪设计'!$A$144:$N$193,8,FALSE))</f>
        <v>蜘蛛1</v>
      </c>
      <c r="M46" s="97">
        <f t="shared" si="2"/>
        <v>44</v>
      </c>
      <c r="N46" s="97">
        <f>IF(VLOOKUP($A46,'⚪设计'!$A$144:$N$193,12,FALSE)="","",VLOOKUP($A46,'⚪设计'!$A$144:$N$193,12,FALSE))</f>
        <v>0.4</v>
      </c>
      <c r="O46" s="97">
        <f>IF(L46="","",ROUND($D46*'⚪设计'!$D187/(IF($G46="",0,VLOOKUP($G46,'⚪设计'!$B$85:$H$104,4,FALSE)*$H46)+IF($L46="",0,VLOOKUP($L46,'⚪设计'!$B$85:$H$104,4,FALSE)*$M46)+IF($Q46="",0,VLOOKUP($Q46,'⚪设计'!$B$85:$H$104,4,FALSE)*$R46)+IF($V46="",0,VLOOKUP($V46,'⚪设计'!$B$85:$H$104,4,FALSE)*$W46))*IF(L46="",0,VLOOKUP(L46,'⚪设计'!$B$85:$H$104,4,FALSE)),0))</f>
        <v>1238</v>
      </c>
      <c r="P46" s="97">
        <f>IF(L46="","",ROUND(VLOOKUP($B46,战斗节奏!$A$4:$F$13,2,FALSE)/(IF($G46="",0,VLOOKUP($G46,'⚪设计'!$B$85:$H$104,5,FALSE)*$H46)+IF($L46="",0,VLOOKUP($L46,'⚪设计'!$B$85:$H$104,5,FALSE)*$M46)+IF($Q46="",0,VLOOKUP($Q46,'⚪设计'!$B$85:$H$104,5,FALSE)*$R46)+IF($V46="",0,VLOOKUP($V46,'⚪设计'!$B$85:$H$104,5,FALSE)*$W46))*IF(L46="",0,VLOOKUP(L46,'⚪设计'!$B$85:$H$104,5,FALSE)),0))</f>
        <v>11</v>
      </c>
      <c r="Q46" s="97" t="str">
        <f>IF(VLOOKUP($A46,'⚪设计'!$A$144:$N$193,9,FALSE)="","",VLOOKUP($A46,'⚪设计'!$A$144:$N$193,9,FALSE))</f>
        <v>鸟2</v>
      </c>
      <c r="R46" s="97">
        <f t="shared" si="3"/>
        <v>4</v>
      </c>
      <c r="S46" s="97">
        <f>IF(VLOOKUP($A46,'⚪设计'!$A$144:$N$193,13,FALSE)="","",VLOOKUP($A46,'⚪设计'!$A$144:$N$193,13,FALSE))</f>
        <v>4</v>
      </c>
      <c r="T46" s="97">
        <f>IF(Q46="","",ROUND($D46*'⚪设计'!$D187/(IF($G46="",0,VLOOKUP($G46,'⚪设计'!$B$85:$H$104,4,FALSE)*$H46)+IF($L46="",0,VLOOKUP($L46,'⚪设计'!$B$85:$H$104,4,FALSE)*$M46)+IF($Q46="",0,VLOOKUP($Q46,'⚪设计'!$B$85:$H$104,4,FALSE)*$R46)+IF($V46="",0,VLOOKUP($V46,'⚪设计'!$B$85:$H$104,4,FALSE)*$W46))*IF(Q46="",0,VLOOKUP(Q46,'⚪设计'!$B$85:$H$104,4,FALSE)),0))</f>
        <v>4950</v>
      </c>
      <c r="U46" s="97">
        <f>IF(Q46="","",ROUND(VLOOKUP($B46,战斗节奏!$A$4:$F$13,2,FALSE)/(IF($G46="",0,VLOOKUP($G46,'⚪设计'!$B$85:$H$104,5,FALSE)*$H46)+IF($L46="",0,VLOOKUP($L46,'⚪设计'!$B$85:$H$104,5,FALSE)*$M46)+IF($Q46="",0,VLOOKUP($Q46,'⚪设计'!$B$85:$H$104,5,FALSE)*$R46)+IF($V46="",0,VLOOKUP($V46,'⚪设计'!$B$85:$H$104,5,FALSE)*$W46))*IF(Q46="",0,VLOOKUP(Q46,'⚪设计'!$B$85:$H$104,5,FALSE)),0))</f>
        <v>23</v>
      </c>
      <c r="V46" s="97" t="str">
        <f>IF(VLOOKUP($A46,'⚪设计'!$A$144:$N$193,10,FALSE)="","",VLOOKUP($A46,'⚪设计'!$A$144:$N$193,10,FALSE))</f>
        <v/>
      </c>
      <c r="W46" s="97" t="str">
        <f t="shared" si="4"/>
        <v/>
      </c>
      <c r="X46" s="97" t="str">
        <f>IF(VLOOKUP($A46,'⚪设计'!$A$144:$N$193,14,FALSE)="","",VLOOKUP($A46,'⚪设计'!$A$144:$N$193,14,FALSE))</f>
        <v/>
      </c>
      <c r="Y46" s="97" t="str">
        <f>IF(V46="","",ROUND($D46*'⚪设计'!$D187/(IF($G46="",0,VLOOKUP($G46,'⚪设计'!$B$85:$H$104,4,FALSE)*$H46)+IF($L46="",0,VLOOKUP($L46,'⚪设计'!$B$85:$H$104,4,FALSE)*$M46)+IF($Q46="",0,VLOOKUP($Q46,'⚪设计'!$B$85:$H$104,4,FALSE)*$R46)+IF($V46="",0,VLOOKUP($V46,'⚪设计'!$B$85:$H$104,4,FALSE)*$W46))*IF(V46="",0,VLOOKUP(V46,'⚪设计'!$B$85:$H$104,4,FALSE)),0))</f>
        <v/>
      </c>
      <c r="Z46" s="97" t="str">
        <f>IF(V46="","",ROUND(VLOOKUP($B46,战斗节奏!$A$4:$F$13,2,FALSE)/(IF($G46="",0,VLOOKUP($G46,'⚪设计'!$B$85:$H$104,5,FALSE)*$H46)+IF($L46="",0,VLOOKUP($L46,'⚪设计'!$B$85:$H$104,5,FALSE)*$M46)+IF($Q46="",0,VLOOKUP($Q46,'⚪设计'!$B$85:$H$104,5,FALSE)*$R46)+IF($V46="",0,VLOOKUP($V46,'⚪设计'!$B$85:$H$104,5,FALSE)*$W46))*IF(V46="",0,VLOOKUP(V46,'⚪设计'!$B$85:$H$104,5,FALSE)),0))</f>
        <v/>
      </c>
    </row>
    <row r="47" spans="1:26" x14ac:dyDescent="0.2">
      <c r="A47" s="2" t="str">
        <f t="shared" si="0"/>
        <v>9_5</v>
      </c>
      <c r="B47" s="2">
        <v>9</v>
      </c>
      <c r="C47" s="2">
        <v>5</v>
      </c>
      <c r="D47" s="97">
        <f>VLOOKUP(C47,无限模式!$A$3:$B$22,2,FALSE)</f>
        <v>5400</v>
      </c>
      <c r="E47" s="98">
        <v>1</v>
      </c>
      <c r="F47" s="97">
        <f>'⚪设计'!F188</f>
        <v>20</v>
      </c>
      <c r="G47" s="97" t="str">
        <f>IF(VLOOKUP($A47,'⚪设计'!$A$144:$N$193,7,FALSE)="","",VLOOKUP($A47,'⚪设计'!$A$144:$N$193,7,FALSE))</f>
        <v>鬼1</v>
      </c>
      <c r="H47" s="97">
        <f t="shared" si="1"/>
        <v>40</v>
      </c>
      <c r="I47" s="97">
        <f>IF(VLOOKUP($A47,'⚪设计'!$A$144:$N$193,11,FALSE)="","",VLOOKUP($A47,'⚪设计'!$A$144:$N$193,11,FALSE))</f>
        <v>0.5</v>
      </c>
      <c r="J47" s="97">
        <f>IF(G47="","",ROUND($D47*'⚪设计'!$D188/(IF($G47="",0,VLOOKUP($G47,'⚪设计'!$B$85:$H$104,4,FALSE)*$H47)+IF($L47="",0,VLOOKUP($L47,'⚪设计'!$B$85:$H$104,4,FALSE)*$M47)+IF($Q47="",0,VLOOKUP($Q47,'⚪设计'!$B$85:$H$104,4,FALSE)*$R47)+IF($V47="",0,VLOOKUP($V47,'⚪设计'!$B$85:$H$104,4,FALSE)*$W47))*IF(G47="",0,VLOOKUP(G47,'⚪设计'!$B$85:$H$104,4,FALSE)),0))</f>
        <v>1296</v>
      </c>
      <c r="K47" s="97">
        <f>IF(G47="","",ROUND(VLOOKUP($B47,战斗节奏!$A$4:$F$13,2,FALSE)/(IF($G47="",0,VLOOKUP($G47,'⚪设计'!$B$85:$H$104,5,FALSE)*$H47)+IF($L47="",0,VLOOKUP($L47,'⚪设计'!$B$85:$H$104,5,FALSE)*$M47)+IF($Q47="",0,VLOOKUP($Q47,'⚪设计'!$B$85:$H$104,5,FALSE)*$R47)+IF($V47="",0,VLOOKUP($V47,'⚪设计'!$B$85:$H$104,5,FALSE)*$W47))*IF(G47="",0,VLOOKUP(G47,'⚪设计'!$B$85:$H$104,5,FALSE)),0))</f>
        <v>9</v>
      </c>
      <c r="L47" s="97" t="str">
        <f>IF(VLOOKUP($A47,'⚪设计'!$A$144:$N$193,8,FALSE)="","",VLOOKUP($A47,'⚪设计'!$A$144:$N$193,8,FALSE))</f>
        <v>种子1</v>
      </c>
      <c r="M47" s="97">
        <f t="shared" si="2"/>
        <v>10</v>
      </c>
      <c r="N47" s="97">
        <f>IF(VLOOKUP($A47,'⚪设计'!$A$144:$N$193,12,FALSE)="","",VLOOKUP($A47,'⚪设计'!$A$144:$N$193,12,FALSE))</f>
        <v>2</v>
      </c>
      <c r="O47" s="97">
        <f>IF(L47="","",ROUND($D47*'⚪设计'!$D188/(IF($G47="",0,VLOOKUP($G47,'⚪设计'!$B$85:$H$104,4,FALSE)*$H47)+IF($L47="",0,VLOOKUP($L47,'⚪设计'!$B$85:$H$104,4,FALSE)*$M47)+IF($Q47="",0,VLOOKUP($Q47,'⚪设计'!$B$85:$H$104,4,FALSE)*$R47)+IF($V47="",0,VLOOKUP($V47,'⚪设计'!$B$85:$H$104,4,FALSE)*$W47))*IF(L47="",0,VLOOKUP(L47,'⚪设计'!$B$85:$H$104,4,FALSE)),0))</f>
        <v>3888</v>
      </c>
      <c r="P47" s="97">
        <f>IF(L47="","",ROUND(VLOOKUP($B47,战斗节奏!$A$4:$F$13,2,FALSE)/(IF($G47="",0,VLOOKUP($G47,'⚪设计'!$B$85:$H$104,5,FALSE)*$H47)+IF($L47="",0,VLOOKUP($L47,'⚪设计'!$B$85:$H$104,5,FALSE)*$M47)+IF($Q47="",0,VLOOKUP($Q47,'⚪设计'!$B$85:$H$104,5,FALSE)*$R47)+IF($V47="",0,VLOOKUP($V47,'⚪设计'!$B$85:$H$104,5,FALSE)*$W47))*IF(L47="",0,VLOOKUP(L47,'⚪设计'!$B$85:$H$104,5,FALSE)),0))</f>
        <v>18</v>
      </c>
      <c r="Q47" s="97" t="str">
        <f>IF(VLOOKUP($A47,'⚪设计'!$A$144:$N$193,9,FALSE)="","",VLOOKUP($A47,'⚪设计'!$A$144:$N$193,9,FALSE))</f>
        <v>鸟2</v>
      </c>
      <c r="R47" s="97">
        <f t="shared" si="3"/>
        <v>10</v>
      </c>
      <c r="S47" s="97">
        <f>IF(VLOOKUP($A47,'⚪设计'!$A$144:$N$193,13,FALSE)="","",VLOOKUP($A47,'⚪设计'!$A$144:$N$193,13,FALSE))</f>
        <v>2</v>
      </c>
      <c r="T47" s="97">
        <f>IF(Q47="","",ROUND($D47*'⚪设计'!$D188/(IF($G47="",0,VLOOKUP($G47,'⚪设计'!$B$85:$H$104,4,FALSE)*$H47)+IF($L47="",0,VLOOKUP($L47,'⚪设计'!$B$85:$H$104,4,FALSE)*$M47)+IF($Q47="",0,VLOOKUP($Q47,'⚪设计'!$B$85:$H$104,4,FALSE)*$R47)+IF($V47="",0,VLOOKUP($V47,'⚪设计'!$B$85:$H$104,4,FALSE)*$W47))*IF(Q47="",0,VLOOKUP(Q47,'⚪设计'!$B$85:$H$104,4,FALSE)),0))</f>
        <v>5184</v>
      </c>
      <c r="U47" s="97">
        <f>IF(Q47="","",ROUND(VLOOKUP($B47,战斗节奏!$A$4:$F$13,2,FALSE)/(IF($G47="",0,VLOOKUP($G47,'⚪设计'!$B$85:$H$104,5,FALSE)*$H47)+IF($L47="",0,VLOOKUP($L47,'⚪设计'!$B$85:$H$104,5,FALSE)*$M47)+IF($Q47="",0,VLOOKUP($Q47,'⚪设计'!$B$85:$H$104,5,FALSE)*$R47)+IF($V47="",0,VLOOKUP($V47,'⚪设计'!$B$85:$H$104,5,FALSE)*$W47))*IF(Q47="",0,VLOOKUP(Q47,'⚪设计'!$B$85:$H$104,5,FALSE)),0))</f>
        <v>18</v>
      </c>
      <c r="V47" s="97" t="str">
        <f>IF(VLOOKUP($A47,'⚪设计'!$A$144:$N$193,10,FALSE)="","",VLOOKUP($A47,'⚪设计'!$A$144:$N$193,10,FALSE))</f>
        <v/>
      </c>
      <c r="W47" s="97" t="str">
        <f t="shared" si="4"/>
        <v/>
      </c>
      <c r="X47" s="97" t="str">
        <f>IF(VLOOKUP($A47,'⚪设计'!$A$144:$N$193,14,FALSE)="","",VLOOKUP($A47,'⚪设计'!$A$144:$N$193,14,FALSE))</f>
        <v/>
      </c>
      <c r="Y47" s="97" t="str">
        <f>IF(V47="","",ROUND($D47*'⚪设计'!$D188/(IF($G47="",0,VLOOKUP($G47,'⚪设计'!$B$85:$H$104,4,FALSE)*$H47)+IF($L47="",0,VLOOKUP($L47,'⚪设计'!$B$85:$H$104,4,FALSE)*$M47)+IF($Q47="",0,VLOOKUP($Q47,'⚪设计'!$B$85:$H$104,4,FALSE)*$R47)+IF($V47="",0,VLOOKUP($V47,'⚪设计'!$B$85:$H$104,4,FALSE)*$W47))*IF(V47="",0,VLOOKUP(V47,'⚪设计'!$B$85:$H$104,4,FALSE)),0))</f>
        <v/>
      </c>
      <c r="Z47" s="97" t="str">
        <f>IF(V47="","",ROUND(VLOOKUP($B47,战斗节奏!$A$4:$F$13,2,FALSE)/(IF($G47="",0,VLOOKUP($G47,'⚪设计'!$B$85:$H$104,5,FALSE)*$H47)+IF($L47="",0,VLOOKUP($L47,'⚪设计'!$B$85:$H$104,5,FALSE)*$M47)+IF($Q47="",0,VLOOKUP($Q47,'⚪设计'!$B$85:$H$104,5,FALSE)*$R47)+IF($V47="",0,VLOOKUP($V47,'⚪设计'!$B$85:$H$104,5,FALSE)*$W47))*IF(V47="",0,VLOOKUP(V47,'⚪设计'!$B$85:$H$104,5,FALSE)),0))</f>
        <v/>
      </c>
    </row>
    <row r="48" spans="1:26" x14ac:dyDescent="0.2">
      <c r="A48" s="2" t="str">
        <f t="shared" si="0"/>
        <v>10_1</v>
      </c>
      <c r="B48" s="2">
        <v>10</v>
      </c>
      <c r="C48" s="2">
        <v>1</v>
      </c>
      <c r="D48" s="97">
        <f>VLOOKUP(C48,无限模式!$A$3:$B$22,2,FALSE)</f>
        <v>900</v>
      </c>
      <c r="E48" s="98">
        <v>1</v>
      </c>
      <c r="F48" s="97">
        <f>'⚪设计'!F189</f>
        <v>10</v>
      </c>
      <c r="G48" s="97" t="str">
        <f>IF(VLOOKUP($A48,'⚪设计'!$A$144:$N$193,7,FALSE)="","",VLOOKUP($A48,'⚪设计'!$A$144:$N$193,7,FALSE))</f>
        <v>蛋2</v>
      </c>
      <c r="H48" s="97">
        <f t="shared" si="1"/>
        <v>7</v>
      </c>
      <c r="I48" s="97">
        <f>IF(VLOOKUP($A48,'⚪设计'!$A$144:$N$193,11,FALSE)="","",VLOOKUP($A48,'⚪设计'!$A$144:$N$193,11,FALSE))</f>
        <v>1.5</v>
      </c>
      <c r="J48" s="97">
        <f>IF(G48="","",ROUND($D48*'⚪设计'!$D189/(IF($G48="",0,VLOOKUP($G48,'⚪设计'!$B$85:$H$104,4,FALSE)*$H48)+IF($L48="",0,VLOOKUP($L48,'⚪设计'!$B$85:$H$104,4,FALSE)*$M48)+IF($Q48="",0,VLOOKUP($Q48,'⚪设计'!$B$85:$H$104,4,FALSE)*$R48)+IF($V48="",0,VLOOKUP($V48,'⚪设计'!$B$85:$H$104,4,FALSE)*$W48))*IF(G48="",0,VLOOKUP(G48,'⚪设计'!$B$85:$H$104,4,FALSE)),0))</f>
        <v>726</v>
      </c>
      <c r="K48" s="97">
        <f>IF(G48="","",ROUND(VLOOKUP($B48,战斗节奏!$A$4:$F$13,2,FALSE)/(IF($G48="",0,VLOOKUP($G48,'⚪设计'!$B$85:$H$104,5,FALSE)*$H48)+IF($L48="",0,VLOOKUP($L48,'⚪设计'!$B$85:$H$104,5,FALSE)*$M48)+IF($Q48="",0,VLOOKUP($Q48,'⚪设计'!$B$85:$H$104,5,FALSE)*$R48)+IF($V48="",0,VLOOKUP($V48,'⚪设计'!$B$85:$H$104,5,FALSE)*$W48))*IF(G48="",0,VLOOKUP(G48,'⚪设计'!$B$85:$H$104,5,FALSE)),0))</f>
        <v>90</v>
      </c>
      <c r="L48" s="97" t="str">
        <f>IF(VLOOKUP($A48,'⚪设计'!$A$144:$N$193,8,FALSE)="","",VLOOKUP($A48,'⚪设计'!$A$144:$N$193,8,FALSE))</f>
        <v>鸟3</v>
      </c>
      <c r="M48" s="97">
        <f t="shared" si="2"/>
        <v>1</v>
      </c>
      <c r="N48" s="97">
        <f>IF(VLOOKUP($A48,'⚪设计'!$A$144:$N$193,12,FALSE)="","",VLOOKUP($A48,'⚪设计'!$A$144:$N$193,12,FALSE))</f>
        <v>0</v>
      </c>
      <c r="O48" s="97">
        <f>IF(L48="","",ROUND($D48*'⚪设计'!$D189/(IF($G48="",0,VLOOKUP($G48,'⚪设计'!$B$85:$H$104,4,FALSE)*$H48)+IF($L48="",0,VLOOKUP($L48,'⚪设计'!$B$85:$H$104,4,FALSE)*$M48)+IF($Q48="",0,VLOOKUP($Q48,'⚪设计'!$B$85:$H$104,4,FALSE)*$R48)+IF($V48="",0,VLOOKUP($V48,'⚪设计'!$B$85:$H$104,4,FALSE)*$W48))*IF(L48="",0,VLOOKUP(L48,'⚪设计'!$B$85:$H$104,4,FALSE)),0))</f>
        <v>1452</v>
      </c>
      <c r="P48" s="97">
        <f>IF(L48="","",ROUND(VLOOKUP($B48,战斗节奏!$A$4:$F$13,2,FALSE)/(IF($G48="",0,VLOOKUP($G48,'⚪设计'!$B$85:$H$104,5,FALSE)*$H48)+IF($L48="",0,VLOOKUP($L48,'⚪设计'!$B$85:$H$104,5,FALSE)*$M48)+IF($Q48="",0,VLOOKUP($Q48,'⚪设计'!$B$85:$H$104,5,FALSE)*$R48)+IF($V48="",0,VLOOKUP($V48,'⚪设计'!$B$85:$H$104,5,FALSE)*$W48))*IF(L48="",0,VLOOKUP(L48,'⚪设计'!$B$85:$H$104,5,FALSE)),0))</f>
        <v>90</v>
      </c>
      <c r="Q48" s="97" t="str">
        <f>IF(VLOOKUP($A48,'⚪设计'!$A$144:$N$193,9,FALSE)="","",VLOOKUP($A48,'⚪设计'!$A$144:$N$193,9,FALSE))</f>
        <v/>
      </c>
      <c r="R48" s="97" t="str">
        <f t="shared" si="3"/>
        <v/>
      </c>
      <c r="S48" s="97" t="str">
        <f>IF(VLOOKUP($A48,'⚪设计'!$A$144:$N$193,13,FALSE)="","",VLOOKUP($A48,'⚪设计'!$A$144:$N$193,13,FALSE))</f>
        <v/>
      </c>
      <c r="T48" s="97" t="str">
        <f>IF(Q48="","",ROUND($D48*'⚪设计'!$D189/(IF($G48="",0,VLOOKUP($G48,'⚪设计'!$B$85:$H$104,4,FALSE)*$H48)+IF($L48="",0,VLOOKUP($L48,'⚪设计'!$B$85:$H$104,4,FALSE)*$M48)+IF($Q48="",0,VLOOKUP($Q48,'⚪设计'!$B$85:$H$104,4,FALSE)*$R48)+IF($V48="",0,VLOOKUP($V48,'⚪设计'!$B$85:$H$104,4,FALSE)*$W48))*IF(Q48="",0,VLOOKUP(Q48,'⚪设计'!$B$85:$H$104,4,FALSE)),0))</f>
        <v/>
      </c>
      <c r="U48" s="97" t="str">
        <f>IF(Q48="","",ROUND(VLOOKUP($B48,战斗节奏!$A$4:$F$13,2,FALSE)/(IF($G48="",0,VLOOKUP($G48,'⚪设计'!$B$85:$H$104,5,FALSE)*$H48)+IF($L48="",0,VLOOKUP($L48,'⚪设计'!$B$85:$H$104,5,FALSE)*$M48)+IF($Q48="",0,VLOOKUP($Q48,'⚪设计'!$B$85:$H$104,5,FALSE)*$R48)+IF($V48="",0,VLOOKUP($V48,'⚪设计'!$B$85:$H$104,5,FALSE)*$W48))*IF(Q48="",0,VLOOKUP(Q48,'⚪设计'!$B$85:$H$104,5,FALSE)),0))</f>
        <v/>
      </c>
      <c r="V48" s="97" t="str">
        <f>IF(VLOOKUP($A48,'⚪设计'!$A$144:$N$193,10,FALSE)="","",VLOOKUP($A48,'⚪设计'!$A$144:$N$193,10,FALSE))</f>
        <v/>
      </c>
      <c r="W48" s="97" t="str">
        <f t="shared" si="4"/>
        <v/>
      </c>
      <c r="X48" s="97" t="str">
        <f>IF(VLOOKUP($A48,'⚪设计'!$A$144:$N$193,14,FALSE)="","",VLOOKUP($A48,'⚪设计'!$A$144:$N$193,14,FALSE))</f>
        <v/>
      </c>
      <c r="Y48" s="97" t="str">
        <f>IF(V48="","",ROUND($D48*'⚪设计'!$D189/(IF($G48="",0,VLOOKUP($G48,'⚪设计'!$B$85:$H$104,4,FALSE)*$H48)+IF($L48="",0,VLOOKUP($L48,'⚪设计'!$B$85:$H$104,4,FALSE)*$M48)+IF($Q48="",0,VLOOKUP($Q48,'⚪设计'!$B$85:$H$104,4,FALSE)*$R48)+IF($V48="",0,VLOOKUP($V48,'⚪设计'!$B$85:$H$104,4,FALSE)*$W48))*IF(V48="",0,VLOOKUP(V48,'⚪设计'!$B$85:$H$104,4,FALSE)),0))</f>
        <v/>
      </c>
      <c r="Z48" s="97" t="str">
        <f>IF(V48="","",ROUND(VLOOKUP($B48,战斗节奏!$A$4:$F$13,2,FALSE)/(IF($G48="",0,VLOOKUP($G48,'⚪设计'!$B$85:$H$104,5,FALSE)*$H48)+IF($L48="",0,VLOOKUP($L48,'⚪设计'!$B$85:$H$104,5,FALSE)*$M48)+IF($Q48="",0,VLOOKUP($Q48,'⚪设计'!$B$85:$H$104,5,FALSE)*$R48)+IF($V48="",0,VLOOKUP($V48,'⚪设计'!$B$85:$H$104,5,FALSE)*$W48))*IF(V48="",0,VLOOKUP(V48,'⚪设计'!$B$85:$H$104,5,FALSE)),0))</f>
        <v/>
      </c>
    </row>
    <row r="49" spans="1:26" x14ac:dyDescent="0.2">
      <c r="A49" s="2" t="str">
        <f t="shared" si="0"/>
        <v>10_2</v>
      </c>
      <c r="B49" s="2">
        <v>10</v>
      </c>
      <c r="C49" s="2">
        <v>2</v>
      </c>
      <c r="D49" s="97">
        <f>VLOOKUP(C49,无限模式!$A$3:$B$22,2,FALSE)</f>
        <v>1800</v>
      </c>
      <c r="E49" s="98">
        <v>1</v>
      </c>
      <c r="F49" s="97">
        <f>'⚪设计'!F190</f>
        <v>12.5</v>
      </c>
      <c r="G49" s="97" t="str">
        <f>IF(VLOOKUP($A49,'⚪设计'!$A$144:$N$193,7,FALSE)="","",VLOOKUP($A49,'⚪设计'!$A$144:$N$193,7,FALSE))</f>
        <v>蛋2</v>
      </c>
      <c r="H49" s="97">
        <f t="shared" si="1"/>
        <v>8</v>
      </c>
      <c r="I49" s="97">
        <f>IF(VLOOKUP($A49,'⚪设计'!$A$144:$N$193,11,FALSE)="","",VLOOKUP($A49,'⚪设计'!$A$144:$N$193,11,FALSE))</f>
        <v>1.5</v>
      </c>
      <c r="J49" s="97">
        <f>IF(G49="","",ROUND($D49*'⚪设计'!$D190/(IF($G49="",0,VLOOKUP($G49,'⚪设计'!$B$85:$H$104,4,FALSE)*$H49)+IF($L49="",0,VLOOKUP($L49,'⚪设计'!$B$85:$H$104,4,FALSE)*$M49)+IF($Q49="",0,VLOOKUP($Q49,'⚪设计'!$B$85:$H$104,4,FALSE)*$R49)+IF($V49="",0,VLOOKUP($V49,'⚪设计'!$B$85:$H$104,4,FALSE)*$W49))*IF(G49="",0,VLOOKUP(G49,'⚪设计'!$B$85:$H$104,4,FALSE)),0))</f>
        <v>896</v>
      </c>
      <c r="K49" s="97">
        <f>IF(G49="","",ROUND(VLOOKUP($B49,战斗节奏!$A$4:$F$13,2,FALSE)/(IF($G49="",0,VLOOKUP($G49,'⚪设计'!$B$85:$H$104,5,FALSE)*$H49)+IF($L49="",0,VLOOKUP($L49,'⚪设计'!$B$85:$H$104,5,FALSE)*$M49)+IF($Q49="",0,VLOOKUP($Q49,'⚪设计'!$B$85:$H$104,5,FALSE)*$R49)+IF($V49="",0,VLOOKUP($V49,'⚪设计'!$B$85:$H$104,5,FALSE)*$W49))*IF(G49="",0,VLOOKUP(G49,'⚪设计'!$B$85:$H$104,5,FALSE)),0))</f>
        <v>27</v>
      </c>
      <c r="L49" s="97" t="str">
        <f>IF(VLOOKUP($A49,'⚪设计'!$A$144:$N$193,8,FALSE)="","",VLOOKUP($A49,'⚪设计'!$A$144:$N$193,8,FALSE))</f>
        <v>蝙蝠1</v>
      </c>
      <c r="M49" s="97">
        <f t="shared" si="2"/>
        <v>63</v>
      </c>
      <c r="N49" s="97">
        <f>IF(VLOOKUP($A49,'⚪设计'!$A$144:$N$193,12,FALSE)="","",VLOOKUP($A49,'⚪设计'!$A$144:$N$193,12,FALSE))</f>
        <v>0.2</v>
      </c>
      <c r="O49" s="97">
        <f>IF(L49="","",ROUND($D49*'⚪设计'!$D190/(IF($G49="",0,VLOOKUP($G49,'⚪设计'!$B$85:$H$104,4,FALSE)*$H49)+IF($L49="",0,VLOOKUP($L49,'⚪设计'!$B$85:$H$104,4,FALSE)*$M49)+IF($Q49="",0,VLOOKUP($Q49,'⚪设计'!$B$85:$H$104,4,FALSE)*$R49)+IF($V49="",0,VLOOKUP($V49,'⚪设计'!$B$85:$H$104,4,FALSE)*$W49))*IF(L49="",0,VLOOKUP(L49,'⚪设计'!$B$85:$H$104,4,FALSE)),0))</f>
        <v>112</v>
      </c>
      <c r="P49" s="97">
        <f>IF(L49="","",ROUND(VLOOKUP($B49,战斗节奏!$A$4:$F$13,2,FALSE)/(IF($G49="",0,VLOOKUP($G49,'⚪设计'!$B$85:$H$104,5,FALSE)*$H49)+IF($L49="",0,VLOOKUP($L49,'⚪设计'!$B$85:$H$104,5,FALSE)*$M49)+IF($Q49="",0,VLOOKUP($Q49,'⚪设计'!$B$85:$H$104,5,FALSE)*$R49)+IF($V49="",0,VLOOKUP($V49,'⚪设计'!$B$85:$H$104,5,FALSE)*$W49))*IF(L49="",0,VLOOKUP(L49,'⚪设计'!$B$85:$H$104,5,FALSE)),0))</f>
        <v>7</v>
      </c>
      <c r="Q49" s="97" t="str">
        <f>IF(VLOOKUP($A49,'⚪设计'!$A$144:$N$193,9,FALSE)="","",VLOOKUP($A49,'⚪设计'!$A$144:$N$193,9,FALSE))</f>
        <v>鸟3</v>
      </c>
      <c r="R49" s="97">
        <f t="shared" si="3"/>
        <v>3</v>
      </c>
      <c r="S49" s="97">
        <f>IF(VLOOKUP($A49,'⚪设计'!$A$144:$N$193,13,FALSE)="","",VLOOKUP($A49,'⚪设计'!$A$144:$N$193,13,FALSE))</f>
        <v>4</v>
      </c>
      <c r="T49" s="97">
        <f>IF(Q49="","",ROUND($D49*'⚪设计'!$D190/(IF($G49="",0,VLOOKUP($G49,'⚪设计'!$B$85:$H$104,4,FALSE)*$H49)+IF($L49="",0,VLOOKUP($L49,'⚪设计'!$B$85:$H$104,4,FALSE)*$M49)+IF($Q49="",0,VLOOKUP($Q49,'⚪设计'!$B$85:$H$104,4,FALSE)*$R49)+IF($V49="",0,VLOOKUP($V49,'⚪设计'!$B$85:$H$104,4,FALSE)*$W49))*IF(Q49="",0,VLOOKUP(Q49,'⚪设计'!$B$85:$H$104,4,FALSE)),0))</f>
        <v>1792</v>
      </c>
      <c r="U49" s="97">
        <f>IF(Q49="","",ROUND(VLOOKUP($B49,战斗节奏!$A$4:$F$13,2,FALSE)/(IF($G49="",0,VLOOKUP($G49,'⚪设计'!$B$85:$H$104,5,FALSE)*$H49)+IF($L49="",0,VLOOKUP($L49,'⚪设计'!$B$85:$H$104,5,FALSE)*$M49)+IF($Q49="",0,VLOOKUP($Q49,'⚪设计'!$B$85:$H$104,5,FALSE)*$R49)+IF($V49="",0,VLOOKUP($V49,'⚪设计'!$B$85:$H$104,5,FALSE)*$W49))*IF(Q49="",0,VLOOKUP(Q49,'⚪设计'!$B$85:$H$104,5,FALSE)),0))</f>
        <v>27</v>
      </c>
      <c r="V49" s="97" t="str">
        <f>IF(VLOOKUP($A49,'⚪设计'!$A$144:$N$193,10,FALSE)="","",VLOOKUP($A49,'⚪设计'!$A$144:$N$193,10,FALSE))</f>
        <v/>
      </c>
      <c r="W49" s="97" t="str">
        <f t="shared" si="4"/>
        <v/>
      </c>
      <c r="X49" s="97" t="str">
        <f>IF(VLOOKUP($A49,'⚪设计'!$A$144:$N$193,14,FALSE)="","",VLOOKUP($A49,'⚪设计'!$A$144:$N$193,14,FALSE))</f>
        <v/>
      </c>
      <c r="Y49" s="97" t="str">
        <f>IF(V49="","",ROUND($D49*'⚪设计'!$D190/(IF($G49="",0,VLOOKUP($G49,'⚪设计'!$B$85:$H$104,4,FALSE)*$H49)+IF($L49="",0,VLOOKUP($L49,'⚪设计'!$B$85:$H$104,4,FALSE)*$M49)+IF($Q49="",0,VLOOKUP($Q49,'⚪设计'!$B$85:$H$104,4,FALSE)*$R49)+IF($V49="",0,VLOOKUP($V49,'⚪设计'!$B$85:$H$104,4,FALSE)*$W49))*IF(V49="",0,VLOOKUP(V49,'⚪设计'!$B$85:$H$104,4,FALSE)),0))</f>
        <v/>
      </c>
      <c r="Z49" s="97" t="str">
        <f>IF(V49="","",ROUND(VLOOKUP($B49,战斗节奏!$A$4:$F$13,2,FALSE)/(IF($G49="",0,VLOOKUP($G49,'⚪设计'!$B$85:$H$104,5,FALSE)*$H49)+IF($L49="",0,VLOOKUP($L49,'⚪设计'!$B$85:$H$104,5,FALSE)*$M49)+IF($Q49="",0,VLOOKUP($Q49,'⚪设计'!$B$85:$H$104,5,FALSE)*$R49)+IF($V49="",0,VLOOKUP($V49,'⚪设计'!$B$85:$H$104,5,FALSE)*$W49))*IF(V49="",0,VLOOKUP(V49,'⚪设计'!$B$85:$H$104,5,FALSE)),0))</f>
        <v/>
      </c>
    </row>
    <row r="50" spans="1:26" x14ac:dyDescent="0.2">
      <c r="A50" s="2" t="str">
        <f t="shared" si="0"/>
        <v>10_3</v>
      </c>
      <c r="B50" s="2">
        <v>10</v>
      </c>
      <c r="C50" s="2">
        <v>3</v>
      </c>
      <c r="D50" s="97">
        <f>VLOOKUP(C50,无限模式!$A$3:$B$22,2,FALSE)</f>
        <v>3600</v>
      </c>
      <c r="E50" s="98">
        <v>1</v>
      </c>
      <c r="F50" s="97">
        <f>'⚪设计'!F191</f>
        <v>15</v>
      </c>
      <c r="G50" s="97" t="str">
        <f>IF(VLOOKUP($A50,'⚪设计'!$A$144:$N$193,7,FALSE)="","",VLOOKUP($A50,'⚪设计'!$A$144:$N$193,7,FALSE))</f>
        <v>蛋2</v>
      </c>
      <c r="H50" s="97">
        <f t="shared" si="1"/>
        <v>10</v>
      </c>
      <c r="I50" s="97">
        <f>IF(VLOOKUP($A50,'⚪设计'!$A$144:$N$193,11,FALSE)="","",VLOOKUP($A50,'⚪设计'!$A$144:$N$193,11,FALSE))</f>
        <v>1.5</v>
      </c>
      <c r="J50" s="97">
        <f>IF(G50="","",ROUND($D50*'⚪设计'!$D191/(IF($G50="",0,VLOOKUP($G50,'⚪设计'!$B$85:$H$104,4,FALSE)*$H50)+IF($L50="",0,VLOOKUP($L50,'⚪设计'!$B$85:$H$104,4,FALSE)*$M50)+IF($Q50="",0,VLOOKUP($Q50,'⚪设计'!$B$85:$H$104,4,FALSE)*$R50)+IF($V50="",0,VLOOKUP($V50,'⚪设计'!$B$85:$H$104,4,FALSE)*$W50))*IF(G50="",0,VLOOKUP(G50,'⚪设计'!$B$85:$H$104,4,FALSE)),0))</f>
        <v>2178</v>
      </c>
      <c r="K50" s="97">
        <f>IF(G50="","",ROUND(VLOOKUP($B50,战斗节奏!$A$4:$F$13,2,FALSE)/(IF($G50="",0,VLOOKUP($G50,'⚪设计'!$B$85:$H$104,5,FALSE)*$H50)+IF($L50="",0,VLOOKUP($L50,'⚪设计'!$B$85:$H$104,5,FALSE)*$M50)+IF($Q50="",0,VLOOKUP($Q50,'⚪设计'!$B$85:$H$104,5,FALSE)*$R50)+IF($V50="",0,VLOOKUP($V50,'⚪设计'!$B$85:$H$104,5,FALSE)*$W50))*IF(G50="",0,VLOOKUP(G50,'⚪设计'!$B$85:$H$104,5,FALSE)),0))</f>
        <v>19</v>
      </c>
      <c r="L50" s="97" t="str">
        <f>IF(VLOOKUP($A50,'⚪设计'!$A$144:$N$193,8,FALSE)="","",VLOOKUP($A50,'⚪设计'!$A$144:$N$193,8,FALSE))</f>
        <v>蜘蛛1</v>
      </c>
      <c r="M50" s="97">
        <f t="shared" si="2"/>
        <v>38</v>
      </c>
      <c r="N50" s="97">
        <f>IF(VLOOKUP($A50,'⚪设计'!$A$144:$N$193,12,FALSE)="","",VLOOKUP($A50,'⚪设计'!$A$144:$N$193,12,FALSE))</f>
        <v>0.4</v>
      </c>
      <c r="O50" s="97">
        <f>IF(L50="","",ROUND($D50*'⚪设计'!$D191/(IF($G50="",0,VLOOKUP($G50,'⚪设计'!$B$85:$H$104,4,FALSE)*$H50)+IF($L50="",0,VLOOKUP($L50,'⚪设计'!$B$85:$H$104,4,FALSE)*$M50)+IF($Q50="",0,VLOOKUP($Q50,'⚪设计'!$B$85:$H$104,4,FALSE)*$R50)+IF($V50="",0,VLOOKUP($V50,'⚪设计'!$B$85:$H$104,4,FALSE)*$W50))*IF(L50="",0,VLOOKUP(L50,'⚪设计'!$B$85:$H$104,4,FALSE)),0))</f>
        <v>545</v>
      </c>
      <c r="P50" s="97">
        <f>IF(L50="","",ROUND(VLOOKUP($B50,战斗节奏!$A$4:$F$13,2,FALSE)/(IF($G50="",0,VLOOKUP($G50,'⚪设计'!$B$85:$H$104,5,FALSE)*$H50)+IF($L50="",0,VLOOKUP($L50,'⚪设计'!$B$85:$H$104,5,FALSE)*$M50)+IF($Q50="",0,VLOOKUP($Q50,'⚪设计'!$B$85:$H$104,5,FALSE)*$R50)+IF($V50="",0,VLOOKUP($V50,'⚪设计'!$B$85:$H$104,5,FALSE)*$W50))*IF(L50="",0,VLOOKUP(L50,'⚪设计'!$B$85:$H$104,5,FALSE)),0))</f>
        <v>9</v>
      </c>
      <c r="Q50" s="97" t="str">
        <f>IF(VLOOKUP($A50,'⚪设计'!$A$144:$N$193,9,FALSE)="","",VLOOKUP($A50,'⚪设计'!$A$144:$N$193,9,FALSE))</f>
        <v>鬼1</v>
      </c>
      <c r="R50" s="97">
        <f t="shared" si="3"/>
        <v>10</v>
      </c>
      <c r="S50" s="97">
        <f>IF(VLOOKUP($A50,'⚪设计'!$A$144:$N$193,13,FALSE)="","",VLOOKUP($A50,'⚪设计'!$A$144:$N$193,13,FALSE))</f>
        <v>1.5</v>
      </c>
      <c r="T50" s="97">
        <f>IF(Q50="","",ROUND($D50*'⚪设计'!$D191/(IF($G50="",0,VLOOKUP($G50,'⚪设计'!$B$85:$H$104,4,FALSE)*$H50)+IF($L50="",0,VLOOKUP($L50,'⚪设计'!$B$85:$H$104,4,FALSE)*$M50)+IF($Q50="",0,VLOOKUP($Q50,'⚪设计'!$B$85:$H$104,4,FALSE)*$R50)+IF($V50="",0,VLOOKUP($V50,'⚪设计'!$B$85:$H$104,4,FALSE)*$W50))*IF(Q50="",0,VLOOKUP(Q50,'⚪设计'!$B$85:$H$104,4,FALSE)),0))</f>
        <v>545</v>
      </c>
      <c r="U50" s="97">
        <f>IF(Q50="","",ROUND(VLOOKUP($B50,战斗节奏!$A$4:$F$13,2,FALSE)/(IF($G50="",0,VLOOKUP($G50,'⚪设计'!$B$85:$H$104,5,FALSE)*$H50)+IF($L50="",0,VLOOKUP($L50,'⚪设计'!$B$85:$H$104,5,FALSE)*$M50)+IF($Q50="",0,VLOOKUP($Q50,'⚪设计'!$B$85:$H$104,5,FALSE)*$R50)+IF($V50="",0,VLOOKUP($V50,'⚪设计'!$B$85:$H$104,5,FALSE)*$W50))*IF(Q50="",0,VLOOKUP(Q50,'⚪设计'!$B$85:$H$104,5,FALSE)),0))</f>
        <v>9</v>
      </c>
      <c r="V50" s="97" t="str">
        <f>IF(VLOOKUP($A50,'⚪设计'!$A$144:$N$193,10,FALSE)="","",VLOOKUP($A50,'⚪设计'!$A$144:$N$193,10,FALSE))</f>
        <v>鸟3</v>
      </c>
      <c r="W50" s="97">
        <f t="shared" si="4"/>
        <v>4</v>
      </c>
      <c r="X50" s="97">
        <f>IF(VLOOKUP($A50,'⚪设计'!$A$144:$N$193,14,FALSE)="","",VLOOKUP($A50,'⚪设计'!$A$144:$N$193,14,FALSE))</f>
        <v>4</v>
      </c>
      <c r="Y50" s="97">
        <f>IF(V50="","",ROUND($D50*'⚪设计'!$D191/(IF($G50="",0,VLOOKUP($G50,'⚪设计'!$B$85:$H$104,4,FALSE)*$H50)+IF($L50="",0,VLOOKUP($L50,'⚪设计'!$B$85:$H$104,4,FALSE)*$M50)+IF($Q50="",0,VLOOKUP($Q50,'⚪设计'!$B$85:$H$104,4,FALSE)*$R50)+IF($V50="",0,VLOOKUP($V50,'⚪设计'!$B$85:$H$104,4,FALSE)*$W50))*IF(V50="",0,VLOOKUP(V50,'⚪设计'!$B$85:$H$104,4,FALSE)),0))</f>
        <v>4356</v>
      </c>
      <c r="Z50" s="97">
        <f>IF(V50="","",ROUND(VLOOKUP($B50,战斗节奏!$A$4:$F$13,2,FALSE)/(IF($G50="",0,VLOOKUP($G50,'⚪设计'!$B$85:$H$104,5,FALSE)*$H50)+IF($L50="",0,VLOOKUP($L50,'⚪设计'!$B$85:$H$104,5,FALSE)*$M50)+IF($Q50="",0,VLOOKUP($Q50,'⚪设计'!$B$85:$H$104,5,FALSE)*$R50)+IF($V50="",0,VLOOKUP($V50,'⚪设计'!$B$85:$H$104,5,FALSE)*$W50))*IF(V50="",0,VLOOKUP(V50,'⚪设计'!$B$85:$H$104,5,FALSE)),0))</f>
        <v>19</v>
      </c>
    </row>
    <row r="51" spans="1:26" x14ac:dyDescent="0.2">
      <c r="A51" s="2" t="str">
        <f t="shared" si="0"/>
        <v>10_4</v>
      </c>
      <c r="B51" s="2">
        <v>10</v>
      </c>
      <c r="C51" s="2">
        <v>4</v>
      </c>
      <c r="D51" s="97">
        <f>VLOOKUP(C51,无限模式!$A$3:$B$22,2,FALSE)</f>
        <v>4500</v>
      </c>
      <c r="E51" s="98">
        <v>1</v>
      </c>
      <c r="F51" s="97">
        <f>'⚪设计'!F192</f>
        <v>17.5</v>
      </c>
      <c r="G51" s="97" t="str">
        <f>IF(VLOOKUP($A51,'⚪设计'!$A$144:$N$193,7,FALSE)="","",VLOOKUP($A51,'⚪设计'!$A$144:$N$193,7,FALSE))</f>
        <v>蛋2</v>
      </c>
      <c r="H51" s="97">
        <f t="shared" si="1"/>
        <v>12</v>
      </c>
      <c r="I51" s="97">
        <f>IF(VLOOKUP($A51,'⚪设计'!$A$144:$N$193,11,FALSE)="","",VLOOKUP($A51,'⚪设计'!$A$144:$N$193,11,FALSE))</f>
        <v>1.5</v>
      </c>
      <c r="J51" s="97">
        <f>IF(G51="","",ROUND($D51*'⚪设计'!$D192/(IF($G51="",0,VLOOKUP($G51,'⚪设计'!$B$85:$H$104,4,FALSE)*$H51)+IF($L51="",0,VLOOKUP($L51,'⚪设计'!$B$85:$H$104,4,FALSE)*$M51)+IF($Q51="",0,VLOOKUP($Q51,'⚪设计'!$B$85:$H$104,4,FALSE)*$R51)+IF($V51="",0,VLOOKUP($V51,'⚪设计'!$B$85:$H$104,4,FALSE)*$W51))*IF(G51="",0,VLOOKUP(G51,'⚪设计'!$B$85:$H$104,4,FALSE)),0))</f>
        <v>3409</v>
      </c>
      <c r="K51" s="97">
        <f>IF(G51="","",ROUND(VLOOKUP($B51,战斗节奏!$A$4:$F$13,2,FALSE)/(IF($G51="",0,VLOOKUP($G51,'⚪设计'!$B$85:$H$104,5,FALSE)*$H51)+IF($L51="",0,VLOOKUP($L51,'⚪设计'!$B$85:$H$104,5,FALSE)*$M51)+IF($Q51="",0,VLOOKUP($Q51,'⚪设计'!$B$85:$H$104,5,FALSE)*$R51)+IF($V51="",0,VLOOKUP($V51,'⚪设计'!$B$85:$H$104,5,FALSE)*$W51))*IF(G51="",0,VLOOKUP(G51,'⚪设计'!$B$85:$H$104,5,FALSE)),0))</f>
        <v>21</v>
      </c>
      <c r="L51" s="97" t="str">
        <f>IF(VLOOKUP($A51,'⚪设计'!$A$144:$N$193,8,FALSE)="","",VLOOKUP($A51,'⚪设计'!$A$144:$N$193,8,FALSE))</f>
        <v>鬼1</v>
      </c>
      <c r="M51" s="97">
        <f t="shared" si="2"/>
        <v>35</v>
      </c>
      <c r="N51" s="97">
        <f>IF(VLOOKUP($A51,'⚪设计'!$A$144:$N$193,12,FALSE)="","",VLOOKUP($A51,'⚪设计'!$A$144:$N$193,12,FALSE))</f>
        <v>0.5</v>
      </c>
      <c r="O51" s="97">
        <f>IF(L51="","",ROUND($D51*'⚪设计'!$D192/(IF($G51="",0,VLOOKUP($G51,'⚪设计'!$B$85:$H$104,4,FALSE)*$H51)+IF($L51="",0,VLOOKUP($L51,'⚪设计'!$B$85:$H$104,4,FALSE)*$M51)+IF($Q51="",0,VLOOKUP($Q51,'⚪设计'!$B$85:$H$104,4,FALSE)*$R51)+IF($V51="",0,VLOOKUP($V51,'⚪设计'!$B$85:$H$104,4,FALSE)*$W51))*IF(L51="",0,VLOOKUP(L51,'⚪设计'!$B$85:$H$104,4,FALSE)),0))</f>
        <v>852</v>
      </c>
      <c r="P51" s="97">
        <f>IF(L51="","",ROUND(VLOOKUP($B51,战斗节奏!$A$4:$F$13,2,FALSE)/(IF($G51="",0,VLOOKUP($G51,'⚪设计'!$B$85:$H$104,5,FALSE)*$H51)+IF($L51="",0,VLOOKUP($L51,'⚪设计'!$B$85:$H$104,5,FALSE)*$M51)+IF($Q51="",0,VLOOKUP($Q51,'⚪设计'!$B$85:$H$104,5,FALSE)*$R51)+IF($V51="",0,VLOOKUP($V51,'⚪设计'!$B$85:$H$104,5,FALSE)*$W51))*IF(L51="",0,VLOOKUP(L51,'⚪设计'!$B$85:$H$104,5,FALSE)),0))</f>
        <v>11</v>
      </c>
      <c r="Q51" s="97" t="str">
        <f>IF(VLOOKUP($A51,'⚪设计'!$A$144:$N$193,9,FALSE)="","",VLOOKUP($A51,'⚪设计'!$A$144:$N$193,9,FALSE))</f>
        <v>鸟3</v>
      </c>
      <c r="R51" s="97">
        <f t="shared" si="3"/>
        <v>4</v>
      </c>
      <c r="S51" s="97">
        <f>IF(VLOOKUP($A51,'⚪设计'!$A$144:$N$193,13,FALSE)="","",VLOOKUP($A51,'⚪设计'!$A$144:$N$193,13,FALSE))</f>
        <v>4</v>
      </c>
      <c r="T51" s="97">
        <f>IF(Q51="","",ROUND($D51*'⚪设计'!$D192/(IF($G51="",0,VLOOKUP($G51,'⚪设计'!$B$85:$H$104,4,FALSE)*$H51)+IF($L51="",0,VLOOKUP($L51,'⚪设计'!$B$85:$H$104,4,FALSE)*$M51)+IF($Q51="",0,VLOOKUP($Q51,'⚪设计'!$B$85:$H$104,4,FALSE)*$R51)+IF($V51="",0,VLOOKUP($V51,'⚪设计'!$B$85:$H$104,4,FALSE)*$W51))*IF(Q51="",0,VLOOKUP(Q51,'⚪设计'!$B$85:$H$104,4,FALSE)),0))</f>
        <v>6818</v>
      </c>
      <c r="U51" s="97">
        <f>IF(Q51="","",ROUND(VLOOKUP($B51,战斗节奏!$A$4:$F$13,2,FALSE)/(IF($G51="",0,VLOOKUP($G51,'⚪设计'!$B$85:$H$104,5,FALSE)*$H51)+IF($L51="",0,VLOOKUP($L51,'⚪设计'!$B$85:$H$104,5,FALSE)*$M51)+IF($Q51="",0,VLOOKUP($Q51,'⚪设计'!$B$85:$H$104,5,FALSE)*$R51)+IF($V51="",0,VLOOKUP($V51,'⚪设计'!$B$85:$H$104,5,FALSE)*$W51))*IF(Q51="",0,VLOOKUP(Q51,'⚪设计'!$B$85:$H$104,5,FALSE)),0))</f>
        <v>21</v>
      </c>
      <c r="V51" s="97" t="str">
        <f>IF(VLOOKUP($A51,'⚪设计'!$A$144:$N$193,10,FALSE)="","",VLOOKUP($A51,'⚪设计'!$A$144:$N$193,10,FALSE))</f>
        <v/>
      </c>
      <c r="W51" s="97" t="str">
        <f t="shared" si="4"/>
        <v/>
      </c>
      <c r="X51" s="97" t="str">
        <f>IF(VLOOKUP($A51,'⚪设计'!$A$144:$N$193,14,FALSE)="","",VLOOKUP($A51,'⚪设计'!$A$144:$N$193,14,FALSE))</f>
        <v/>
      </c>
      <c r="Y51" s="97" t="str">
        <f>IF(V51="","",ROUND($D51*'⚪设计'!$D192/(IF($G51="",0,VLOOKUP($G51,'⚪设计'!$B$85:$H$104,4,FALSE)*$H51)+IF($L51="",0,VLOOKUP($L51,'⚪设计'!$B$85:$H$104,4,FALSE)*$M51)+IF($Q51="",0,VLOOKUP($Q51,'⚪设计'!$B$85:$H$104,4,FALSE)*$R51)+IF($V51="",0,VLOOKUP($V51,'⚪设计'!$B$85:$H$104,4,FALSE)*$W51))*IF(V51="",0,VLOOKUP(V51,'⚪设计'!$B$85:$H$104,4,FALSE)),0))</f>
        <v/>
      </c>
      <c r="Z51" s="97" t="str">
        <f>IF(V51="","",ROUND(VLOOKUP($B51,战斗节奏!$A$4:$F$13,2,FALSE)/(IF($G51="",0,VLOOKUP($G51,'⚪设计'!$B$85:$H$104,5,FALSE)*$H51)+IF($L51="",0,VLOOKUP($L51,'⚪设计'!$B$85:$H$104,5,FALSE)*$M51)+IF($Q51="",0,VLOOKUP($Q51,'⚪设计'!$B$85:$H$104,5,FALSE)*$R51)+IF($V51="",0,VLOOKUP($V51,'⚪设计'!$B$85:$H$104,5,FALSE)*$W51))*IF(V51="",0,VLOOKUP(V51,'⚪设计'!$B$85:$H$104,5,FALSE)),0))</f>
        <v/>
      </c>
    </row>
    <row r="52" spans="1:26" x14ac:dyDescent="0.2">
      <c r="A52" s="2" t="str">
        <f t="shared" si="0"/>
        <v>10_5</v>
      </c>
      <c r="B52" s="2">
        <v>10</v>
      </c>
      <c r="C52" s="2">
        <v>5</v>
      </c>
      <c r="D52" s="97">
        <f>VLOOKUP(C52,无限模式!$A$3:$B$22,2,FALSE)</f>
        <v>5400</v>
      </c>
      <c r="E52" s="98">
        <v>1</v>
      </c>
      <c r="F52" s="97">
        <f>'⚪设计'!F193</f>
        <v>20</v>
      </c>
      <c r="G52" s="97" t="str">
        <f>IF(VLOOKUP($A52,'⚪设计'!$A$144:$N$193,7,FALSE)="","",VLOOKUP($A52,'⚪设计'!$A$144:$N$193,7,FALSE))</f>
        <v>蛋2</v>
      </c>
      <c r="H52" s="97">
        <f t="shared" si="1"/>
        <v>13</v>
      </c>
      <c r="I52" s="97">
        <f>IF(VLOOKUP($A52,'⚪设计'!$A$144:$N$193,11,FALSE)="","",VLOOKUP($A52,'⚪设计'!$A$144:$N$193,11,FALSE))</f>
        <v>1.5</v>
      </c>
      <c r="J52" s="97">
        <f>IF(G52="","",ROUND($D52*'⚪设计'!$D193/(IF($G52="",0,VLOOKUP($G52,'⚪设计'!$B$85:$H$104,4,FALSE)*$H52)+IF($L52="",0,VLOOKUP($L52,'⚪设计'!$B$85:$H$104,4,FALSE)*$M52)+IF($Q52="",0,VLOOKUP($Q52,'⚪设计'!$B$85:$H$104,4,FALSE)*$R52)+IF($V52="",0,VLOOKUP($V52,'⚪设计'!$B$85:$H$104,4,FALSE)*$W52))*IF(G52="",0,VLOOKUP(G52,'⚪设计'!$B$85:$H$104,4,FALSE)),0))</f>
        <v>3105</v>
      </c>
      <c r="K52" s="97">
        <f>IF(G52="","",ROUND(VLOOKUP($B52,战斗节奏!$A$4:$F$13,2,FALSE)/(IF($G52="",0,VLOOKUP($G52,'⚪设计'!$B$85:$H$104,5,FALSE)*$H52)+IF($L52="",0,VLOOKUP($L52,'⚪设计'!$B$85:$H$104,5,FALSE)*$M52)+IF($Q52="",0,VLOOKUP($Q52,'⚪设计'!$B$85:$H$104,5,FALSE)*$R52)+IF($V52="",0,VLOOKUP($V52,'⚪设计'!$B$85:$H$104,5,FALSE)*$W52))*IF(G52="",0,VLOOKUP(G52,'⚪设计'!$B$85:$H$104,5,FALSE)),0))</f>
        <v>14</v>
      </c>
      <c r="L52" s="97" t="str">
        <f>IF(VLOOKUP($A52,'⚪设计'!$A$144:$N$193,8,FALSE)="","",VLOOKUP($A52,'⚪设计'!$A$144:$N$193,8,FALSE))</f>
        <v>鬼1</v>
      </c>
      <c r="M52" s="97">
        <f t="shared" si="2"/>
        <v>40</v>
      </c>
      <c r="N52" s="97">
        <f>IF(VLOOKUP($A52,'⚪设计'!$A$144:$N$193,12,FALSE)="","",VLOOKUP($A52,'⚪设计'!$A$144:$N$193,12,FALSE))</f>
        <v>0.5</v>
      </c>
      <c r="O52" s="97">
        <f>IF(L52="","",ROUND($D52*'⚪设计'!$D193/(IF($G52="",0,VLOOKUP($G52,'⚪设计'!$B$85:$H$104,4,FALSE)*$H52)+IF($L52="",0,VLOOKUP($L52,'⚪设计'!$B$85:$H$104,4,FALSE)*$M52)+IF($Q52="",0,VLOOKUP($Q52,'⚪设计'!$B$85:$H$104,4,FALSE)*$R52)+IF($V52="",0,VLOOKUP($V52,'⚪设计'!$B$85:$H$104,4,FALSE)*$W52))*IF(L52="",0,VLOOKUP(L52,'⚪设计'!$B$85:$H$104,4,FALSE)),0))</f>
        <v>776</v>
      </c>
      <c r="P52" s="97">
        <f>IF(L52="","",ROUND(VLOOKUP($B52,战斗节奏!$A$4:$F$13,2,FALSE)/(IF($G52="",0,VLOOKUP($G52,'⚪设计'!$B$85:$H$104,5,FALSE)*$H52)+IF($L52="",0,VLOOKUP($L52,'⚪设计'!$B$85:$H$104,5,FALSE)*$M52)+IF($Q52="",0,VLOOKUP($Q52,'⚪设计'!$B$85:$H$104,5,FALSE)*$R52)+IF($V52="",0,VLOOKUP($V52,'⚪设计'!$B$85:$H$104,5,FALSE)*$W52))*IF(L52="",0,VLOOKUP(L52,'⚪设计'!$B$85:$H$104,5,FALSE)),0))</f>
        <v>7</v>
      </c>
      <c r="Q52" s="97" t="str">
        <f>IF(VLOOKUP($A52,'⚪设计'!$A$144:$N$193,9,FALSE)="","",VLOOKUP($A52,'⚪设计'!$A$144:$N$193,9,FALSE))</f>
        <v>种子1</v>
      </c>
      <c r="R52" s="97">
        <f t="shared" si="3"/>
        <v>10</v>
      </c>
      <c r="S52" s="97">
        <f>IF(VLOOKUP($A52,'⚪设计'!$A$144:$N$193,13,FALSE)="","",VLOOKUP($A52,'⚪设计'!$A$144:$N$193,13,FALSE))</f>
        <v>2</v>
      </c>
      <c r="T52" s="97">
        <f>IF(Q52="","",ROUND($D52*'⚪设计'!$D193/(IF($G52="",0,VLOOKUP($G52,'⚪设计'!$B$85:$H$104,4,FALSE)*$H52)+IF($L52="",0,VLOOKUP($L52,'⚪设计'!$B$85:$H$104,4,FALSE)*$M52)+IF($Q52="",0,VLOOKUP($Q52,'⚪设计'!$B$85:$H$104,4,FALSE)*$R52)+IF($V52="",0,VLOOKUP($V52,'⚪设计'!$B$85:$H$104,4,FALSE)*$W52))*IF(Q52="",0,VLOOKUP(Q52,'⚪设计'!$B$85:$H$104,4,FALSE)),0))</f>
        <v>2329</v>
      </c>
      <c r="U52" s="97">
        <f>IF(Q52="","",ROUND(VLOOKUP($B52,战斗节奏!$A$4:$F$13,2,FALSE)/(IF($G52="",0,VLOOKUP($G52,'⚪设计'!$B$85:$H$104,5,FALSE)*$H52)+IF($L52="",0,VLOOKUP($L52,'⚪设计'!$B$85:$H$104,5,FALSE)*$M52)+IF($Q52="",0,VLOOKUP($Q52,'⚪设计'!$B$85:$H$104,5,FALSE)*$R52)+IF($V52="",0,VLOOKUP($V52,'⚪设计'!$B$85:$H$104,5,FALSE)*$W52))*IF(Q52="",0,VLOOKUP(Q52,'⚪设计'!$B$85:$H$104,5,FALSE)),0))</f>
        <v>14</v>
      </c>
      <c r="V52" s="97" t="str">
        <f>IF(VLOOKUP($A52,'⚪设计'!$A$144:$N$193,10,FALSE)="","",VLOOKUP($A52,'⚪设计'!$A$144:$N$193,10,FALSE))</f>
        <v>鸟3</v>
      </c>
      <c r="W52" s="97">
        <f t="shared" si="4"/>
        <v>10</v>
      </c>
      <c r="X52" s="97">
        <f>IF(VLOOKUP($A52,'⚪设计'!$A$144:$N$193,14,FALSE)="","",VLOOKUP($A52,'⚪设计'!$A$144:$N$193,14,FALSE))</f>
        <v>2</v>
      </c>
      <c r="Y52" s="97">
        <f>IF(V52="","",ROUND($D52*'⚪设计'!$D193/(IF($G52="",0,VLOOKUP($G52,'⚪设计'!$B$85:$H$104,4,FALSE)*$H52)+IF($L52="",0,VLOOKUP($L52,'⚪设计'!$B$85:$H$104,4,FALSE)*$M52)+IF($Q52="",0,VLOOKUP($Q52,'⚪设计'!$B$85:$H$104,4,FALSE)*$R52)+IF($V52="",0,VLOOKUP($V52,'⚪设计'!$B$85:$H$104,4,FALSE)*$W52))*IF(V52="",0,VLOOKUP(V52,'⚪设计'!$B$85:$H$104,4,FALSE)),0))</f>
        <v>6211</v>
      </c>
      <c r="Z52" s="97">
        <f>IF(V52="","",ROUND(VLOOKUP($B52,战斗节奏!$A$4:$F$13,2,FALSE)/(IF($G52="",0,VLOOKUP($G52,'⚪设计'!$B$85:$H$104,5,FALSE)*$H52)+IF($L52="",0,VLOOKUP($L52,'⚪设计'!$B$85:$H$104,5,FALSE)*$M52)+IF($Q52="",0,VLOOKUP($Q52,'⚪设计'!$B$85:$H$104,5,FALSE)*$R52)+IF($V52="",0,VLOOKUP($V52,'⚪设计'!$B$85:$H$104,5,FALSE)*$W52))*IF(V52="",0,VLOOKUP(V52,'⚪设计'!$B$85:$H$104,5,FALSE)),0))</f>
        <v>14</v>
      </c>
    </row>
  </sheetData>
  <mergeCells count="10">
    <mergeCell ref="G1:K1"/>
    <mergeCell ref="L1:P1"/>
    <mergeCell ref="Q1:U1"/>
    <mergeCell ref="V1:Z1"/>
    <mergeCell ref="A1:A2"/>
    <mergeCell ref="C1:C2"/>
    <mergeCell ref="D1:D2"/>
    <mergeCell ref="E1:E2"/>
    <mergeCell ref="F1:F2"/>
    <mergeCell ref="B1:B2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14EF-F6E7-4A75-AA2C-606EA1B75FD1}">
  <dimension ref="A1:X22"/>
  <sheetViews>
    <sheetView zoomScale="85" zoomScaleNormal="85" workbookViewId="0">
      <selection activeCell="X22" activeCellId="5" sqref="I3:I22 N4:N14 N16:N22 S14 S21:S22 X22"/>
    </sheetView>
  </sheetViews>
  <sheetFormatPr defaultColWidth="9" defaultRowHeight="14.25" x14ac:dyDescent="0.2"/>
  <cols>
    <col min="1" max="4" width="9" style="66"/>
    <col min="5" max="5" width="17.75" style="94" bestFit="1" customWidth="1"/>
    <col min="6" max="9" width="9" style="66"/>
    <col min="10" max="10" width="17.75" style="66" bestFit="1" customWidth="1"/>
    <col min="11" max="14" width="9" style="66"/>
    <col min="15" max="15" width="17.75" style="94" bestFit="1" customWidth="1"/>
    <col min="16" max="16384" width="9" style="66"/>
  </cols>
  <sheetData>
    <row r="1" spans="1:24" x14ac:dyDescent="0.2">
      <c r="A1" s="182" t="s">
        <v>380</v>
      </c>
      <c r="B1" s="182" t="s">
        <v>428</v>
      </c>
      <c r="C1" s="184" t="s">
        <v>431</v>
      </c>
      <c r="D1" s="184" t="s">
        <v>396</v>
      </c>
      <c r="E1" s="182" t="s">
        <v>400</v>
      </c>
      <c r="F1" s="183"/>
      <c r="G1" s="183"/>
      <c r="H1" s="183"/>
      <c r="I1" s="183"/>
      <c r="J1" s="182" t="s">
        <v>401</v>
      </c>
      <c r="K1" s="183"/>
      <c r="L1" s="183"/>
      <c r="M1" s="183"/>
      <c r="N1" s="183"/>
      <c r="O1" s="182" t="s">
        <v>402</v>
      </c>
      <c r="P1" s="183"/>
      <c r="Q1" s="183"/>
      <c r="R1" s="183"/>
      <c r="S1" s="183"/>
      <c r="T1" s="182" t="s">
        <v>403</v>
      </c>
      <c r="U1" s="183"/>
      <c r="V1" s="183"/>
      <c r="W1" s="183"/>
      <c r="X1" s="184"/>
    </row>
    <row r="2" spans="1:24" x14ac:dyDescent="0.2">
      <c r="A2" s="185"/>
      <c r="B2" s="185"/>
      <c r="C2" s="186"/>
      <c r="D2" s="186"/>
      <c r="E2" s="93" t="s">
        <v>397</v>
      </c>
      <c r="F2" s="87" t="s">
        <v>283</v>
      </c>
      <c r="G2" s="87" t="s">
        <v>404</v>
      </c>
      <c r="H2" s="87" t="s">
        <v>398</v>
      </c>
      <c r="I2" s="87" t="s">
        <v>399</v>
      </c>
      <c r="J2" s="85" t="s">
        <v>397</v>
      </c>
      <c r="K2" s="87" t="s">
        <v>283</v>
      </c>
      <c r="L2" s="87" t="s">
        <v>404</v>
      </c>
      <c r="M2" s="87" t="s">
        <v>398</v>
      </c>
      <c r="N2" s="87" t="s">
        <v>399</v>
      </c>
      <c r="O2" s="93" t="s">
        <v>397</v>
      </c>
      <c r="P2" s="87" t="s">
        <v>283</v>
      </c>
      <c r="Q2" s="87" t="s">
        <v>404</v>
      </c>
      <c r="R2" s="87" t="s">
        <v>398</v>
      </c>
      <c r="S2" s="87" t="s">
        <v>399</v>
      </c>
      <c r="T2" s="85" t="s">
        <v>397</v>
      </c>
      <c r="U2" s="87" t="s">
        <v>283</v>
      </c>
      <c r="V2" s="87" t="s">
        <v>404</v>
      </c>
      <c r="W2" s="87" t="s">
        <v>398</v>
      </c>
      <c r="X2" s="86" t="s">
        <v>399</v>
      </c>
    </row>
    <row r="3" spans="1:24" x14ac:dyDescent="0.2">
      <c r="A3" s="84">
        <v>1</v>
      </c>
      <c r="B3" s="88">
        <f>MAX(MIN(战斗节奏!$C$3-INT(A3/'⚪设计'!$C$55),MOD(A3,'⚪设计'!$C$55)),0)*'⚪设计'!$C$79*防御塔!$C$2+MIN(INT(A3/'⚪设计'!$C$55),战斗节奏!$C$3)*'⚪设计'!$C$80*防御塔!$C$2</f>
        <v>900</v>
      </c>
      <c r="C3" s="7">
        <v>1</v>
      </c>
      <c r="D3" s="7">
        <v>10</v>
      </c>
      <c r="E3" s="71" t="str">
        <f>IF(VLOOKUP(A3,'⚪设计'!$A$202:$G$221,4,FALSE)="","",VLOOKUP(VLOOKUP(A3,'⚪设计'!$A$202:$G$221,4,FALSE),'⚪设计'!$B$85:$D$101,2,FALSE))</f>
        <v>ResUnit_MiFeng1</v>
      </c>
      <c r="F3" s="88">
        <f>IF(E3="",0,IF(G3=0,1,ROUND($D3/G3,0)))</f>
        <v>13</v>
      </c>
      <c r="G3" s="7">
        <v>0.75</v>
      </c>
      <c r="H3" s="88">
        <f>IF(E3="",0,ROUND(VLOOKUP($A3,'⚪设计'!$A$202:$B$221,2,FALSE)*$B3/SUM(IF($E3="",0,VLOOKUP($E3,'⚪设计'!$C$85:$E$101,3,FALSE))*$F3,IF($J3="",0,VLOOKUP($J3,'⚪设计'!$C$85:$E$101,3,FALSE))*$K3,IF($O3="",0,VLOOKUP($O3,'⚪设计'!$C$85:$E$101,3,FALSE))*$P3,IF($T3="",0,VLOOKUP($T3,'⚪设计'!$C$85:$E$101,3,FALSE))*$U3)*VLOOKUP(E3,'⚪设计'!$C$85:$E$101,3,FALSE),0))</f>
        <v>173</v>
      </c>
      <c r="I3" s="88">
        <f>ROUND(战斗节奏!$B$3/SUM(IF(无限模式!$E3="",0,VLOOKUP(无限模式!$E3,'⚪设计'!$C$85:$G$101,4,FALSE)*无限模式!$F3),IF(无限模式!$J3="",0,VLOOKUP(无限模式!$J3,'⚪设计'!$C$85:$G$101,4,FALSE)*无限模式!$K3),IF(无限模式!$O3="",0,VLOOKUP(无限模式!$O3,'⚪设计'!$C$85:$G$101,4,FALSE)*无限模式!$P3),IF(无限模式!$T3="",0,VLOOKUP(无限模式!$T3,'⚪设计'!$C$85:$G$101,4,FALSE)*无限模式!$U3))*IF(E3="",0,VLOOKUP(E3,'⚪设计'!$C$85:$G$101,4,FALSE)),0)</f>
        <v>46</v>
      </c>
      <c r="J3" s="88" t="str">
        <f>IF(VLOOKUP(A3,'⚪设计'!$A$202:$G$221,5,FALSE)="","",VLOOKUP(VLOOKUP(A3,'⚪设计'!$A$202:$G$221,5,FALSE),'⚪设计'!$B$85:$D$101,2,FALSE))</f>
        <v/>
      </c>
      <c r="K3" s="88">
        <f>IF(J3="",0,IF(L3=0,1,ROUND($D3/L3,0)))</f>
        <v>0</v>
      </c>
      <c r="L3" s="7"/>
      <c r="M3" s="88">
        <f>IF(J3="",0,ROUND(VLOOKUP($A3,'⚪设计'!$A$202:$B$221,2,FALSE)*$B3/SUM(IF($E3="",0,VLOOKUP($E3,'⚪设计'!$C$85:$E$101,3,FALSE))*$F3,IF($J3="",0,VLOOKUP($J3,'⚪设计'!$C$85:$E$101,3,FALSE))*$K3,IF($O3="",0,VLOOKUP($O3,'⚪设计'!$C$85:$E$101,3,FALSE))*$P3,IF($T3="",0,VLOOKUP($T3,'⚪设计'!$C$85:$E$101,3,FALSE))*$U3)*VLOOKUP(J3,'⚪设计'!$C$85:$E$101,3,FALSE),0))</f>
        <v>0</v>
      </c>
      <c r="N3" s="88">
        <f>ROUND(战斗节奏!$B$3/SUM(IF(无限模式!$E3="",0,VLOOKUP(无限模式!$E3,'⚪设计'!$C$85:$G$101,4,FALSE)*无限模式!$F3),IF(无限模式!$J3="",0,VLOOKUP(无限模式!$J3,'⚪设计'!$C$85:$G$101,4,FALSE)*无限模式!$K3),IF(无限模式!$O3="",0,VLOOKUP(无限模式!$O3,'⚪设计'!$C$85:$G$101,4,FALSE)*无限模式!$P3),IF(无限模式!$T3="",0,VLOOKUP(无限模式!$T3,'⚪设计'!$C$85:$G$101,4,FALSE)*无限模式!$U3))*IF(J3="",0,VLOOKUP(J3,'⚪设计'!$C$85:$G$101,4,FALSE)),0)</f>
        <v>0</v>
      </c>
      <c r="O3" s="71" t="str">
        <f>IF(VLOOKUP(A3,'⚪设计'!$A$202:$G$221,6,FALSE)="","",VLOOKUP(VLOOKUP(A3,'⚪设计'!$A$202:$G$221,6,FALSE),'⚪设计'!$B$85:$D$101,2,FALSE))</f>
        <v/>
      </c>
      <c r="P3" s="88">
        <f>IF(O3="",0,IF(Q3=0,1,ROUND($D3/Q3,0)))</f>
        <v>0</v>
      </c>
      <c r="Q3" s="7"/>
      <c r="R3" s="88">
        <f>IF(O3="",0,ROUND(VLOOKUP($A3,'⚪设计'!$A$202:$B$221,2,FALSE)*$B3/SUM(IF($E3="",0,VLOOKUP($E3,'⚪设计'!$C$85:$E$101,3,FALSE))*$F3,IF($J3="",0,VLOOKUP($J3,'⚪设计'!$C$85:$E$101,3,FALSE))*$K3,IF($O3="",0,VLOOKUP($O3,'⚪设计'!$C$85:$E$101,3,FALSE))*$P3,IF($T3="",0,VLOOKUP($T3,'⚪设计'!$C$85:$E$101,3,FALSE))*$U3)*VLOOKUP(O3,'⚪设计'!$C$85:$E$101,3,FALSE),0))</f>
        <v>0</v>
      </c>
      <c r="S3" s="88">
        <f>ROUND(战斗节奏!$B$3/SUM(IF(无限模式!$E3="",0,VLOOKUP(无限模式!$E3,'⚪设计'!$C$85:$G$101,4,FALSE)*无限模式!$F3),IF(无限模式!$J3="",0,VLOOKUP(无限模式!$J3,'⚪设计'!$C$85:$G$101,4,FALSE)*无限模式!$K3),IF(无限模式!$O3="",0,VLOOKUP(无限模式!$O3,'⚪设计'!$C$85:$G$101,4,FALSE)*无限模式!$P3),IF(无限模式!$T3="",0,VLOOKUP(无限模式!$T3,'⚪设计'!$C$85:$G$101,4,FALSE)*无限模式!$U3))*IF(O3="",0,VLOOKUP(O3,'⚪设计'!$C$85:$G$101,4,FALSE)),0)</f>
        <v>0</v>
      </c>
      <c r="T3" s="88" t="str">
        <f>IF(VLOOKUP(A3,'⚪设计'!$A$202:$G$221,7,FALSE)="","",VLOOKUP(VLOOKUP(A3,'⚪设计'!$A$202:$G$221,7,FALSE),'⚪设计'!$B$85:$D$101,2,FALSE))</f>
        <v/>
      </c>
      <c r="U3" s="88">
        <f>IF(T3="",0,IF(V3=0,1,ROUND($D3/V3,0)))</f>
        <v>0</v>
      </c>
      <c r="V3" s="7"/>
      <c r="W3" s="88">
        <f>IF(T3="",0,ROUND(VLOOKUP($A3,'⚪设计'!$A$202:$B$221,2,FALSE)*$B3/SUM(IF($E3="",0,VLOOKUP($E3,'⚪设计'!$C$85:$E$101,3,FALSE))*$F3,IF($J3="",0,VLOOKUP($J3,'⚪设计'!$C$85:$E$101,3,FALSE))*$K3,IF($O3="",0,VLOOKUP($O3,'⚪设计'!$C$85:$E$101,3,FALSE))*$P3,IF($T3="",0,VLOOKUP($T3,'⚪设计'!$C$85:$E$101,3,FALSE))*$U3)*VLOOKUP(T3,'⚪设计'!$C$85:$E$101,3,FALSE),0))</f>
        <v>0</v>
      </c>
      <c r="X3" s="88">
        <f>ROUND(战斗节奏!$B$3/SUM(IF(无限模式!$E3="",0,VLOOKUP(无限模式!$E3,'⚪设计'!$C$85:$G$101,4,FALSE)*无限模式!$F3),IF(无限模式!$J3="",0,VLOOKUP(无限模式!$J3,'⚪设计'!$C$85:$G$101,4,FALSE)*无限模式!$K3),IF(无限模式!$O3="",0,VLOOKUP(无限模式!$O3,'⚪设计'!$C$85:$G$101,4,FALSE)*无限模式!$P3),IF(无限模式!$T3="",0,VLOOKUP(无限模式!$T3,'⚪设计'!$C$85:$G$101,4,FALSE)*无限模式!$U3))*IF(T3="",0,VLOOKUP(T3,'⚪设计'!$C$85:$G$101,4,FALSE)),0)</f>
        <v>0</v>
      </c>
    </row>
    <row r="4" spans="1:24" x14ac:dyDescent="0.2">
      <c r="A4" s="84">
        <v>2</v>
      </c>
      <c r="B4" s="88">
        <f>MAX(MIN(战斗节奏!$C$3-INT(A4/'⚪设计'!$C$55),MOD(A4,'⚪设计'!$C$55)),0)*'⚪设计'!$C$79*防御塔!$C$2+MIN(INT(A4/'⚪设计'!$C$55),战斗节奏!$C$3)*'⚪设计'!$C$80*防御塔!$C$2</f>
        <v>1800</v>
      </c>
      <c r="C4" s="7">
        <v>1.05</v>
      </c>
      <c r="D4" s="7">
        <v>11</v>
      </c>
      <c r="E4" s="71" t="str">
        <f>IF(VLOOKUP(A4,'⚪设计'!$A$202:$G$221,4,FALSE)="","",VLOOKUP(VLOOKUP(A4,'⚪设计'!$A$202:$G$221,4,FALSE),'⚪设计'!$B$85:$D$101,2,FALSE))</f>
        <v>ResUnit_MiFeng1</v>
      </c>
      <c r="F4" s="88">
        <f t="shared" ref="F4:F22" si="0">IF(E4="",0,IF(G4=0,1,ROUND($D4/G4,0)))</f>
        <v>15</v>
      </c>
      <c r="G4" s="7">
        <v>0.75</v>
      </c>
      <c r="H4" s="88">
        <f>IF(E4="",0,ROUND(VLOOKUP($A4,'⚪设计'!$A$202:$B$221,2,FALSE)*$B4/SUM(IF($E4="",0,VLOOKUP($E4,'⚪设计'!$C$85:$E$101,3,FALSE))*$F4,IF($J4="",0,VLOOKUP($J4,'⚪设计'!$C$85:$E$101,3,FALSE))*$K4,IF($O4="",0,VLOOKUP($O4,'⚪设计'!$C$85:$E$101,3,FALSE))*$P4,IF($T4="",0,VLOOKUP($T4,'⚪设计'!$C$85:$E$101,3,FALSE))*$U4)*VLOOKUP(E4,'⚪设计'!$C$85:$E$101,3,FALSE),0))</f>
        <v>272</v>
      </c>
      <c r="I4" s="88">
        <f>ROUND(战斗节奏!$B$3/SUM(IF(无限模式!$E4="",0,VLOOKUP(无限模式!$E4,'⚪设计'!$C$85:$G$101,4,FALSE)*无限模式!$F4),IF(无限模式!$J4="",0,VLOOKUP(无限模式!$J4,'⚪设计'!$C$85:$G$101,4,FALSE)*无限模式!$K4),IF(无限模式!$O4="",0,VLOOKUP(无限模式!$O4,'⚪设计'!$C$85:$G$101,4,FALSE)*无限模式!$P4),IF(无限模式!$T4="",0,VLOOKUP(无限模式!$T4,'⚪设计'!$C$85:$G$101,4,FALSE)*无限模式!$U4))*IF(E4="",0,VLOOKUP(E4,'⚪设计'!$C$85:$G$101,4,FALSE)),0)</f>
        <v>14</v>
      </c>
      <c r="J4" s="88" t="str">
        <f>IF(VLOOKUP(A4,'⚪设计'!$A$202:$G$221,5,FALSE)="","",VLOOKUP(VLOOKUP(A4,'⚪设计'!$A$202:$G$221,5,FALSE),'⚪设计'!$B$85:$D$101,2,FALSE))</f>
        <v>ResUnit_MiFeng2</v>
      </c>
      <c r="K4" s="88">
        <f t="shared" ref="K4:K22" si="1">IF(J4="",0,IF(L4=0,1,ROUND($D4/L4,0)))</f>
        <v>7</v>
      </c>
      <c r="L4" s="7">
        <v>1.5</v>
      </c>
      <c r="M4" s="88">
        <f>IF(J4="",0,ROUND(VLOOKUP($A4,'⚪设计'!$A$202:$B$221,2,FALSE)*$B4/SUM(IF($E4="",0,VLOOKUP($E4,'⚪设计'!$C$85:$E$101,3,FALSE))*$F4,IF($J4="",0,VLOOKUP($J4,'⚪设计'!$C$85:$E$101,3,FALSE))*$K4,IF($O4="",0,VLOOKUP($O4,'⚪设计'!$C$85:$E$101,3,FALSE))*$P4,IF($T4="",0,VLOOKUP($T4,'⚪设计'!$C$85:$E$101,3,FALSE))*$U4)*VLOOKUP(J4,'⚪设计'!$C$85:$E$101,3,FALSE),0))</f>
        <v>1088</v>
      </c>
      <c r="N4" s="88">
        <f>ROUND(战斗节奏!$B$3/SUM(IF(无限模式!$E4="",0,VLOOKUP(无限模式!$E4,'⚪设计'!$C$85:$G$101,4,FALSE)*无限模式!$F4),IF(无限模式!$J4="",0,VLOOKUP(无限模式!$J4,'⚪设计'!$C$85:$G$101,4,FALSE)*无限模式!$K4),IF(无限模式!$O4="",0,VLOOKUP(无限模式!$O4,'⚪设计'!$C$85:$G$101,4,FALSE)*无限模式!$P4),IF(无限模式!$T4="",0,VLOOKUP(无限模式!$T4,'⚪设计'!$C$85:$G$101,4,FALSE)*无限模式!$U4))*IF(J4="",0,VLOOKUP(J4,'⚪设计'!$C$85:$G$101,4,FALSE)),0)</f>
        <v>56</v>
      </c>
      <c r="O4" s="71" t="str">
        <f>IF(VLOOKUP(A4,'⚪设计'!$A$202:$G$221,6,FALSE)="","",VLOOKUP(VLOOKUP(A4,'⚪设计'!$A$202:$G$221,6,FALSE),'⚪设计'!$B$85:$D$101,2,FALSE))</f>
        <v/>
      </c>
      <c r="P4" s="88">
        <f t="shared" ref="P4:P22" si="2">IF(O4="",0,IF(Q4=0,1,ROUND($D4/Q4,0)))</f>
        <v>0</v>
      </c>
      <c r="Q4" s="7"/>
      <c r="R4" s="88">
        <f>IF(O4="",0,ROUND(VLOOKUP($A4,'⚪设计'!$A$202:$B$221,2,FALSE)*$B4/SUM(IF($E4="",0,VLOOKUP($E4,'⚪设计'!$C$85:$E$101,3,FALSE))*$F4,IF($J4="",0,VLOOKUP($J4,'⚪设计'!$C$85:$E$101,3,FALSE))*$K4,IF($O4="",0,VLOOKUP($O4,'⚪设计'!$C$85:$E$101,3,FALSE))*$P4,IF($T4="",0,VLOOKUP($T4,'⚪设计'!$C$85:$E$101,3,FALSE))*$U4)*VLOOKUP(O4,'⚪设计'!$C$85:$E$101,3,FALSE),0))</f>
        <v>0</v>
      </c>
      <c r="S4" s="88">
        <f>ROUND(战斗节奏!$B$3/SUM(IF(无限模式!$E4="",0,VLOOKUP(无限模式!$E4,'⚪设计'!$C$85:$G$101,4,FALSE)*无限模式!$F4),IF(无限模式!$J4="",0,VLOOKUP(无限模式!$J4,'⚪设计'!$C$85:$G$101,4,FALSE)*无限模式!$K4),IF(无限模式!$O4="",0,VLOOKUP(无限模式!$O4,'⚪设计'!$C$85:$G$101,4,FALSE)*无限模式!$P4),IF(无限模式!$T4="",0,VLOOKUP(无限模式!$T4,'⚪设计'!$C$85:$G$101,4,FALSE)*无限模式!$U4))*IF(O4="",0,VLOOKUP(O4,'⚪设计'!$C$85:$G$101,4,FALSE)),0)</f>
        <v>0</v>
      </c>
      <c r="T4" s="88" t="str">
        <f>IF(VLOOKUP(A4,'⚪设计'!$A$202:$G$221,7,FALSE)="","",VLOOKUP(VLOOKUP(A4,'⚪设计'!$A$202:$G$221,7,FALSE),'⚪设计'!$B$85:$D$101,2,FALSE))</f>
        <v/>
      </c>
      <c r="U4" s="88">
        <f t="shared" ref="U4:U22" si="3">IF(T4="",0,IF(V4=0,1,ROUND($D4/V4,0)))</f>
        <v>0</v>
      </c>
      <c r="V4" s="7"/>
      <c r="W4" s="88">
        <f>IF(T4="",0,ROUND(VLOOKUP($A4,'⚪设计'!$A$202:$B$221,2,FALSE)*$B4/SUM(IF($E4="",0,VLOOKUP($E4,'⚪设计'!$C$85:$E$101,3,FALSE))*$F4,IF($J4="",0,VLOOKUP($J4,'⚪设计'!$C$85:$E$101,3,FALSE))*$K4,IF($O4="",0,VLOOKUP($O4,'⚪设计'!$C$85:$E$101,3,FALSE))*$P4,IF($T4="",0,VLOOKUP($T4,'⚪设计'!$C$85:$E$101,3,FALSE))*$U4)*VLOOKUP(T4,'⚪设计'!$C$85:$E$101,3,FALSE),0))</f>
        <v>0</v>
      </c>
      <c r="X4" s="88">
        <f>ROUND(战斗节奏!$B$3/SUM(IF(无限模式!$E4="",0,VLOOKUP(无限模式!$E4,'⚪设计'!$C$85:$G$101,4,FALSE)*无限模式!$F4),IF(无限模式!$J4="",0,VLOOKUP(无限模式!$J4,'⚪设计'!$C$85:$G$101,4,FALSE)*无限模式!$K4),IF(无限模式!$O4="",0,VLOOKUP(无限模式!$O4,'⚪设计'!$C$85:$G$101,4,FALSE)*无限模式!$P4),IF(无限模式!$T4="",0,VLOOKUP(无限模式!$T4,'⚪设计'!$C$85:$G$101,4,FALSE)*无限模式!$U4))*IF(T4="",0,VLOOKUP(T4,'⚪设计'!$C$85:$G$101,4,FALSE)),0)</f>
        <v>0</v>
      </c>
    </row>
    <row r="5" spans="1:24" x14ac:dyDescent="0.2">
      <c r="A5" s="84">
        <v>3</v>
      </c>
      <c r="B5" s="88">
        <f>MAX(MIN(战斗节奏!$C$3-INT(A5/'⚪设计'!$C$55),MOD(A5,'⚪设计'!$C$55)),0)*'⚪设计'!$C$79*防御塔!$C$2+MIN(INT(A5/'⚪设计'!$C$55),战斗节奏!$C$3)*'⚪设计'!$C$80*防御塔!$C$2</f>
        <v>3600</v>
      </c>
      <c r="C5" s="7">
        <v>1.1000000000000001</v>
      </c>
      <c r="D5" s="7">
        <v>12</v>
      </c>
      <c r="E5" s="71" t="str">
        <f>IF(VLOOKUP(A5,'⚪设计'!$A$202:$G$221,4,FALSE)="","",VLOOKUP(VLOOKUP(A5,'⚪设计'!$A$202:$G$221,4,FALSE),'⚪设计'!$B$85:$D$101,2,FALSE))</f>
        <v>ResUnit_MiFeng2</v>
      </c>
      <c r="F5" s="88">
        <f t="shared" si="0"/>
        <v>8</v>
      </c>
      <c r="G5" s="7">
        <v>1.5</v>
      </c>
      <c r="H5" s="88">
        <f>IF(E5="",0,ROUND(VLOOKUP($A5,'⚪设计'!$A$202:$B$221,2,FALSE)*$B5/SUM(IF($E5="",0,VLOOKUP($E5,'⚪设计'!$C$85:$E$101,3,FALSE))*$F5,IF($J5="",0,VLOOKUP($J5,'⚪设计'!$C$85:$E$101,3,FALSE))*$K5,IF($O5="",0,VLOOKUP($O5,'⚪设计'!$C$85:$E$101,3,FALSE))*$P5,IF($T5="",0,VLOOKUP($T5,'⚪设计'!$C$85:$E$101,3,FALSE))*$U5)*VLOOKUP(E5,'⚪设计'!$C$85:$E$101,3,FALSE),0))</f>
        <v>1643</v>
      </c>
      <c r="I5" s="88">
        <f>ROUND(战斗节奏!$B$3/SUM(IF(无限模式!$E5="",0,VLOOKUP(无限模式!$E5,'⚪设计'!$C$85:$G$101,4,FALSE)*无限模式!$F5),IF(无限模式!$J5="",0,VLOOKUP(无限模式!$J5,'⚪设计'!$C$85:$G$101,4,FALSE)*无限模式!$K5),IF(无限模式!$O5="",0,VLOOKUP(无限模式!$O5,'⚪设计'!$C$85:$G$101,4,FALSE)*无限模式!$P5),IF(无限模式!$T5="",0,VLOOKUP(无限模式!$T5,'⚪设计'!$C$85:$G$101,4,FALSE)*无限模式!$U5))*IF(E5="",0,VLOOKUP(E5,'⚪设计'!$C$85:$G$101,4,FALSE)),0)</f>
        <v>26</v>
      </c>
      <c r="J5" s="88" t="str">
        <f>IF(VLOOKUP(A5,'⚪设计'!$A$202:$G$221,5,FALSE)="","",VLOOKUP(VLOOKUP(A5,'⚪设计'!$A$202:$G$221,5,FALSE),'⚪设计'!$B$85:$D$101,2,FALSE))</f>
        <v>ResUnit_BianFu1</v>
      </c>
      <c r="K5" s="88">
        <f t="shared" si="1"/>
        <v>60</v>
      </c>
      <c r="L5" s="7">
        <v>0.2</v>
      </c>
      <c r="M5" s="88">
        <f>IF(J5="",0,ROUND(VLOOKUP($A5,'⚪设计'!$A$202:$B$221,2,FALSE)*$B5/SUM(IF($E5="",0,VLOOKUP($E5,'⚪设计'!$C$85:$E$101,3,FALSE))*$F5,IF($J5="",0,VLOOKUP($J5,'⚪设计'!$C$85:$E$101,3,FALSE))*$K5,IF($O5="",0,VLOOKUP($O5,'⚪设计'!$C$85:$E$101,3,FALSE))*$P5,IF($T5="",0,VLOOKUP($T5,'⚪设计'!$C$85:$E$101,3,FALSE))*$U5)*VLOOKUP(J5,'⚪设计'!$C$85:$E$101,3,FALSE),0))</f>
        <v>411</v>
      </c>
      <c r="N5" s="88">
        <f>ROUND(战斗节奏!$B$3/SUM(IF(无限模式!$E5="",0,VLOOKUP(无限模式!$E5,'⚪设计'!$C$85:$G$101,4,FALSE)*无限模式!$F5),IF(无限模式!$J5="",0,VLOOKUP(无限模式!$J5,'⚪设计'!$C$85:$G$101,4,FALSE)*无限模式!$K5),IF(无限模式!$O5="",0,VLOOKUP(无限模式!$O5,'⚪设计'!$C$85:$G$101,4,FALSE)*无限模式!$P5),IF(无限模式!$T5="",0,VLOOKUP(无限模式!$T5,'⚪设计'!$C$85:$G$101,4,FALSE)*无限模式!$U5))*IF(J5="",0,VLOOKUP(J5,'⚪设计'!$C$85:$G$101,4,FALSE)),0)</f>
        <v>7</v>
      </c>
      <c r="O5" s="71" t="str">
        <f>IF(VLOOKUP(A5,'⚪设计'!$A$202:$G$221,6,FALSE)="","",VLOOKUP(VLOOKUP(A5,'⚪设计'!$A$202:$G$221,6,FALSE),'⚪设计'!$B$85:$D$101,2,FALSE))</f>
        <v/>
      </c>
      <c r="P5" s="88">
        <f t="shared" si="2"/>
        <v>0</v>
      </c>
      <c r="Q5" s="7"/>
      <c r="R5" s="88">
        <f>IF(O5="",0,ROUND(VLOOKUP($A5,'⚪设计'!$A$202:$B$221,2,FALSE)*$B5/SUM(IF($E5="",0,VLOOKUP($E5,'⚪设计'!$C$85:$E$101,3,FALSE))*$F5,IF($J5="",0,VLOOKUP($J5,'⚪设计'!$C$85:$E$101,3,FALSE))*$K5,IF($O5="",0,VLOOKUP($O5,'⚪设计'!$C$85:$E$101,3,FALSE))*$P5,IF($T5="",0,VLOOKUP($T5,'⚪设计'!$C$85:$E$101,3,FALSE))*$U5)*VLOOKUP(O5,'⚪设计'!$C$85:$E$101,3,FALSE),0))</f>
        <v>0</v>
      </c>
      <c r="S5" s="88">
        <f>ROUND(战斗节奏!$B$3/SUM(IF(无限模式!$E5="",0,VLOOKUP(无限模式!$E5,'⚪设计'!$C$85:$G$101,4,FALSE)*无限模式!$F5),IF(无限模式!$J5="",0,VLOOKUP(无限模式!$J5,'⚪设计'!$C$85:$G$101,4,FALSE)*无限模式!$K5),IF(无限模式!$O5="",0,VLOOKUP(无限模式!$O5,'⚪设计'!$C$85:$G$101,4,FALSE)*无限模式!$P5),IF(无限模式!$T5="",0,VLOOKUP(无限模式!$T5,'⚪设计'!$C$85:$G$101,4,FALSE)*无限模式!$U5))*IF(O5="",0,VLOOKUP(O5,'⚪设计'!$C$85:$G$101,4,FALSE)),0)</f>
        <v>0</v>
      </c>
      <c r="T5" s="88" t="str">
        <f>IF(VLOOKUP(A5,'⚪设计'!$A$202:$G$221,7,FALSE)="","",VLOOKUP(VLOOKUP(A5,'⚪设计'!$A$202:$G$221,7,FALSE),'⚪设计'!$B$85:$D$101,2,FALSE))</f>
        <v/>
      </c>
      <c r="U5" s="88">
        <f t="shared" si="3"/>
        <v>0</v>
      </c>
      <c r="V5" s="7"/>
      <c r="W5" s="88">
        <f>IF(T5="",0,ROUND(VLOOKUP($A5,'⚪设计'!$A$202:$B$221,2,FALSE)*$B5/SUM(IF($E5="",0,VLOOKUP($E5,'⚪设计'!$C$85:$E$101,3,FALSE))*$F5,IF($J5="",0,VLOOKUP($J5,'⚪设计'!$C$85:$E$101,3,FALSE))*$K5,IF($O5="",0,VLOOKUP($O5,'⚪设计'!$C$85:$E$101,3,FALSE))*$P5,IF($T5="",0,VLOOKUP($T5,'⚪设计'!$C$85:$E$101,3,FALSE))*$U5)*VLOOKUP(T5,'⚪设计'!$C$85:$E$101,3,FALSE),0))</f>
        <v>0</v>
      </c>
      <c r="X5" s="88">
        <f>ROUND(战斗节奏!$B$3/SUM(IF(无限模式!$E5="",0,VLOOKUP(无限模式!$E5,'⚪设计'!$C$85:$G$101,4,FALSE)*无限模式!$F5),IF(无限模式!$J5="",0,VLOOKUP(无限模式!$J5,'⚪设计'!$C$85:$G$101,4,FALSE)*无限模式!$K5),IF(无限模式!$O5="",0,VLOOKUP(无限模式!$O5,'⚪设计'!$C$85:$G$101,4,FALSE)*无限模式!$P5),IF(无限模式!$T5="",0,VLOOKUP(无限模式!$T5,'⚪设计'!$C$85:$G$101,4,FALSE)*无限模式!$U5))*IF(T5="",0,VLOOKUP(T5,'⚪设计'!$C$85:$G$101,4,FALSE)),0)</f>
        <v>0</v>
      </c>
    </row>
    <row r="6" spans="1:24" x14ac:dyDescent="0.2">
      <c r="A6" s="84">
        <v>4</v>
      </c>
      <c r="B6" s="88">
        <f>MAX(MIN(战斗节奏!$C$3-INT(A6/'⚪设计'!$C$55),MOD(A6,'⚪设计'!$C$55)),0)*'⚪设计'!$C$79*防御塔!$C$2+MIN(INT(A6/'⚪设计'!$C$55),战斗节奏!$C$3)*'⚪设计'!$C$80*防御塔!$C$2</f>
        <v>4500</v>
      </c>
      <c r="C6" s="7">
        <v>1.1499999999999999</v>
      </c>
      <c r="D6" s="7">
        <v>13</v>
      </c>
      <c r="E6" s="71" t="str">
        <f>IF(VLOOKUP(A6,'⚪设计'!$A$202:$G$221,4,FALSE)="","",VLOOKUP(VLOOKUP(A6,'⚪设计'!$A$202:$G$221,4,FALSE),'⚪设计'!$B$85:$D$101,2,FALSE))</f>
        <v>ResUnit_MiFeng3</v>
      </c>
      <c r="F6" s="88">
        <f t="shared" si="0"/>
        <v>1</v>
      </c>
      <c r="G6" s="7">
        <v>0</v>
      </c>
      <c r="H6" s="88">
        <f>IF(E6="",0,ROUND(VLOOKUP($A6,'⚪设计'!$A$202:$B$221,2,FALSE)*$B6/SUM(IF($E6="",0,VLOOKUP($E6,'⚪设计'!$C$85:$E$101,3,FALSE))*$F6,IF($J6="",0,VLOOKUP($J6,'⚪设计'!$C$85:$E$101,3,FALSE))*$K6,IF($O6="",0,VLOOKUP($O6,'⚪设计'!$C$85:$E$101,3,FALSE))*$P6,IF($T6="",0,VLOOKUP($T6,'⚪设计'!$C$85:$E$101,3,FALSE))*$U6)*VLOOKUP(E6,'⚪设计'!$C$85:$E$101,3,FALSE),0))</f>
        <v>63310</v>
      </c>
      <c r="I6" s="88">
        <f>ROUND(战斗节奏!$B$3/SUM(IF(无限模式!$E6="",0,VLOOKUP(无限模式!$E6,'⚪设计'!$C$85:$G$101,4,FALSE)*无限模式!$F6),IF(无限模式!$J6="",0,VLOOKUP(无限模式!$J6,'⚪设计'!$C$85:$G$101,4,FALSE)*无限模式!$K6),IF(无限模式!$O6="",0,VLOOKUP(无限模式!$O6,'⚪设计'!$C$85:$G$101,4,FALSE)*无限模式!$P6),IF(无限模式!$T6="",0,VLOOKUP(无限模式!$T6,'⚪设计'!$C$85:$G$101,4,FALSE)*无限模式!$U6))*IF(E6="",0,VLOOKUP(E6,'⚪设计'!$C$85:$G$101,4,FALSE)),0)</f>
        <v>331</v>
      </c>
      <c r="J6" s="88" t="str">
        <f>IF(VLOOKUP(A6,'⚪设计'!$A$202:$G$221,5,FALSE)="","",VLOOKUP(VLOOKUP(A6,'⚪设计'!$A$202:$G$221,5,FALSE),'⚪设计'!$B$85:$D$101,2,FALSE))</f>
        <v>ResUnit_BianFu1</v>
      </c>
      <c r="K6" s="88">
        <f t="shared" si="1"/>
        <v>65</v>
      </c>
      <c r="L6" s="7">
        <v>0.2</v>
      </c>
      <c r="M6" s="88">
        <f>IF(J6="",0,ROUND(VLOOKUP($A6,'⚪设计'!$A$202:$B$221,2,FALSE)*$B6/SUM(IF($E6="",0,VLOOKUP($E6,'⚪设计'!$C$85:$E$101,3,FALSE))*$F6,IF($J6="",0,VLOOKUP($J6,'⚪设计'!$C$85:$E$101,3,FALSE))*$K6,IF($O6="",0,VLOOKUP($O6,'⚪设计'!$C$85:$E$101,3,FALSE))*$P6,IF($T6="",0,VLOOKUP($T6,'⚪设计'!$C$85:$E$101,3,FALSE))*$U6)*VLOOKUP(J6,'⚪设计'!$C$85:$E$101,3,FALSE),0))</f>
        <v>791</v>
      </c>
      <c r="N6" s="88">
        <f>ROUND(战斗节奏!$B$3/SUM(IF(无限模式!$E6="",0,VLOOKUP(无限模式!$E6,'⚪设计'!$C$85:$G$101,4,FALSE)*无限模式!$F6),IF(无限模式!$J6="",0,VLOOKUP(无限模式!$J6,'⚪设计'!$C$85:$G$101,4,FALSE)*无限模式!$K6),IF(无限模式!$O6="",0,VLOOKUP(无限模式!$O6,'⚪设计'!$C$85:$G$101,4,FALSE)*无限模式!$P6),IF(无限模式!$T6="",0,VLOOKUP(无限模式!$T6,'⚪设计'!$C$85:$G$101,4,FALSE)*无限模式!$U6))*IF(J6="",0,VLOOKUP(J6,'⚪设计'!$C$85:$G$101,4,FALSE)),0)</f>
        <v>4</v>
      </c>
      <c r="O6" s="71" t="str">
        <f>IF(VLOOKUP(A6,'⚪设计'!$A$202:$G$221,6,FALSE)="","",VLOOKUP(VLOOKUP(A6,'⚪设计'!$A$202:$G$221,6,FALSE),'⚪设计'!$B$85:$D$101,2,FALSE))</f>
        <v/>
      </c>
      <c r="P6" s="88">
        <f t="shared" si="2"/>
        <v>0</v>
      </c>
      <c r="Q6" s="7"/>
      <c r="R6" s="88">
        <f>IF(O6="",0,ROUND(VLOOKUP($A6,'⚪设计'!$A$202:$B$221,2,FALSE)*$B6/SUM(IF($E6="",0,VLOOKUP($E6,'⚪设计'!$C$85:$E$101,3,FALSE))*$F6,IF($J6="",0,VLOOKUP($J6,'⚪设计'!$C$85:$E$101,3,FALSE))*$K6,IF($O6="",0,VLOOKUP($O6,'⚪设计'!$C$85:$E$101,3,FALSE))*$P6,IF($T6="",0,VLOOKUP($T6,'⚪设计'!$C$85:$E$101,3,FALSE))*$U6)*VLOOKUP(O6,'⚪设计'!$C$85:$E$101,3,FALSE),0))</f>
        <v>0</v>
      </c>
      <c r="S6" s="88">
        <f>ROUND(战斗节奏!$B$3/SUM(IF(无限模式!$E6="",0,VLOOKUP(无限模式!$E6,'⚪设计'!$C$85:$G$101,4,FALSE)*无限模式!$F6),IF(无限模式!$J6="",0,VLOOKUP(无限模式!$J6,'⚪设计'!$C$85:$G$101,4,FALSE)*无限模式!$K6),IF(无限模式!$O6="",0,VLOOKUP(无限模式!$O6,'⚪设计'!$C$85:$G$101,4,FALSE)*无限模式!$P6),IF(无限模式!$T6="",0,VLOOKUP(无限模式!$T6,'⚪设计'!$C$85:$G$101,4,FALSE)*无限模式!$U6))*IF(O6="",0,VLOOKUP(O6,'⚪设计'!$C$85:$G$101,4,FALSE)),0)</f>
        <v>0</v>
      </c>
      <c r="T6" s="88" t="str">
        <f>IF(VLOOKUP(A6,'⚪设计'!$A$202:$G$221,7,FALSE)="","",VLOOKUP(VLOOKUP(A6,'⚪设计'!$A$202:$G$221,7,FALSE),'⚪设计'!$B$85:$D$101,2,FALSE))</f>
        <v/>
      </c>
      <c r="U6" s="88">
        <f t="shared" si="3"/>
        <v>0</v>
      </c>
      <c r="V6" s="7"/>
      <c r="W6" s="88">
        <f>IF(T6="",0,ROUND(VLOOKUP($A6,'⚪设计'!$A$202:$B$221,2,FALSE)*$B6/SUM(IF($E6="",0,VLOOKUP($E6,'⚪设计'!$C$85:$E$101,3,FALSE))*$F6,IF($J6="",0,VLOOKUP($J6,'⚪设计'!$C$85:$E$101,3,FALSE))*$K6,IF($O6="",0,VLOOKUP($O6,'⚪设计'!$C$85:$E$101,3,FALSE))*$P6,IF($T6="",0,VLOOKUP($T6,'⚪设计'!$C$85:$E$101,3,FALSE))*$U6)*VLOOKUP(T6,'⚪设计'!$C$85:$E$101,3,FALSE),0))</f>
        <v>0</v>
      </c>
      <c r="X6" s="88">
        <f>ROUND(战斗节奏!$B$3/SUM(IF(无限模式!$E6="",0,VLOOKUP(无限模式!$E6,'⚪设计'!$C$85:$G$101,4,FALSE)*无限模式!$F6),IF(无限模式!$J6="",0,VLOOKUP(无限模式!$J6,'⚪设计'!$C$85:$G$101,4,FALSE)*无限模式!$K6),IF(无限模式!$O6="",0,VLOOKUP(无限模式!$O6,'⚪设计'!$C$85:$G$101,4,FALSE)*无限模式!$P6),IF(无限模式!$T6="",0,VLOOKUP(无限模式!$T6,'⚪设计'!$C$85:$G$101,4,FALSE)*无限模式!$U6))*IF(T6="",0,VLOOKUP(T6,'⚪设计'!$C$85:$G$101,4,FALSE)),0)</f>
        <v>0</v>
      </c>
    </row>
    <row r="7" spans="1:24" x14ac:dyDescent="0.2">
      <c r="A7" s="84">
        <v>5</v>
      </c>
      <c r="B7" s="88">
        <f>MAX(MIN(战斗节奏!$C$3-INT(A7/'⚪设计'!$C$55),MOD(A7,'⚪设计'!$C$55)),0)*'⚪设计'!$C$79*防御塔!$C$2+MIN(INT(A7/'⚪设计'!$C$55),战斗节奏!$C$3)*'⚪设计'!$C$80*防御塔!$C$2</f>
        <v>5400</v>
      </c>
      <c r="C7" s="7">
        <v>1.2</v>
      </c>
      <c r="D7" s="7">
        <v>14</v>
      </c>
      <c r="E7" s="71" t="str">
        <f>IF(VLOOKUP(A7,'⚪设计'!$A$202:$G$221,4,FALSE)="","",VLOOKUP(VLOOKUP(A7,'⚪设计'!$A$202:$G$221,4,FALSE),'⚪设计'!$B$85:$D$101,2,FALSE))</f>
        <v>ResUnit_MiFeng2</v>
      </c>
      <c r="F7" s="88">
        <f t="shared" si="0"/>
        <v>19</v>
      </c>
      <c r="G7" s="7">
        <v>0.75</v>
      </c>
      <c r="H7" s="88">
        <f>IF(E7="",0,ROUND(VLOOKUP($A7,'⚪设计'!$A$202:$B$221,2,FALSE)*$B7/SUM(IF($E7="",0,VLOOKUP($E7,'⚪设计'!$C$85:$E$101,3,FALSE))*$F7,IF($J7="",0,VLOOKUP($J7,'⚪设计'!$C$85:$E$101,3,FALSE))*$K7,IF($O7="",0,VLOOKUP($O7,'⚪设计'!$C$85:$E$101,3,FALSE))*$P7,IF($T7="",0,VLOOKUP($T7,'⚪设计'!$C$85:$E$101,3,FALSE))*$U7)*VLOOKUP(E7,'⚪设计'!$C$85:$E$101,3,FALSE),0))</f>
        <v>3767</v>
      </c>
      <c r="I7" s="88">
        <f>ROUND(战斗节奏!$B$3/SUM(IF(无限模式!$E7="",0,VLOOKUP(无限模式!$E7,'⚪设计'!$C$85:$G$101,4,FALSE)*无限模式!$F7),IF(无限模式!$J7="",0,VLOOKUP(无限模式!$J7,'⚪设计'!$C$85:$G$101,4,FALSE)*无限模式!$K7),IF(无限模式!$O7="",0,VLOOKUP(无限模式!$O7,'⚪设计'!$C$85:$G$101,4,FALSE)*无限模式!$P7),IF(无限模式!$T7="",0,VLOOKUP(无限模式!$T7,'⚪设计'!$C$85:$G$101,4,FALSE)*无限模式!$U7))*IF(E7="",0,VLOOKUP(E7,'⚪设计'!$C$85:$G$101,4,FALSE)),0)</f>
        <v>28</v>
      </c>
      <c r="J7" s="88" t="str">
        <f>IF(VLOOKUP(A7,'⚪设计'!$A$202:$G$221,5,FALSE)="","",VLOOKUP(VLOOKUP(A7,'⚪设计'!$A$202:$G$221,5,FALSE),'⚪设计'!$B$85:$D$101,2,FALSE))</f>
        <v>ResUnit_ZhiZhu1</v>
      </c>
      <c r="K7" s="88">
        <f t="shared" si="1"/>
        <v>5</v>
      </c>
      <c r="L7" s="7">
        <v>3</v>
      </c>
      <c r="M7" s="88">
        <f>IF(J7="",0,ROUND(VLOOKUP($A7,'⚪设计'!$A$202:$B$221,2,FALSE)*$B7/SUM(IF($E7="",0,VLOOKUP($E7,'⚪设计'!$C$85:$E$101,3,FALSE))*$F7,IF($J7="",0,VLOOKUP($J7,'⚪设计'!$C$85:$E$101,3,FALSE))*$K7,IF($O7="",0,VLOOKUP($O7,'⚪设计'!$C$85:$E$101,3,FALSE))*$P7,IF($T7="",0,VLOOKUP($T7,'⚪设计'!$C$85:$E$101,3,FALSE))*$U7)*VLOOKUP(J7,'⚪设计'!$C$85:$E$101,3,FALSE),0))</f>
        <v>1884</v>
      </c>
      <c r="N7" s="88">
        <f>ROUND(战斗节奏!$B$3/SUM(IF(无限模式!$E7="",0,VLOOKUP(无限模式!$E7,'⚪设计'!$C$85:$G$101,4,FALSE)*无限模式!$F7),IF(无限模式!$J7="",0,VLOOKUP(无限模式!$J7,'⚪设计'!$C$85:$G$101,4,FALSE)*无限模式!$K7),IF(无限模式!$O7="",0,VLOOKUP(无限模式!$O7,'⚪设计'!$C$85:$G$101,4,FALSE)*无限模式!$P7),IF(无限模式!$T7="",0,VLOOKUP(无限模式!$T7,'⚪设计'!$C$85:$G$101,4,FALSE)*无限模式!$U7))*IF(J7="",0,VLOOKUP(J7,'⚪设计'!$C$85:$G$101,4,FALSE)),0)</f>
        <v>14</v>
      </c>
      <c r="O7" s="71" t="str">
        <f>IF(VLOOKUP(A7,'⚪设计'!$A$202:$G$221,6,FALSE)="","",VLOOKUP(VLOOKUP(A7,'⚪设计'!$A$202:$G$221,6,FALSE),'⚪设计'!$B$85:$D$101,2,FALSE))</f>
        <v/>
      </c>
      <c r="P7" s="88">
        <f t="shared" si="2"/>
        <v>0</v>
      </c>
      <c r="Q7" s="7"/>
      <c r="R7" s="88">
        <f>IF(O7="",0,ROUND(VLOOKUP($A7,'⚪设计'!$A$202:$B$221,2,FALSE)*$B7/SUM(IF($E7="",0,VLOOKUP($E7,'⚪设计'!$C$85:$E$101,3,FALSE))*$F7,IF($J7="",0,VLOOKUP($J7,'⚪设计'!$C$85:$E$101,3,FALSE))*$K7,IF($O7="",0,VLOOKUP($O7,'⚪设计'!$C$85:$E$101,3,FALSE))*$P7,IF($T7="",0,VLOOKUP($T7,'⚪设计'!$C$85:$E$101,3,FALSE))*$U7)*VLOOKUP(O7,'⚪设计'!$C$85:$E$101,3,FALSE),0))</f>
        <v>0</v>
      </c>
      <c r="S7" s="88">
        <f>ROUND(战斗节奏!$B$3/SUM(IF(无限模式!$E7="",0,VLOOKUP(无限模式!$E7,'⚪设计'!$C$85:$G$101,4,FALSE)*无限模式!$F7),IF(无限模式!$J7="",0,VLOOKUP(无限模式!$J7,'⚪设计'!$C$85:$G$101,4,FALSE)*无限模式!$K7),IF(无限模式!$O7="",0,VLOOKUP(无限模式!$O7,'⚪设计'!$C$85:$G$101,4,FALSE)*无限模式!$P7),IF(无限模式!$T7="",0,VLOOKUP(无限模式!$T7,'⚪设计'!$C$85:$G$101,4,FALSE)*无限模式!$U7))*IF(O7="",0,VLOOKUP(O7,'⚪设计'!$C$85:$G$101,4,FALSE)),0)</f>
        <v>0</v>
      </c>
      <c r="T7" s="88" t="str">
        <f>IF(VLOOKUP(A7,'⚪设计'!$A$202:$G$221,7,FALSE)="","",VLOOKUP(VLOOKUP(A7,'⚪设计'!$A$202:$G$221,7,FALSE),'⚪设计'!$B$85:$D$101,2,FALSE))</f>
        <v/>
      </c>
      <c r="U7" s="88">
        <f t="shared" si="3"/>
        <v>0</v>
      </c>
      <c r="V7" s="7"/>
      <c r="W7" s="88">
        <f>IF(T7="",0,ROUND(VLOOKUP($A7,'⚪设计'!$A$202:$B$221,2,FALSE)*$B7/SUM(IF($E7="",0,VLOOKUP($E7,'⚪设计'!$C$85:$E$101,3,FALSE))*$F7,IF($J7="",0,VLOOKUP($J7,'⚪设计'!$C$85:$E$101,3,FALSE))*$K7,IF($O7="",0,VLOOKUP($O7,'⚪设计'!$C$85:$E$101,3,FALSE))*$P7,IF($T7="",0,VLOOKUP($T7,'⚪设计'!$C$85:$E$101,3,FALSE))*$U7)*VLOOKUP(T7,'⚪设计'!$C$85:$E$101,3,FALSE),0))</f>
        <v>0</v>
      </c>
      <c r="X7" s="88">
        <f>ROUND(战斗节奏!$B$3/SUM(IF(无限模式!$E7="",0,VLOOKUP(无限模式!$E7,'⚪设计'!$C$85:$G$101,4,FALSE)*无限模式!$F7),IF(无限模式!$J7="",0,VLOOKUP(无限模式!$J7,'⚪设计'!$C$85:$G$101,4,FALSE)*无限模式!$K7),IF(无限模式!$O7="",0,VLOOKUP(无限模式!$O7,'⚪设计'!$C$85:$G$101,4,FALSE)*无限模式!$P7),IF(无限模式!$T7="",0,VLOOKUP(无限模式!$T7,'⚪设计'!$C$85:$G$101,4,FALSE)*无限模式!$U7))*IF(T7="",0,VLOOKUP(T7,'⚪设计'!$C$85:$G$101,4,FALSE)),0)</f>
        <v>0</v>
      </c>
    </row>
    <row r="8" spans="1:24" x14ac:dyDescent="0.2">
      <c r="A8" s="84">
        <v>6</v>
      </c>
      <c r="B8" s="88">
        <f>MAX(MIN(战斗节奏!$C$3-INT(A8/'⚪设计'!$C$55),MOD(A8,'⚪设计'!$C$55)),0)*'⚪设计'!$C$79*防御塔!$C$2+MIN(INT(A8/'⚪设计'!$C$55),战斗节奏!$C$3)*'⚪设计'!$C$80*防御塔!$C$2</f>
        <v>7200</v>
      </c>
      <c r="C8" s="7">
        <v>1.25</v>
      </c>
      <c r="D8" s="7">
        <v>15</v>
      </c>
      <c r="E8" s="71" t="str">
        <f>IF(VLOOKUP(A8,'⚪设计'!$A$202:$G$221,4,FALSE)="","",VLOOKUP(VLOOKUP(A8,'⚪设计'!$A$202:$G$221,4,FALSE),'⚪设计'!$B$85:$D$101,2,FALSE))</f>
        <v>ResUnit_MiFeng2</v>
      </c>
      <c r="F8" s="88">
        <f t="shared" si="0"/>
        <v>20</v>
      </c>
      <c r="G8" s="7">
        <v>0.75</v>
      </c>
      <c r="H8" s="88">
        <f>IF(E8="",0,ROUND(VLOOKUP($A8,'⚪设计'!$A$202:$B$221,2,FALSE)*$B8/SUM(IF($E8="",0,VLOOKUP($E8,'⚪设计'!$C$85:$E$101,3,FALSE))*$F8,IF($J8="",0,VLOOKUP($J8,'⚪设计'!$C$85:$E$101,3,FALSE))*$K8,IF($O8="",0,VLOOKUP($O8,'⚪设计'!$C$85:$E$101,3,FALSE))*$P8,IF($T8="",0,VLOOKUP($T8,'⚪设计'!$C$85:$E$101,3,FALSE))*$U8)*VLOOKUP(E8,'⚪设计'!$C$85:$E$101,3,FALSE),0))</f>
        <v>4200</v>
      </c>
      <c r="I8" s="88">
        <f>ROUND(战斗节奏!$B$3/SUM(IF(无限模式!$E8="",0,VLOOKUP(无限模式!$E8,'⚪设计'!$C$85:$G$101,4,FALSE)*无限模式!$F8),IF(无限模式!$J8="",0,VLOOKUP(无限模式!$J8,'⚪设计'!$C$85:$G$101,4,FALSE)*无限模式!$K8),IF(无限模式!$O8="",0,VLOOKUP(无限模式!$O8,'⚪设计'!$C$85:$G$101,4,FALSE)*无限模式!$P8),IF(无限模式!$T8="",0,VLOOKUP(无限模式!$T8,'⚪设计'!$C$85:$G$101,4,FALSE)*无限模式!$U8))*IF(E8="",0,VLOOKUP(E8,'⚪设计'!$C$85:$G$101,4,FALSE)),0)</f>
        <v>20</v>
      </c>
      <c r="J8" s="88" t="str">
        <f>IF(VLOOKUP(A8,'⚪设计'!$A$202:$G$221,5,FALSE)="","",VLOOKUP(VLOOKUP(A8,'⚪设计'!$A$202:$G$221,5,FALSE),'⚪设计'!$B$85:$D$101,2,FALSE))</f>
        <v>ResUnit_ZhiZhu1</v>
      </c>
      <c r="K8" s="88">
        <f t="shared" si="1"/>
        <v>20</v>
      </c>
      <c r="L8" s="7">
        <v>0.75</v>
      </c>
      <c r="M8" s="88">
        <f>IF(J8="",0,ROUND(VLOOKUP($A8,'⚪设计'!$A$202:$B$221,2,FALSE)*$B8/SUM(IF($E8="",0,VLOOKUP($E8,'⚪设计'!$C$85:$E$101,3,FALSE))*$F8,IF($J8="",0,VLOOKUP($J8,'⚪设计'!$C$85:$E$101,3,FALSE))*$K8,IF($O8="",0,VLOOKUP($O8,'⚪设计'!$C$85:$E$101,3,FALSE))*$P8,IF($T8="",0,VLOOKUP($T8,'⚪设计'!$C$85:$E$101,3,FALSE))*$U8)*VLOOKUP(J8,'⚪设计'!$C$85:$E$101,3,FALSE),0))</f>
        <v>2100</v>
      </c>
      <c r="N8" s="88">
        <f>ROUND(战斗节奏!$B$3/SUM(IF(无限模式!$E8="",0,VLOOKUP(无限模式!$E8,'⚪设计'!$C$85:$G$101,4,FALSE)*无限模式!$F8),IF(无限模式!$J8="",0,VLOOKUP(无限模式!$J8,'⚪设计'!$C$85:$G$101,4,FALSE)*无限模式!$K8),IF(无限模式!$O8="",0,VLOOKUP(无限模式!$O8,'⚪设计'!$C$85:$G$101,4,FALSE)*无限模式!$P8),IF(无限模式!$T8="",0,VLOOKUP(无限模式!$T8,'⚪设计'!$C$85:$G$101,4,FALSE)*无限模式!$U8))*IF(J8="",0,VLOOKUP(J8,'⚪设计'!$C$85:$G$101,4,FALSE)),0)</f>
        <v>10</v>
      </c>
      <c r="O8" s="71" t="str">
        <f>IF(VLOOKUP(A8,'⚪设计'!$A$202:$G$221,6,FALSE)="","",VLOOKUP(VLOOKUP(A8,'⚪设计'!$A$202:$G$221,6,FALSE),'⚪设计'!$B$85:$D$101,2,FALSE))</f>
        <v/>
      </c>
      <c r="P8" s="88">
        <f t="shared" si="2"/>
        <v>0</v>
      </c>
      <c r="Q8" s="7"/>
      <c r="R8" s="88">
        <f>IF(O8="",0,ROUND(VLOOKUP($A8,'⚪设计'!$A$202:$B$221,2,FALSE)*$B8/SUM(IF($E8="",0,VLOOKUP($E8,'⚪设计'!$C$85:$E$101,3,FALSE))*$F8,IF($J8="",0,VLOOKUP($J8,'⚪设计'!$C$85:$E$101,3,FALSE))*$K8,IF($O8="",0,VLOOKUP($O8,'⚪设计'!$C$85:$E$101,3,FALSE))*$P8,IF($T8="",0,VLOOKUP($T8,'⚪设计'!$C$85:$E$101,3,FALSE))*$U8)*VLOOKUP(O8,'⚪设计'!$C$85:$E$101,3,FALSE),0))</f>
        <v>0</v>
      </c>
      <c r="S8" s="88">
        <f>ROUND(战斗节奏!$B$3/SUM(IF(无限模式!$E8="",0,VLOOKUP(无限模式!$E8,'⚪设计'!$C$85:$G$101,4,FALSE)*无限模式!$F8),IF(无限模式!$J8="",0,VLOOKUP(无限模式!$J8,'⚪设计'!$C$85:$G$101,4,FALSE)*无限模式!$K8),IF(无限模式!$O8="",0,VLOOKUP(无限模式!$O8,'⚪设计'!$C$85:$G$101,4,FALSE)*无限模式!$P8),IF(无限模式!$T8="",0,VLOOKUP(无限模式!$T8,'⚪设计'!$C$85:$G$101,4,FALSE)*无限模式!$U8))*IF(O8="",0,VLOOKUP(O8,'⚪设计'!$C$85:$G$101,4,FALSE)),0)</f>
        <v>0</v>
      </c>
      <c r="T8" s="88" t="str">
        <f>IF(VLOOKUP(A8,'⚪设计'!$A$202:$G$221,7,FALSE)="","",VLOOKUP(VLOOKUP(A8,'⚪设计'!$A$202:$G$221,7,FALSE),'⚪设计'!$B$85:$D$101,2,FALSE))</f>
        <v/>
      </c>
      <c r="U8" s="88">
        <f t="shared" si="3"/>
        <v>0</v>
      </c>
      <c r="V8" s="7"/>
      <c r="W8" s="88">
        <f>IF(T8="",0,ROUND(VLOOKUP($A8,'⚪设计'!$A$202:$B$221,2,FALSE)*$B8/SUM(IF($E8="",0,VLOOKUP($E8,'⚪设计'!$C$85:$E$101,3,FALSE))*$F8,IF($J8="",0,VLOOKUP($J8,'⚪设计'!$C$85:$E$101,3,FALSE))*$K8,IF($O8="",0,VLOOKUP($O8,'⚪设计'!$C$85:$E$101,3,FALSE))*$P8,IF($T8="",0,VLOOKUP($T8,'⚪设计'!$C$85:$E$101,3,FALSE))*$U8)*VLOOKUP(T8,'⚪设计'!$C$85:$E$101,3,FALSE),0))</f>
        <v>0</v>
      </c>
      <c r="X8" s="88">
        <f>ROUND(战斗节奏!$B$3/SUM(IF(无限模式!$E8="",0,VLOOKUP(无限模式!$E8,'⚪设计'!$C$85:$G$101,4,FALSE)*无限模式!$F8),IF(无限模式!$J8="",0,VLOOKUP(无限模式!$J8,'⚪设计'!$C$85:$G$101,4,FALSE)*无限模式!$K8),IF(无限模式!$O8="",0,VLOOKUP(无限模式!$O8,'⚪设计'!$C$85:$G$101,4,FALSE)*无限模式!$P8),IF(无限模式!$T8="",0,VLOOKUP(无限模式!$T8,'⚪设计'!$C$85:$G$101,4,FALSE)*无限模式!$U8))*IF(T8="",0,VLOOKUP(T8,'⚪设计'!$C$85:$G$101,4,FALSE)),0)</f>
        <v>0</v>
      </c>
    </row>
    <row r="9" spans="1:24" x14ac:dyDescent="0.2">
      <c r="A9" s="84">
        <v>7</v>
      </c>
      <c r="B9" s="88">
        <f>MAX(MIN(战斗节奏!$C$3-INT(A9/'⚪设计'!$C$55),MOD(A9,'⚪设计'!$C$55)),0)*'⚪设计'!$C$79*防御塔!$C$2+MIN(INT(A9/'⚪设计'!$C$55),战斗节奏!$C$3)*'⚪设计'!$C$80*防御塔!$C$2</f>
        <v>8100</v>
      </c>
      <c r="C9" s="7">
        <v>1.3</v>
      </c>
      <c r="D9" s="7">
        <v>16</v>
      </c>
      <c r="E9" s="71" t="str">
        <f>IF(VLOOKUP(A9,'⚪设计'!$A$202:$G$221,4,FALSE)="","",VLOOKUP(VLOOKUP(A9,'⚪设计'!$A$202:$G$221,4,FALSE),'⚪设计'!$B$85:$D$101,2,FALSE))</f>
        <v>ResUnit_MiFeng1</v>
      </c>
      <c r="F9" s="88">
        <f t="shared" si="0"/>
        <v>80</v>
      </c>
      <c r="G9" s="7">
        <v>0.2</v>
      </c>
      <c r="H9" s="88">
        <f>IF(E9="",0,ROUND(VLOOKUP($A9,'⚪设计'!$A$202:$B$221,2,FALSE)*$B9/SUM(IF($E9="",0,VLOOKUP($E9,'⚪设计'!$C$85:$E$101,3,FALSE))*$F9,IF($J9="",0,VLOOKUP($J9,'⚪设计'!$C$85:$E$101,3,FALSE))*$K9,IF($O9="",0,VLOOKUP($O9,'⚪设计'!$C$85:$E$101,3,FALSE))*$P9,IF($T9="",0,VLOOKUP($T9,'⚪设计'!$C$85:$E$101,3,FALSE))*$U9)*VLOOKUP(E9,'⚪设计'!$C$85:$E$101,3,FALSE),0))</f>
        <v>1328</v>
      </c>
      <c r="I9" s="88">
        <f>ROUND(战斗节奏!$B$3/SUM(IF(无限模式!$E9="",0,VLOOKUP(无限模式!$E9,'⚪设计'!$C$85:$G$101,4,FALSE)*无限模式!$F9),IF(无限模式!$J9="",0,VLOOKUP(无限模式!$J9,'⚪设计'!$C$85:$G$101,4,FALSE)*无限模式!$K9),IF(无限模式!$O9="",0,VLOOKUP(无限模式!$O9,'⚪设计'!$C$85:$G$101,4,FALSE)*无限模式!$P9),IF(无限模式!$T9="",0,VLOOKUP(无限模式!$T9,'⚪设计'!$C$85:$G$101,4,FALSE)*无限模式!$U9))*IF(E9="",0,VLOOKUP(E9,'⚪设计'!$C$85:$G$101,4,FALSE)),0)</f>
        <v>5</v>
      </c>
      <c r="J9" s="88" t="str">
        <f>IF(VLOOKUP(A9,'⚪设计'!$A$202:$G$221,5,FALSE)="","",VLOOKUP(VLOOKUP(A9,'⚪设计'!$A$202:$G$221,5,FALSE),'⚪设计'!$B$85:$D$101,2,FALSE))</f>
        <v>ResUnit_ZhiZhu1</v>
      </c>
      <c r="K9" s="88">
        <f t="shared" si="1"/>
        <v>21</v>
      </c>
      <c r="L9" s="7">
        <v>0.75</v>
      </c>
      <c r="M9" s="88">
        <f>IF(J9="",0,ROUND(VLOOKUP($A9,'⚪设计'!$A$202:$B$221,2,FALSE)*$B9/SUM(IF($E9="",0,VLOOKUP($E9,'⚪设计'!$C$85:$E$101,3,FALSE))*$F9,IF($J9="",0,VLOOKUP($J9,'⚪设计'!$C$85:$E$101,3,FALSE))*$K9,IF($O9="",0,VLOOKUP($O9,'⚪设计'!$C$85:$E$101,3,FALSE))*$P9,IF($T9="",0,VLOOKUP($T9,'⚪设计'!$C$85:$E$101,3,FALSE))*$U9)*VLOOKUP(J9,'⚪设计'!$C$85:$E$101,3,FALSE),0))</f>
        <v>2656</v>
      </c>
      <c r="N9" s="88">
        <f>ROUND(战斗节奏!$B$3/SUM(IF(无限模式!$E9="",0,VLOOKUP(无限模式!$E9,'⚪设计'!$C$85:$G$101,4,FALSE)*无限模式!$F9),IF(无限模式!$J9="",0,VLOOKUP(无限模式!$J9,'⚪设计'!$C$85:$G$101,4,FALSE)*无限模式!$K9),IF(无限模式!$O9="",0,VLOOKUP(无限模式!$O9,'⚪设计'!$C$85:$G$101,4,FALSE)*无限模式!$P9),IF(无限模式!$T9="",0,VLOOKUP(无限模式!$T9,'⚪设计'!$C$85:$G$101,4,FALSE)*无限模式!$U9))*IF(J9="",0,VLOOKUP(J9,'⚪设计'!$C$85:$G$101,4,FALSE)),0)</f>
        <v>10</v>
      </c>
      <c r="O9" s="71" t="str">
        <f>IF(VLOOKUP(A9,'⚪设计'!$A$202:$G$221,6,FALSE)="","",VLOOKUP(VLOOKUP(A9,'⚪设计'!$A$202:$G$221,6,FALSE),'⚪设计'!$B$85:$D$101,2,FALSE))</f>
        <v/>
      </c>
      <c r="P9" s="88">
        <f t="shared" si="2"/>
        <v>0</v>
      </c>
      <c r="Q9" s="7"/>
      <c r="R9" s="88">
        <f>IF(O9="",0,ROUND(VLOOKUP($A9,'⚪设计'!$A$202:$B$221,2,FALSE)*$B9/SUM(IF($E9="",0,VLOOKUP($E9,'⚪设计'!$C$85:$E$101,3,FALSE))*$F9,IF($J9="",0,VLOOKUP($J9,'⚪设计'!$C$85:$E$101,3,FALSE))*$K9,IF($O9="",0,VLOOKUP($O9,'⚪设计'!$C$85:$E$101,3,FALSE))*$P9,IF($T9="",0,VLOOKUP($T9,'⚪设计'!$C$85:$E$101,3,FALSE))*$U9)*VLOOKUP(O9,'⚪设计'!$C$85:$E$101,3,FALSE),0))</f>
        <v>0</v>
      </c>
      <c r="S9" s="88">
        <f>ROUND(战斗节奏!$B$3/SUM(IF(无限模式!$E9="",0,VLOOKUP(无限模式!$E9,'⚪设计'!$C$85:$G$101,4,FALSE)*无限模式!$F9),IF(无限模式!$J9="",0,VLOOKUP(无限模式!$J9,'⚪设计'!$C$85:$G$101,4,FALSE)*无限模式!$K9),IF(无限模式!$O9="",0,VLOOKUP(无限模式!$O9,'⚪设计'!$C$85:$G$101,4,FALSE)*无限模式!$P9),IF(无限模式!$T9="",0,VLOOKUP(无限模式!$T9,'⚪设计'!$C$85:$G$101,4,FALSE)*无限模式!$U9))*IF(O9="",0,VLOOKUP(O9,'⚪设计'!$C$85:$G$101,4,FALSE)),0)</f>
        <v>0</v>
      </c>
      <c r="T9" s="88" t="str">
        <f>IF(VLOOKUP(A9,'⚪设计'!$A$202:$G$221,7,FALSE)="","",VLOOKUP(VLOOKUP(A9,'⚪设计'!$A$202:$G$221,7,FALSE),'⚪设计'!$B$85:$D$101,2,FALSE))</f>
        <v/>
      </c>
      <c r="U9" s="88">
        <f t="shared" si="3"/>
        <v>0</v>
      </c>
      <c r="V9" s="7"/>
      <c r="W9" s="88">
        <f>IF(T9="",0,ROUND(VLOOKUP($A9,'⚪设计'!$A$202:$B$221,2,FALSE)*$B9/SUM(IF($E9="",0,VLOOKUP($E9,'⚪设计'!$C$85:$E$101,3,FALSE))*$F9,IF($J9="",0,VLOOKUP($J9,'⚪设计'!$C$85:$E$101,3,FALSE))*$K9,IF($O9="",0,VLOOKUP($O9,'⚪设计'!$C$85:$E$101,3,FALSE))*$P9,IF($T9="",0,VLOOKUP($T9,'⚪设计'!$C$85:$E$101,3,FALSE))*$U9)*VLOOKUP(T9,'⚪设计'!$C$85:$E$101,3,FALSE),0))</f>
        <v>0</v>
      </c>
      <c r="X9" s="88">
        <f>ROUND(战斗节奏!$B$3/SUM(IF(无限模式!$E9="",0,VLOOKUP(无限模式!$E9,'⚪设计'!$C$85:$G$101,4,FALSE)*无限模式!$F9),IF(无限模式!$J9="",0,VLOOKUP(无限模式!$J9,'⚪设计'!$C$85:$G$101,4,FALSE)*无限模式!$K9),IF(无限模式!$O9="",0,VLOOKUP(无限模式!$O9,'⚪设计'!$C$85:$G$101,4,FALSE)*无限模式!$P9),IF(无限模式!$T9="",0,VLOOKUP(无限模式!$T9,'⚪设计'!$C$85:$G$101,4,FALSE)*无限模式!$U9))*IF(T9="",0,VLOOKUP(T9,'⚪设计'!$C$85:$G$101,4,FALSE)),0)</f>
        <v>0</v>
      </c>
    </row>
    <row r="10" spans="1:24" x14ac:dyDescent="0.2">
      <c r="A10" s="84">
        <v>8</v>
      </c>
      <c r="B10" s="88">
        <f>MAX(MIN(战斗节奏!$C$3-INT(A10/'⚪设计'!$C$55),MOD(A10,'⚪设计'!$C$55)),0)*'⚪设计'!$C$79*防御塔!$C$2+MIN(INT(A10/'⚪设计'!$C$55),战斗节奏!$C$3)*'⚪设计'!$C$80*防御塔!$C$2</f>
        <v>9000</v>
      </c>
      <c r="C10" s="7">
        <v>1.35</v>
      </c>
      <c r="D10" s="7">
        <v>17</v>
      </c>
      <c r="E10" s="71" t="str">
        <f>IF(VLOOKUP(A10,'⚪设计'!$A$202:$G$221,4,FALSE)="","",VLOOKUP(VLOOKUP(A10,'⚪设计'!$A$202:$G$221,4,FALSE),'⚪设计'!$B$85:$D$101,2,FALSE))</f>
        <v>ResUnit_BianFu2</v>
      </c>
      <c r="F10" s="88">
        <f t="shared" si="0"/>
        <v>85</v>
      </c>
      <c r="G10" s="7">
        <v>0.2</v>
      </c>
      <c r="H10" s="88">
        <f>IF(E10="",0,ROUND(VLOOKUP($A10,'⚪设计'!$A$202:$B$221,2,FALSE)*$B10/SUM(IF($E10="",0,VLOOKUP($E10,'⚪设计'!$C$85:$E$101,3,FALSE))*$F10,IF($J10="",0,VLOOKUP($J10,'⚪设计'!$C$85:$E$101,3,FALSE))*$K10,IF($O10="",0,VLOOKUP($O10,'⚪设计'!$C$85:$E$101,3,FALSE))*$P10,IF($T10="",0,VLOOKUP($T10,'⚪设计'!$C$85:$E$101,3,FALSE))*$U10)*VLOOKUP(E10,'⚪设计'!$C$85:$E$101,3,FALSE),0))</f>
        <v>5143</v>
      </c>
      <c r="I10" s="88">
        <f>ROUND(战斗节奏!$B$3/SUM(IF(无限模式!$E10="",0,VLOOKUP(无限模式!$E10,'⚪设计'!$C$85:$G$101,4,FALSE)*无限模式!$F10),IF(无限模式!$J10="",0,VLOOKUP(无限模式!$J10,'⚪设计'!$C$85:$G$101,4,FALSE)*无限模式!$K10),IF(无限模式!$O10="",0,VLOOKUP(无限模式!$O10,'⚪设计'!$C$85:$G$101,4,FALSE)*无限模式!$P10),IF(无限模式!$T10="",0,VLOOKUP(无限模式!$T10,'⚪设计'!$C$85:$G$101,4,FALSE)*无限模式!$U10))*IF(E10="",0,VLOOKUP(E10,'⚪设计'!$C$85:$G$101,4,FALSE)),0)</f>
        <v>5</v>
      </c>
      <c r="J10" s="88" t="str">
        <f>IF(VLOOKUP(A10,'⚪设计'!$A$202:$G$221,5,FALSE)="","",VLOOKUP(VLOOKUP(A10,'⚪设计'!$A$202:$G$221,5,FALSE),'⚪设计'!$B$85:$D$101,2,FALSE))</f>
        <v>ResUnit_ZhiZhu3</v>
      </c>
      <c r="K10" s="88">
        <f t="shared" si="1"/>
        <v>1</v>
      </c>
      <c r="L10" s="7">
        <v>0</v>
      </c>
      <c r="M10" s="88">
        <f>IF(J10="",0,ROUND(VLOOKUP($A10,'⚪设计'!$A$202:$B$221,2,FALSE)*$B10/SUM(IF($E10="",0,VLOOKUP($E10,'⚪设计'!$C$85:$E$101,3,FALSE))*$F10,IF($J10="",0,VLOOKUP($J10,'⚪设计'!$C$85:$E$101,3,FALSE))*$K10,IF($O10="",0,VLOOKUP($O10,'⚪设计'!$C$85:$E$101,3,FALSE))*$P10,IF($T10="",0,VLOOKUP($T10,'⚪设计'!$C$85:$E$101,3,FALSE))*$U10)*VLOOKUP(J10,'⚪设计'!$C$85:$E$101,3,FALSE),0))</f>
        <v>102857</v>
      </c>
      <c r="N10" s="88">
        <f>ROUND(战斗节奏!$B$3/SUM(IF(无限模式!$E10="",0,VLOOKUP(无限模式!$E10,'⚪设计'!$C$85:$G$101,4,FALSE)*无限模式!$F10),IF(无限模式!$J10="",0,VLOOKUP(无限模式!$J10,'⚪设计'!$C$85:$G$101,4,FALSE)*无限模式!$K10),IF(无限模式!$O10="",0,VLOOKUP(无限模式!$O10,'⚪设计'!$C$85:$G$101,4,FALSE)*无限模式!$P10),IF(无限模式!$T10="",0,VLOOKUP(无限模式!$T10,'⚪设计'!$C$85:$G$101,4,FALSE)*无限模式!$U10))*IF(J10="",0,VLOOKUP(J10,'⚪设计'!$C$85:$G$101,4,FALSE)),0)</f>
        <v>192</v>
      </c>
      <c r="O10" s="71" t="str">
        <f>IF(VLOOKUP(A10,'⚪设计'!$A$202:$G$221,6,FALSE)="","",VLOOKUP(VLOOKUP(A10,'⚪设计'!$A$202:$G$221,6,FALSE),'⚪设计'!$B$85:$D$101,2,FALSE))</f>
        <v/>
      </c>
      <c r="P10" s="88">
        <f t="shared" si="2"/>
        <v>0</v>
      </c>
      <c r="Q10" s="7"/>
      <c r="R10" s="88">
        <f>IF(O10="",0,ROUND(VLOOKUP($A10,'⚪设计'!$A$202:$B$221,2,FALSE)*$B10/SUM(IF($E10="",0,VLOOKUP($E10,'⚪设计'!$C$85:$E$101,3,FALSE))*$F10,IF($J10="",0,VLOOKUP($J10,'⚪设计'!$C$85:$E$101,3,FALSE))*$K10,IF($O10="",0,VLOOKUP($O10,'⚪设计'!$C$85:$E$101,3,FALSE))*$P10,IF($T10="",0,VLOOKUP($T10,'⚪设计'!$C$85:$E$101,3,FALSE))*$U10)*VLOOKUP(O10,'⚪设计'!$C$85:$E$101,3,FALSE),0))</f>
        <v>0</v>
      </c>
      <c r="S10" s="88">
        <f>ROUND(战斗节奏!$B$3/SUM(IF(无限模式!$E10="",0,VLOOKUP(无限模式!$E10,'⚪设计'!$C$85:$G$101,4,FALSE)*无限模式!$F10),IF(无限模式!$J10="",0,VLOOKUP(无限模式!$J10,'⚪设计'!$C$85:$G$101,4,FALSE)*无限模式!$K10),IF(无限模式!$O10="",0,VLOOKUP(无限模式!$O10,'⚪设计'!$C$85:$G$101,4,FALSE)*无限模式!$P10),IF(无限模式!$T10="",0,VLOOKUP(无限模式!$T10,'⚪设计'!$C$85:$G$101,4,FALSE)*无限模式!$U10))*IF(O10="",0,VLOOKUP(O10,'⚪设计'!$C$85:$G$101,4,FALSE)),0)</f>
        <v>0</v>
      </c>
      <c r="T10" s="88" t="str">
        <f>IF(VLOOKUP(A10,'⚪设计'!$A$202:$G$221,7,FALSE)="","",VLOOKUP(VLOOKUP(A10,'⚪设计'!$A$202:$G$221,7,FALSE),'⚪设计'!$B$85:$D$101,2,FALSE))</f>
        <v/>
      </c>
      <c r="U10" s="88">
        <f t="shared" si="3"/>
        <v>0</v>
      </c>
      <c r="V10" s="7"/>
      <c r="W10" s="88">
        <f>IF(T10="",0,ROUND(VLOOKUP($A10,'⚪设计'!$A$202:$B$221,2,FALSE)*$B10/SUM(IF($E10="",0,VLOOKUP($E10,'⚪设计'!$C$85:$E$101,3,FALSE))*$F10,IF($J10="",0,VLOOKUP($J10,'⚪设计'!$C$85:$E$101,3,FALSE))*$K10,IF($O10="",0,VLOOKUP($O10,'⚪设计'!$C$85:$E$101,3,FALSE))*$P10,IF($T10="",0,VLOOKUP($T10,'⚪设计'!$C$85:$E$101,3,FALSE))*$U10)*VLOOKUP(T10,'⚪设计'!$C$85:$E$101,3,FALSE),0))</f>
        <v>0</v>
      </c>
      <c r="X10" s="88">
        <f>ROUND(战斗节奏!$B$3/SUM(IF(无限模式!$E10="",0,VLOOKUP(无限模式!$E10,'⚪设计'!$C$85:$G$101,4,FALSE)*无限模式!$F10),IF(无限模式!$J10="",0,VLOOKUP(无限模式!$J10,'⚪设计'!$C$85:$G$101,4,FALSE)*无限模式!$K10),IF(无限模式!$O10="",0,VLOOKUP(无限模式!$O10,'⚪设计'!$C$85:$G$101,4,FALSE)*无限模式!$P10),IF(无限模式!$T10="",0,VLOOKUP(无限模式!$T10,'⚪设计'!$C$85:$G$101,4,FALSE)*无限模式!$U10))*IF(T10="",0,VLOOKUP(T10,'⚪设计'!$C$85:$G$101,4,FALSE)),0)</f>
        <v>0</v>
      </c>
    </row>
    <row r="11" spans="1:24" x14ac:dyDescent="0.2">
      <c r="A11" s="84">
        <v>9</v>
      </c>
      <c r="B11" s="88">
        <f>MAX(MIN(战斗节奏!$C$3-INT(A11/'⚪设计'!$C$55),MOD(A11,'⚪设计'!$C$55)),0)*'⚪设计'!$C$79*防御塔!$C$2+MIN(INT(A11/'⚪设计'!$C$55),战斗节奏!$C$3)*'⚪设计'!$C$80*防御塔!$C$2</f>
        <v>10800</v>
      </c>
      <c r="C11" s="7">
        <v>1.4</v>
      </c>
      <c r="D11" s="7">
        <v>18</v>
      </c>
      <c r="E11" s="71" t="str">
        <f>IF(VLOOKUP(A11,'⚪设计'!$A$202:$G$221,4,FALSE)="","",VLOOKUP(VLOOKUP(A11,'⚪设计'!$A$202:$G$221,4,FALSE),'⚪设计'!$B$85:$D$101,2,FALSE))</f>
        <v>ResUnit_MiFeng2</v>
      </c>
      <c r="F11" s="88">
        <f t="shared" si="0"/>
        <v>12</v>
      </c>
      <c r="G11" s="7">
        <v>1.5</v>
      </c>
      <c r="H11" s="88">
        <f>IF(E11="",0,ROUND(VLOOKUP($A11,'⚪设计'!$A$202:$B$221,2,FALSE)*$B11/SUM(IF($E11="",0,VLOOKUP($E11,'⚪设计'!$C$85:$E$101,3,FALSE))*$F11,IF($J11="",0,VLOOKUP($J11,'⚪设计'!$C$85:$E$101,3,FALSE))*$K11,IF($O11="",0,VLOOKUP($O11,'⚪设计'!$C$85:$E$101,3,FALSE))*$P11,IF($T11="",0,VLOOKUP($T11,'⚪设计'!$C$85:$E$101,3,FALSE))*$U11)*VLOOKUP(E11,'⚪设计'!$C$85:$E$101,3,FALSE),0))</f>
        <v>15429</v>
      </c>
      <c r="I11" s="88">
        <f>ROUND(战斗节奏!$B$3/SUM(IF(无限模式!$E11="",0,VLOOKUP(无限模式!$E11,'⚪设计'!$C$85:$G$101,4,FALSE)*无限模式!$F11),IF(无限模式!$J11="",0,VLOOKUP(无限模式!$J11,'⚪设计'!$C$85:$G$101,4,FALSE)*无限模式!$K11),IF(无限模式!$O11="",0,VLOOKUP(无限模式!$O11,'⚪设计'!$C$85:$G$101,4,FALSE)*无限模式!$P11),IF(无限模式!$T11="",0,VLOOKUP(无限模式!$T11,'⚪设计'!$C$85:$G$101,4,FALSE)*无限模式!$U11))*IF(E11="",0,VLOOKUP(E11,'⚪设计'!$C$85:$G$101,4,FALSE)),0)</f>
        <v>33</v>
      </c>
      <c r="J11" s="88" t="str">
        <f>IF(VLOOKUP(A11,'⚪设计'!$A$202:$G$221,5,FALSE)="","",VLOOKUP(VLOOKUP(A11,'⚪设计'!$A$202:$G$221,5,FALSE),'⚪设计'!$B$85:$D$101,2,FALSE))</f>
        <v>ResUnit_ZhongZi1</v>
      </c>
      <c r="K11" s="88">
        <f t="shared" si="1"/>
        <v>6</v>
      </c>
      <c r="L11" s="7">
        <v>3</v>
      </c>
      <c r="M11" s="88">
        <f>IF(J11="",0,ROUND(VLOOKUP($A11,'⚪设计'!$A$202:$B$221,2,FALSE)*$B11/SUM(IF($E11="",0,VLOOKUP($E11,'⚪设计'!$C$85:$E$101,3,FALSE))*$F11,IF($J11="",0,VLOOKUP($J11,'⚪设计'!$C$85:$E$101,3,FALSE))*$K11,IF($O11="",0,VLOOKUP($O11,'⚪设计'!$C$85:$E$101,3,FALSE))*$P11,IF($T11="",0,VLOOKUP($T11,'⚪设计'!$C$85:$E$101,3,FALSE))*$U11)*VLOOKUP(J11,'⚪设计'!$C$85:$E$101,3,FALSE),0))</f>
        <v>23143</v>
      </c>
      <c r="N11" s="88">
        <f>ROUND(战斗节奏!$B$3/SUM(IF(无限模式!$E11="",0,VLOOKUP(无限模式!$E11,'⚪设计'!$C$85:$G$101,4,FALSE)*无限模式!$F11),IF(无限模式!$J11="",0,VLOOKUP(无限模式!$J11,'⚪设计'!$C$85:$G$101,4,FALSE)*无限模式!$K11),IF(无限模式!$O11="",0,VLOOKUP(无限模式!$O11,'⚪设计'!$C$85:$G$101,4,FALSE)*无限模式!$P11),IF(无限模式!$T11="",0,VLOOKUP(无限模式!$T11,'⚪设计'!$C$85:$G$101,4,FALSE)*无限模式!$U11))*IF(J11="",0,VLOOKUP(J11,'⚪设计'!$C$85:$G$101,4,FALSE)),0)</f>
        <v>33</v>
      </c>
      <c r="O11" s="71" t="str">
        <f>IF(VLOOKUP(A11,'⚪设计'!$A$202:$G$221,6,FALSE)="","",VLOOKUP(VLOOKUP(A11,'⚪设计'!$A$202:$G$221,6,FALSE),'⚪设计'!$B$85:$D$101,2,FALSE))</f>
        <v/>
      </c>
      <c r="P11" s="88">
        <f t="shared" si="2"/>
        <v>0</v>
      </c>
      <c r="Q11" s="7"/>
      <c r="R11" s="88">
        <f>IF(O11="",0,ROUND(VLOOKUP($A11,'⚪设计'!$A$202:$B$221,2,FALSE)*$B11/SUM(IF($E11="",0,VLOOKUP($E11,'⚪设计'!$C$85:$E$101,3,FALSE))*$F11,IF($J11="",0,VLOOKUP($J11,'⚪设计'!$C$85:$E$101,3,FALSE))*$K11,IF($O11="",0,VLOOKUP($O11,'⚪设计'!$C$85:$E$101,3,FALSE))*$P11,IF($T11="",0,VLOOKUP($T11,'⚪设计'!$C$85:$E$101,3,FALSE))*$U11)*VLOOKUP(O11,'⚪设计'!$C$85:$E$101,3,FALSE),0))</f>
        <v>0</v>
      </c>
      <c r="S11" s="88">
        <f>ROUND(战斗节奏!$B$3/SUM(IF(无限模式!$E11="",0,VLOOKUP(无限模式!$E11,'⚪设计'!$C$85:$G$101,4,FALSE)*无限模式!$F11),IF(无限模式!$J11="",0,VLOOKUP(无限模式!$J11,'⚪设计'!$C$85:$G$101,4,FALSE)*无限模式!$K11),IF(无限模式!$O11="",0,VLOOKUP(无限模式!$O11,'⚪设计'!$C$85:$G$101,4,FALSE)*无限模式!$P11),IF(无限模式!$T11="",0,VLOOKUP(无限模式!$T11,'⚪设计'!$C$85:$G$101,4,FALSE)*无限模式!$U11))*IF(O11="",0,VLOOKUP(O11,'⚪设计'!$C$85:$G$101,4,FALSE)),0)</f>
        <v>0</v>
      </c>
      <c r="T11" s="88" t="str">
        <f>IF(VLOOKUP(A11,'⚪设计'!$A$202:$G$221,7,FALSE)="","",VLOOKUP(VLOOKUP(A11,'⚪设计'!$A$202:$G$221,7,FALSE),'⚪设计'!$B$85:$D$101,2,FALSE))</f>
        <v/>
      </c>
      <c r="U11" s="88">
        <f t="shared" si="3"/>
        <v>0</v>
      </c>
      <c r="V11" s="7"/>
      <c r="W11" s="88">
        <f>IF(T11="",0,ROUND(VLOOKUP($A11,'⚪设计'!$A$202:$B$221,2,FALSE)*$B11/SUM(IF($E11="",0,VLOOKUP($E11,'⚪设计'!$C$85:$E$101,3,FALSE))*$F11,IF($J11="",0,VLOOKUP($J11,'⚪设计'!$C$85:$E$101,3,FALSE))*$K11,IF($O11="",0,VLOOKUP($O11,'⚪设计'!$C$85:$E$101,3,FALSE))*$P11,IF($T11="",0,VLOOKUP($T11,'⚪设计'!$C$85:$E$101,3,FALSE))*$U11)*VLOOKUP(T11,'⚪设计'!$C$85:$E$101,3,FALSE),0))</f>
        <v>0</v>
      </c>
      <c r="X11" s="88">
        <f>ROUND(战斗节奏!$B$3/SUM(IF(无限模式!$E11="",0,VLOOKUP(无限模式!$E11,'⚪设计'!$C$85:$G$101,4,FALSE)*无限模式!$F11),IF(无限模式!$J11="",0,VLOOKUP(无限模式!$J11,'⚪设计'!$C$85:$G$101,4,FALSE)*无限模式!$K11),IF(无限模式!$O11="",0,VLOOKUP(无限模式!$O11,'⚪设计'!$C$85:$G$101,4,FALSE)*无限模式!$P11),IF(无限模式!$T11="",0,VLOOKUP(无限模式!$T11,'⚪设计'!$C$85:$G$101,4,FALSE)*无限模式!$U11))*IF(T11="",0,VLOOKUP(T11,'⚪设计'!$C$85:$G$101,4,FALSE)),0)</f>
        <v>0</v>
      </c>
    </row>
    <row r="12" spans="1:24" x14ac:dyDescent="0.2">
      <c r="A12" s="84">
        <v>10</v>
      </c>
      <c r="B12" s="88">
        <f>MAX(MIN(战斗节奏!$C$3-INT(A12/'⚪设计'!$C$55),MOD(A12,'⚪设计'!$C$55)),0)*'⚪设计'!$C$79*防御塔!$C$2+MIN(INT(A12/'⚪设计'!$C$55),战斗节奏!$C$3)*'⚪设计'!$C$80*防御塔!$C$2</f>
        <v>11700</v>
      </c>
      <c r="C12" s="7">
        <v>1.45</v>
      </c>
      <c r="D12" s="7">
        <v>19</v>
      </c>
      <c r="E12" s="71" t="str">
        <f>IF(VLOOKUP(A12,'⚪设计'!$A$202:$G$221,4,FALSE)="","",VLOOKUP(VLOOKUP(A12,'⚪设计'!$A$202:$G$221,4,FALSE),'⚪设计'!$B$85:$D$101,2,FALSE))</f>
        <v>ResUnit_MiFeng2</v>
      </c>
      <c r="F12" s="88">
        <f t="shared" si="0"/>
        <v>95</v>
      </c>
      <c r="G12" s="7">
        <v>0.2</v>
      </c>
      <c r="H12" s="88">
        <f>IF(E12="",0,ROUND(VLOOKUP($A12,'⚪设计'!$A$202:$B$221,2,FALSE)*$B12/SUM(IF($E12="",0,VLOOKUP($E12,'⚪设计'!$C$85:$E$101,3,FALSE))*$F12,IF($J12="",0,VLOOKUP($J12,'⚪设计'!$C$85:$E$101,3,FALSE))*$K12,IF($O12="",0,VLOOKUP($O12,'⚪设计'!$C$85:$E$101,3,FALSE))*$P12,IF($T12="",0,VLOOKUP($T12,'⚪设计'!$C$85:$E$101,3,FALSE))*$U12)*VLOOKUP(E12,'⚪设计'!$C$85:$E$101,3,FALSE),0))</f>
        <v>4219</v>
      </c>
      <c r="I12" s="88">
        <f>ROUND(战斗节奏!$B$3/SUM(IF(无限模式!$E12="",0,VLOOKUP(无限模式!$E12,'⚪设计'!$C$85:$G$101,4,FALSE)*无限模式!$F12),IF(无限模式!$J12="",0,VLOOKUP(无限模式!$J12,'⚪设计'!$C$85:$G$101,4,FALSE)*无限模式!$K12),IF(无限模式!$O12="",0,VLOOKUP(无限模式!$O12,'⚪设计'!$C$85:$G$101,4,FALSE)*无限模式!$P12),IF(无限模式!$T12="",0,VLOOKUP(无限模式!$T12,'⚪设计'!$C$85:$G$101,4,FALSE)*无限模式!$U12))*IF(E12="",0,VLOOKUP(E12,'⚪设计'!$C$85:$G$101,4,FALSE)),0)</f>
        <v>6</v>
      </c>
      <c r="J12" s="88" t="str">
        <f>IF(VLOOKUP(A12,'⚪设计'!$A$202:$G$221,5,FALSE)="","",VLOOKUP(VLOOKUP(A12,'⚪设计'!$A$202:$G$221,5,FALSE),'⚪设计'!$B$85:$D$101,2,FALSE))</f>
        <v>ResUnit_ZhongZi1</v>
      </c>
      <c r="K12" s="88">
        <f t="shared" si="1"/>
        <v>6</v>
      </c>
      <c r="L12" s="7">
        <v>3</v>
      </c>
      <c r="M12" s="88">
        <f>IF(J12="",0,ROUND(VLOOKUP($A12,'⚪设计'!$A$202:$B$221,2,FALSE)*$B12/SUM(IF($E12="",0,VLOOKUP($E12,'⚪设计'!$C$85:$E$101,3,FALSE))*$F12,IF($J12="",0,VLOOKUP($J12,'⚪设计'!$C$85:$E$101,3,FALSE))*$K12,IF($O12="",0,VLOOKUP($O12,'⚪设计'!$C$85:$E$101,3,FALSE))*$P12,IF($T12="",0,VLOOKUP($T12,'⚪设计'!$C$85:$E$101,3,FALSE))*$U12)*VLOOKUP(J12,'⚪设计'!$C$85:$E$101,3,FALSE),0))</f>
        <v>6328</v>
      </c>
      <c r="N12" s="88">
        <f>ROUND(战斗节奏!$B$3/SUM(IF(无限模式!$E12="",0,VLOOKUP(无限模式!$E12,'⚪设计'!$C$85:$G$101,4,FALSE)*无限模式!$F12),IF(无限模式!$J12="",0,VLOOKUP(无限模式!$J12,'⚪设计'!$C$85:$G$101,4,FALSE)*无限模式!$K12),IF(无限模式!$O12="",0,VLOOKUP(无限模式!$O12,'⚪设计'!$C$85:$G$101,4,FALSE)*无限模式!$P12),IF(无限模式!$T12="",0,VLOOKUP(无限模式!$T12,'⚪设计'!$C$85:$G$101,4,FALSE)*无限模式!$U12))*IF(J12="",0,VLOOKUP(J12,'⚪设计'!$C$85:$G$101,4,FALSE)),0)</f>
        <v>6</v>
      </c>
      <c r="O12" s="71" t="str">
        <f>IF(VLOOKUP(A12,'⚪设计'!$A$202:$G$221,6,FALSE)="","",VLOOKUP(VLOOKUP(A12,'⚪设计'!$A$202:$G$221,6,FALSE),'⚪设计'!$B$85:$D$101,2,FALSE))</f>
        <v/>
      </c>
      <c r="P12" s="88">
        <f t="shared" si="2"/>
        <v>0</v>
      </c>
      <c r="Q12" s="7"/>
      <c r="R12" s="88">
        <f>IF(O12="",0,ROUND(VLOOKUP($A12,'⚪设计'!$A$202:$B$221,2,FALSE)*$B12/SUM(IF($E12="",0,VLOOKUP($E12,'⚪设计'!$C$85:$E$101,3,FALSE))*$F12,IF($J12="",0,VLOOKUP($J12,'⚪设计'!$C$85:$E$101,3,FALSE))*$K12,IF($O12="",0,VLOOKUP($O12,'⚪设计'!$C$85:$E$101,3,FALSE))*$P12,IF($T12="",0,VLOOKUP($T12,'⚪设计'!$C$85:$E$101,3,FALSE))*$U12)*VLOOKUP(O12,'⚪设计'!$C$85:$E$101,3,FALSE),0))</f>
        <v>0</v>
      </c>
      <c r="S12" s="88">
        <f>ROUND(战斗节奏!$B$3/SUM(IF(无限模式!$E12="",0,VLOOKUP(无限模式!$E12,'⚪设计'!$C$85:$G$101,4,FALSE)*无限模式!$F12),IF(无限模式!$J12="",0,VLOOKUP(无限模式!$J12,'⚪设计'!$C$85:$G$101,4,FALSE)*无限模式!$K12),IF(无限模式!$O12="",0,VLOOKUP(无限模式!$O12,'⚪设计'!$C$85:$G$101,4,FALSE)*无限模式!$P12),IF(无限模式!$T12="",0,VLOOKUP(无限模式!$T12,'⚪设计'!$C$85:$G$101,4,FALSE)*无限模式!$U12))*IF(O12="",0,VLOOKUP(O12,'⚪设计'!$C$85:$G$101,4,FALSE)),0)</f>
        <v>0</v>
      </c>
      <c r="T12" s="88" t="str">
        <f>IF(VLOOKUP(A12,'⚪设计'!$A$202:$G$221,7,FALSE)="","",VLOOKUP(VLOOKUP(A12,'⚪设计'!$A$202:$G$221,7,FALSE),'⚪设计'!$B$85:$D$101,2,FALSE))</f>
        <v/>
      </c>
      <c r="U12" s="88">
        <f t="shared" si="3"/>
        <v>0</v>
      </c>
      <c r="V12" s="7"/>
      <c r="W12" s="88">
        <f>IF(T12="",0,ROUND(VLOOKUP($A12,'⚪设计'!$A$202:$B$221,2,FALSE)*$B12/SUM(IF($E12="",0,VLOOKUP($E12,'⚪设计'!$C$85:$E$101,3,FALSE))*$F12,IF($J12="",0,VLOOKUP($J12,'⚪设计'!$C$85:$E$101,3,FALSE))*$K12,IF($O12="",0,VLOOKUP($O12,'⚪设计'!$C$85:$E$101,3,FALSE))*$P12,IF($T12="",0,VLOOKUP($T12,'⚪设计'!$C$85:$E$101,3,FALSE))*$U12)*VLOOKUP(T12,'⚪设计'!$C$85:$E$101,3,FALSE),0))</f>
        <v>0</v>
      </c>
      <c r="X12" s="88">
        <f>ROUND(战斗节奏!$B$3/SUM(IF(无限模式!$E12="",0,VLOOKUP(无限模式!$E12,'⚪设计'!$C$85:$G$101,4,FALSE)*无限模式!$F12),IF(无限模式!$J12="",0,VLOOKUP(无限模式!$J12,'⚪设计'!$C$85:$G$101,4,FALSE)*无限模式!$K12),IF(无限模式!$O12="",0,VLOOKUP(无限模式!$O12,'⚪设计'!$C$85:$G$101,4,FALSE)*无限模式!$P12),IF(无限模式!$T12="",0,VLOOKUP(无限模式!$T12,'⚪设计'!$C$85:$G$101,4,FALSE)*无限模式!$U12))*IF(T12="",0,VLOOKUP(T12,'⚪设计'!$C$85:$G$101,4,FALSE)),0)</f>
        <v>0</v>
      </c>
    </row>
    <row r="13" spans="1:24" x14ac:dyDescent="0.2">
      <c r="A13" s="84">
        <v>11</v>
      </c>
      <c r="B13" s="88">
        <f>MAX(MIN(战斗节奏!$C$3-INT(A13/'⚪设计'!$C$55),MOD(A13,'⚪设计'!$C$55)),0)*'⚪设计'!$C$79*防御塔!$C$2+MIN(INT(A13/'⚪设计'!$C$55),战斗节奏!$C$3)*'⚪设计'!$C$80*防御塔!$C$2</f>
        <v>12600</v>
      </c>
      <c r="C13" s="7">
        <v>1.5</v>
      </c>
      <c r="D13" s="7">
        <v>20</v>
      </c>
      <c r="E13" s="71" t="str">
        <f>IF(VLOOKUP(A13,'⚪设计'!$A$202:$G$221,4,FALSE)="","",VLOOKUP(VLOOKUP(A13,'⚪设计'!$A$202:$G$221,4,FALSE),'⚪设计'!$B$85:$D$101,2,FALSE))</f>
        <v>ResUnit_ZhongZi1</v>
      </c>
      <c r="F13" s="88">
        <f t="shared" si="0"/>
        <v>20</v>
      </c>
      <c r="G13" s="7">
        <v>1</v>
      </c>
      <c r="H13" s="88">
        <f>IF(E13="",0,ROUND(VLOOKUP($A13,'⚪设计'!$A$202:$B$221,2,FALSE)*$B13/SUM(IF($E13="",0,VLOOKUP($E13,'⚪设计'!$C$85:$E$101,3,FALSE))*$F13,IF($J13="",0,VLOOKUP($J13,'⚪设计'!$C$85:$E$101,3,FALSE))*$K13,IF($O13="",0,VLOOKUP($O13,'⚪设计'!$C$85:$E$101,3,FALSE))*$P13,IF($T13="",0,VLOOKUP($T13,'⚪设计'!$C$85:$E$101,3,FALSE))*$U13)*VLOOKUP(E13,'⚪设计'!$C$85:$E$101,3,FALSE),0))</f>
        <v>21263</v>
      </c>
      <c r="I13" s="88">
        <f>ROUND(战斗节奏!$B$3/SUM(IF(无限模式!$E13="",0,VLOOKUP(无限模式!$E13,'⚪设计'!$C$85:$G$101,4,FALSE)*无限模式!$F13),IF(无限模式!$J13="",0,VLOOKUP(无限模式!$J13,'⚪设计'!$C$85:$G$101,4,FALSE)*无限模式!$K13),IF(无限模式!$O13="",0,VLOOKUP(无限模式!$O13,'⚪设计'!$C$85:$G$101,4,FALSE)*无限模式!$P13),IF(无限模式!$T13="",0,VLOOKUP(无限模式!$T13,'⚪设计'!$C$85:$G$101,4,FALSE)*无限模式!$U13))*IF(E13="",0,VLOOKUP(E13,'⚪设计'!$C$85:$G$101,4,FALSE)),0)</f>
        <v>24</v>
      </c>
      <c r="J13" s="88" t="str">
        <f>IF(VLOOKUP(A13,'⚪设计'!$A$202:$G$221,5,FALSE)="","",VLOOKUP(VLOOKUP(A13,'⚪设计'!$A$202:$G$221,5,FALSE),'⚪设计'!$B$85:$D$101,2,FALSE))</f>
        <v>ResUnit_ZhiZhu2</v>
      </c>
      <c r="K13" s="88">
        <f t="shared" si="1"/>
        <v>10</v>
      </c>
      <c r="L13" s="7">
        <v>2</v>
      </c>
      <c r="M13" s="88">
        <f>IF(J13="",0,ROUND(VLOOKUP($A13,'⚪设计'!$A$202:$B$221,2,FALSE)*$B13/SUM(IF($E13="",0,VLOOKUP($E13,'⚪设计'!$C$85:$E$101,3,FALSE))*$F13,IF($J13="",0,VLOOKUP($J13,'⚪设计'!$C$85:$E$101,3,FALSE))*$K13,IF($O13="",0,VLOOKUP($O13,'⚪设计'!$C$85:$E$101,3,FALSE))*$P13,IF($T13="",0,VLOOKUP($T13,'⚪设计'!$C$85:$E$101,3,FALSE))*$U13)*VLOOKUP(J13,'⚪设计'!$C$85:$E$101,3,FALSE),0))</f>
        <v>14175</v>
      </c>
      <c r="N13" s="88">
        <f>ROUND(战斗节奏!$B$3/SUM(IF(无限模式!$E13="",0,VLOOKUP(无限模式!$E13,'⚪设计'!$C$85:$G$101,4,FALSE)*无限模式!$F13),IF(无限模式!$J13="",0,VLOOKUP(无限模式!$J13,'⚪设计'!$C$85:$G$101,4,FALSE)*无限模式!$K13),IF(无限模式!$O13="",0,VLOOKUP(无限模式!$O13,'⚪设计'!$C$85:$G$101,4,FALSE)*无限模式!$P13),IF(无限模式!$T13="",0,VLOOKUP(无限模式!$T13,'⚪设计'!$C$85:$G$101,4,FALSE)*无限模式!$U13))*IF(J13="",0,VLOOKUP(J13,'⚪设计'!$C$85:$G$101,4,FALSE)),0)</f>
        <v>12</v>
      </c>
      <c r="O13" s="71" t="str">
        <f>IF(VLOOKUP(A13,'⚪设计'!$A$202:$G$221,6,FALSE)="","",VLOOKUP(VLOOKUP(A13,'⚪设计'!$A$202:$G$221,6,FALSE),'⚪设计'!$B$85:$D$101,2,FALSE))</f>
        <v/>
      </c>
      <c r="P13" s="88">
        <f t="shared" si="2"/>
        <v>0</v>
      </c>
      <c r="Q13" s="7"/>
      <c r="R13" s="88">
        <f>IF(O13="",0,ROUND(VLOOKUP($A13,'⚪设计'!$A$202:$B$221,2,FALSE)*$B13/SUM(IF($E13="",0,VLOOKUP($E13,'⚪设计'!$C$85:$E$101,3,FALSE))*$F13,IF($J13="",0,VLOOKUP($J13,'⚪设计'!$C$85:$E$101,3,FALSE))*$K13,IF($O13="",0,VLOOKUP($O13,'⚪设计'!$C$85:$E$101,3,FALSE))*$P13,IF($T13="",0,VLOOKUP($T13,'⚪设计'!$C$85:$E$101,3,FALSE))*$U13)*VLOOKUP(O13,'⚪设计'!$C$85:$E$101,3,FALSE),0))</f>
        <v>0</v>
      </c>
      <c r="S13" s="88">
        <f>ROUND(战斗节奏!$B$3/SUM(IF(无限模式!$E13="",0,VLOOKUP(无限模式!$E13,'⚪设计'!$C$85:$G$101,4,FALSE)*无限模式!$F13),IF(无限模式!$J13="",0,VLOOKUP(无限模式!$J13,'⚪设计'!$C$85:$G$101,4,FALSE)*无限模式!$K13),IF(无限模式!$O13="",0,VLOOKUP(无限模式!$O13,'⚪设计'!$C$85:$G$101,4,FALSE)*无限模式!$P13),IF(无限模式!$T13="",0,VLOOKUP(无限模式!$T13,'⚪设计'!$C$85:$G$101,4,FALSE)*无限模式!$U13))*IF(O13="",0,VLOOKUP(O13,'⚪设计'!$C$85:$G$101,4,FALSE)),0)</f>
        <v>0</v>
      </c>
      <c r="T13" s="88" t="str">
        <f>IF(VLOOKUP(A13,'⚪设计'!$A$202:$G$221,7,FALSE)="","",VLOOKUP(VLOOKUP(A13,'⚪设计'!$A$202:$G$221,7,FALSE),'⚪设计'!$B$85:$D$101,2,FALSE))</f>
        <v/>
      </c>
      <c r="U13" s="88">
        <f t="shared" si="3"/>
        <v>0</v>
      </c>
      <c r="V13" s="7"/>
      <c r="W13" s="88">
        <f>IF(T13="",0,ROUND(VLOOKUP($A13,'⚪设计'!$A$202:$B$221,2,FALSE)*$B13/SUM(IF($E13="",0,VLOOKUP($E13,'⚪设计'!$C$85:$E$101,3,FALSE))*$F13,IF($J13="",0,VLOOKUP($J13,'⚪设计'!$C$85:$E$101,3,FALSE))*$K13,IF($O13="",0,VLOOKUP($O13,'⚪设计'!$C$85:$E$101,3,FALSE))*$P13,IF($T13="",0,VLOOKUP($T13,'⚪设计'!$C$85:$E$101,3,FALSE))*$U13)*VLOOKUP(T13,'⚪设计'!$C$85:$E$101,3,FALSE),0))</f>
        <v>0</v>
      </c>
      <c r="X13" s="88">
        <f>ROUND(战斗节奏!$B$3/SUM(IF(无限模式!$E13="",0,VLOOKUP(无限模式!$E13,'⚪设计'!$C$85:$G$101,4,FALSE)*无限模式!$F13),IF(无限模式!$J13="",0,VLOOKUP(无限模式!$J13,'⚪设计'!$C$85:$G$101,4,FALSE)*无限模式!$K13),IF(无限模式!$O13="",0,VLOOKUP(无限模式!$O13,'⚪设计'!$C$85:$G$101,4,FALSE)*无限模式!$P13),IF(无限模式!$T13="",0,VLOOKUP(无限模式!$T13,'⚪设计'!$C$85:$G$101,4,FALSE)*无限模式!$U13))*IF(T13="",0,VLOOKUP(T13,'⚪设计'!$C$85:$G$101,4,FALSE)),0)</f>
        <v>0</v>
      </c>
    </row>
    <row r="14" spans="1:24" x14ac:dyDescent="0.2">
      <c r="A14" s="84">
        <v>12</v>
      </c>
      <c r="B14" s="88">
        <f>MAX(MIN(战斗节奏!$C$3-INT(A14/'⚪设计'!$C$55),MOD(A14,'⚪设计'!$C$55)),0)*'⚪设计'!$C$79*防御塔!$C$2+MIN(INT(A14/'⚪设计'!$C$55),战斗节奏!$C$3)*'⚪设计'!$C$80*防御塔!$C$2</f>
        <v>14400</v>
      </c>
      <c r="C14" s="7">
        <v>1.55</v>
      </c>
      <c r="D14" s="7">
        <v>21</v>
      </c>
      <c r="E14" s="71" t="str">
        <f>IF(VLOOKUP(A14,'⚪设计'!$A$202:$G$221,4,FALSE)="","",VLOOKUP(VLOOKUP(A14,'⚪设计'!$A$202:$G$221,4,FALSE),'⚪设计'!$B$85:$D$101,2,FALSE))</f>
        <v>ResUnit_MiFeng2</v>
      </c>
      <c r="F14" s="88">
        <f t="shared" si="0"/>
        <v>42</v>
      </c>
      <c r="G14" s="7">
        <v>0.5</v>
      </c>
      <c r="H14" s="88">
        <f>IF(E14="",0,ROUND(VLOOKUP($A14,'⚪设计'!$A$202:$B$221,2,FALSE)*$B14/SUM(IF($E14="",0,VLOOKUP($E14,'⚪设计'!$C$85:$E$101,3,FALSE))*$F14,IF($J14="",0,VLOOKUP($J14,'⚪设计'!$C$85:$E$101,3,FALSE))*$K14,IF($O14="",0,VLOOKUP($O14,'⚪设计'!$C$85:$E$101,3,FALSE))*$P14,IF($T14="",0,VLOOKUP($T14,'⚪设计'!$C$85:$E$101,3,FALSE))*$U14)*VLOOKUP(E14,'⚪设计'!$C$85:$E$101,3,FALSE),0))</f>
        <v>9931</v>
      </c>
      <c r="I14" s="88">
        <f>ROUND(战斗节奏!$B$3/SUM(IF(无限模式!$E14="",0,VLOOKUP(无限模式!$E14,'⚪设计'!$C$85:$G$101,4,FALSE)*无限模式!$F14),IF(无限模式!$J14="",0,VLOOKUP(无限模式!$J14,'⚪设计'!$C$85:$G$101,4,FALSE)*无限模式!$K14),IF(无限模式!$O14="",0,VLOOKUP(无限模式!$O14,'⚪设计'!$C$85:$G$101,4,FALSE)*无限模式!$P14),IF(无限模式!$T14="",0,VLOOKUP(无限模式!$T14,'⚪设计'!$C$85:$G$101,4,FALSE)*无限模式!$U14))*IF(E14="",0,VLOOKUP(E14,'⚪设计'!$C$85:$G$101,4,FALSE)),0)</f>
        <v>9</v>
      </c>
      <c r="J14" s="88" t="str">
        <f>IF(VLOOKUP(A14,'⚪设计'!$A$202:$G$221,5,FALSE)="","",VLOOKUP(VLOOKUP(A14,'⚪设计'!$A$202:$G$221,5,FALSE),'⚪设计'!$B$85:$D$101,2,FALSE))</f>
        <v>ResUnit_ZhongZi1</v>
      </c>
      <c r="K14" s="88">
        <f t="shared" si="1"/>
        <v>7</v>
      </c>
      <c r="L14" s="7">
        <v>3</v>
      </c>
      <c r="M14" s="88">
        <f>IF(J14="",0,ROUND(VLOOKUP($A14,'⚪设计'!$A$202:$B$221,2,FALSE)*$B14/SUM(IF($E14="",0,VLOOKUP($E14,'⚪设计'!$C$85:$E$101,3,FALSE))*$F14,IF($J14="",0,VLOOKUP($J14,'⚪设计'!$C$85:$E$101,3,FALSE))*$K14,IF($O14="",0,VLOOKUP($O14,'⚪设计'!$C$85:$E$101,3,FALSE))*$P14,IF($T14="",0,VLOOKUP($T14,'⚪设计'!$C$85:$E$101,3,FALSE))*$U14)*VLOOKUP(J14,'⚪设计'!$C$85:$E$101,3,FALSE),0))</f>
        <v>14897</v>
      </c>
      <c r="N14" s="88">
        <f>ROUND(战斗节奏!$B$3/SUM(IF(无限模式!$E14="",0,VLOOKUP(无限模式!$E14,'⚪设计'!$C$85:$G$101,4,FALSE)*无限模式!$F14),IF(无限模式!$J14="",0,VLOOKUP(无限模式!$J14,'⚪设计'!$C$85:$G$101,4,FALSE)*无限模式!$K14),IF(无限模式!$O14="",0,VLOOKUP(无限模式!$O14,'⚪设计'!$C$85:$G$101,4,FALSE)*无限模式!$P14),IF(无限模式!$T14="",0,VLOOKUP(无限模式!$T14,'⚪设计'!$C$85:$G$101,4,FALSE)*无限模式!$U14))*IF(J14="",0,VLOOKUP(J14,'⚪设计'!$C$85:$G$101,4,FALSE)),0)</f>
        <v>9</v>
      </c>
      <c r="O14" s="71" t="str">
        <f>IF(VLOOKUP(A14,'⚪设计'!$A$202:$G$221,6,FALSE)="","",VLOOKUP(VLOOKUP(A14,'⚪设计'!$A$202:$G$221,6,FALSE),'⚪设计'!$B$85:$D$101,2,FALSE))</f>
        <v>ResUnit_ZhongZi3</v>
      </c>
      <c r="P14" s="88">
        <f t="shared" si="2"/>
        <v>1</v>
      </c>
      <c r="Q14" s="7">
        <v>0</v>
      </c>
      <c r="R14" s="88">
        <f>IF(O14="",0,ROUND(VLOOKUP($A14,'⚪设计'!$A$202:$B$221,2,FALSE)*$B14/SUM(IF($E14="",0,VLOOKUP($E14,'⚪设计'!$C$85:$E$101,3,FALSE))*$F14,IF($J14="",0,VLOOKUP($J14,'⚪设计'!$C$85:$E$101,3,FALSE))*$K14,IF($O14="",0,VLOOKUP($O14,'⚪设计'!$C$85:$E$101,3,FALSE))*$P14,IF($T14="",0,VLOOKUP($T14,'⚪设计'!$C$85:$E$101,3,FALSE))*$U14)*VLOOKUP(O14,'⚪设计'!$C$85:$E$101,3,FALSE),0))</f>
        <v>198621</v>
      </c>
      <c r="S14" s="88">
        <f>ROUND(战斗节奏!$B$3/SUM(IF(无限模式!$E14="",0,VLOOKUP(无限模式!$E14,'⚪设计'!$C$85:$G$101,4,FALSE)*无限模式!$F14),IF(无限模式!$J14="",0,VLOOKUP(无限模式!$J14,'⚪设计'!$C$85:$G$101,4,FALSE)*无限模式!$K14),IF(无限模式!$O14="",0,VLOOKUP(无限模式!$O14,'⚪设计'!$C$85:$G$101,4,FALSE)*无限模式!$P14),IF(无限模式!$T14="",0,VLOOKUP(无限模式!$T14,'⚪设计'!$C$85:$G$101,4,FALSE)*无限模式!$U14))*IF(O14="",0,VLOOKUP(O14,'⚪设计'!$C$85:$G$101,4,FALSE)),0)</f>
        <v>174</v>
      </c>
      <c r="T14" s="88" t="str">
        <f>IF(VLOOKUP(A14,'⚪设计'!$A$202:$G$221,7,FALSE)="","",VLOOKUP(VLOOKUP(A14,'⚪设计'!$A$202:$G$221,7,FALSE),'⚪设计'!$B$85:$D$101,2,FALSE))</f>
        <v/>
      </c>
      <c r="U14" s="88">
        <f t="shared" si="3"/>
        <v>0</v>
      </c>
      <c r="V14" s="7"/>
      <c r="W14" s="88">
        <f>IF(T14="",0,ROUND(VLOOKUP($A14,'⚪设计'!$A$202:$B$221,2,FALSE)*$B14/SUM(IF($E14="",0,VLOOKUP($E14,'⚪设计'!$C$85:$E$101,3,FALSE))*$F14,IF($J14="",0,VLOOKUP($J14,'⚪设计'!$C$85:$E$101,3,FALSE))*$K14,IF($O14="",0,VLOOKUP($O14,'⚪设计'!$C$85:$E$101,3,FALSE))*$P14,IF($T14="",0,VLOOKUP($T14,'⚪设计'!$C$85:$E$101,3,FALSE))*$U14)*VLOOKUP(T14,'⚪设计'!$C$85:$E$101,3,FALSE),0))</f>
        <v>0</v>
      </c>
      <c r="X14" s="88">
        <f>ROUND(战斗节奏!$B$3/SUM(IF(无限模式!$E14="",0,VLOOKUP(无限模式!$E14,'⚪设计'!$C$85:$G$101,4,FALSE)*无限模式!$F14),IF(无限模式!$J14="",0,VLOOKUP(无限模式!$J14,'⚪设计'!$C$85:$G$101,4,FALSE)*无限模式!$K14),IF(无限模式!$O14="",0,VLOOKUP(无限模式!$O14,'⚪设计'!$C$85:$G$101,4,FALSE)*无限模式!$P14),IF(无限模式!$T14="",0,VLOOKUP(无限模式!$T14,'⚪设计'!$C$85:$G$101,4,FALSE)*无限模式!$U14))*IF(T14="",0,VLOOKUP(T14,'⚪设计'!$C$85:$G$101,4,FALSE)),0)</f>
        <v>0</v>
      </c>
    </row>
    <row r="15" spans="1:24" x14ac:dyDescent="0.2">
      <c r="A15" s="84">
        <v>13</v>
      </c>
      <c r="B15" s="88">
        <f>MAX(MIN(战斗节奏!$C$3-INT(A15/'⚪设计'!$C$55),MOD(A15,'⚪设计'!$C$55)),0)*'⚪设计'!$C$79*防御塔!$C$2+MIN(INT(A15/'⚪设计'!$C$55),战斗节奏!$C$3)*'⚪设计'!$C$80*防御塔!$C$2</f>
        <v>15300</v>
      </c>
      <c r="C15" s="7">
        <v>1.6</v>
      </c>
      <c r="D15" s="7">
        <v>22</v>
      </c>
      <c r="E15" s="71" t="str">
        <f>IF(VLOOKUP(A15,'⚪设计'!$A$202:$G$221,4,FALSE)="","",VLOOKUP(VLOOKUP(A15,'⚪设计'!$A$202:$G$221,4,FALSE),'⚪设计'!$B$85:$D$101,2,FALSE))</f>
        <v>ResUnit_Gui1</v>
      </c>
      <c r="F15" s="88">
        <f t="shared" si="0"/>
        <v>15</v>
      </c>
      <c r="G15" s="7">
        <v>1.5</v>
      </c>
      <c r="H15" s="88">
        <f>IF(E15="",0,ROUND(VLOOKUP($A15,'⚪设计'!$A$202:$B$221,2,FALSE)*$B15/SUM(IF($E15="",0,VLOOKUP($E15,'⚪设计'!$C$85:$E$101,3,FALSE))*$F15,IF($J15="",0,VLOOKUP($J15,'⚪设计'!$C$85:$E$101,3,FALSE))*$K15,IF($O15="",0,VLOOKUP($O15,'⚪设计'!$C$85:$E$101,3,FALSE))*$P15,IF($T15="",0,VLOOKUP($T15,'⚪设计'!$C$85:$E$101,3,FALSE))*$U15)*VLOOKUP(E15,'⚪设计'!$C$85:$E$101,3,FALSE),0))</f>
        <v>71400</v>
      </c>
      <c r="I15" s="88">
        <f>ROUND(战斗节奏!$B$3/SUM(IF(无限模式!$E15="",0,VLOOKUP(无限模式!$E15,'⚪设计'!$C$85:$G$101,4,FALSE)*无限模式!$F15),IF(无限模式!$J15="",0,VLOOKUP(无限模式!$J15,'⚪设计'!$C$85:$G$101,4,FALSE)*无限模式!$K15),IF(无限模式!$O15="",0,VLOOKUP(无限模式!$O15,'⚪设计'!$C$85:$G$101,4,FALSE)*无限模式!$P15),IF(无限模式!$T15="",0,VLOOKUP(无限模式!$T15,'⚪设计'!$C$85:$G$101,4,FALSE)*无限模式!$U15))*IF(E15="",0,VLOOKUP(E15,'⚪设计'!$C$85:$G$101,4,FALSE)),0)</f>
        <v>40</v>
      </c>
      <c r="J15" s="88" t="str">
        <f>IF(VLOOKUP(A15,'⚪设计'!$A$202:$G$221,5,FALSE)="","",VLOOKUP(VLOOKUP(A15,'⚪设计'!$A$202:$G$221,5,FALSE),'⚪设计'!$B$85:$D$101,2,FALSE))</f>
        <v/>
      </c>
      <c r="K15" s="88">
        <f t="shared" si="1"/>
        <v>0</v>
      </c>
      <c r="L15" s="7"/>
      <c r="M15" s="88">
        <f>IF(J15="",0,ROUND(VLOOKUP($A15,'⚪设计'!$A$202:$B$221,2,FALSE)*$B15/SUM(IF($E15="",0,VLOOKUP($E15,'⚪设计'!$C$85:$E$101,3,FALSE))*$F15,IF($J15="",0,VLOOKUP($J15,'⚪设计'!$C$85:$E$101,3,FALSE))*$K15,IF($O15="",0,VLOOKUP($O15,'⚪设计'!$C$85:$E$101,3,FALSE))*$P15,IF($T15="",0,VLOOKUP($T15,'⚪设计'!$C$85:$E$101,3,FALSE))*$U15)*VLOOKUP(J15,'⚪设计'!$C$85:$E$101,3,FALSE),0))</f>
        <v>0</v>
      </c>
      <c r="N15" s="88">
        <f>ROUND(战斗节奏!$B$3/SUM(IF(无限模式!$E15="",0,VLOOKUP(无限模式!$E15,'⚪设计'!$C$85:$G$101,4,FALSE)*无限模式!$F15),IF(无限模式!$J15="",0,VLOOKUP(无限模式!$J15,'⚪设计'!$C$85:$G$101,4,FALSE)*无限模式!$K15),IF(无限模式!$O15="",0,VLOOKUP(无限模式!$O15,'⚪设计'!$C$85:$G$101,4,FALSE)*无限模式!$P15),IF(无限模式!$T15="",0,VLOOKUP(无限模式!$T15,'⚪设计'!$C$85:$G$101,4,FALSE)*无限模式!$U15))*IF(J15="",0,VLOOKUP(J15,'⚪设计'!$C$85:$G$101,4,FALSE)),0)</f>
        <v>0</v>
      </c>
      <c r="O15" s="71" t="str">
        <f>IF(VLOOKUP(A15,'⚪设计'!$A$202:$G$221,6,FALSE)="","",VLOOKUP(VLOOKUP(A15,'⚪设计'!$A$202:$G$221,6,FALSE),'⚪设计'!$B$85:$D$101,2,FALSE))</f>
        <v/>
      </c>
      <c r="P15" s="88">
        <f t="shared" si="2"/>
        <v>0</v>
      </c>
      <c r="Q15" s="7"/>
      <c r="R15" s="88">
        <f>IF(O15="",0,ROUND(VLOOKUP($A15,'⚪设计'!$A$202:$B$221,2,FALSE)*$B15/SUM(IF($E15="",0,VLOOKUP($E15,'⚪设计'!$C$85:$E$101,3,FALSE))*$F15,IF($J15="",0,VLOOKUP($J15,'⚪设计'!$C$85:$E$101,3,FALSE))*$K15,IF($O15="",0,VLOOKUP($O15,'⚪设计'!$C$85:$E$101,3,FALSE))*$P15,IF($T15="",0,VLOOKUP($T15,'⚪设计'!$C$85:$E$101,3,FALSE))*$U15)*VLOOKUP(O15,'⚪设计'!$C$85:$E$101,3,FALSE),0))</f>
        <v>0</v>
      </c>
      <c r="S15" s="88">
        <f>ROUND(战斗节奏!$B$3/SUM(IF(无限模式!$E15="",0,VLOOKUP(无限模式!$E15,'⚪设计'!$C$85:$G$101,4,FALSE)*无限模式!$F15),IF(无限模式!$J15="",0,VLOOKUP(无限模式!$J15,'⚪设计'!$C$85:$G$101,4,FALSE)*无限模式!$K15),IF(无限模式!$O15="",0,VLOOKUP(无限模式!$O15,'⚪设计'!$C$85:$G$101,4,FALSE)*无限模式!$P15),IF(无限模式!$T15="",0,VLOOKUP(无限模式!$T15,'⚪设计'!$C$85:$G$101,4,FALSE)*无限模式!$U15))*IF(O15="",0,VLOOKUP(O15,'⚪设计'!$C$85:$G$101,4,FALSE)),0)</f>
        <v>0</v>
      </c>
      <c r="T15" s="88" t="str">
        <f>IF(VLOOKUP(A15,'⚪设计'!$A$202:$G$221,7,FALSE)="","",VLOOKUP(VLOOKUP(A15,'⚪设计'!$A$202:$G$221,7,FALSE),'⚪设计'!$B$85:$D$101,2,FALSE))</f>
        <v/>
      </c>
      <c r="U15" s="88">
        <f t="shared" si="3"/>
        <v>0</v>
      </c>
      <c r="V15" s="7"/>
      <c r="W15" s="88">
        <f>IF(T15="",0,ROUND(VLOOKUP($A15,'⚪设计'!$A$202:$B$221,2,FALSE)*$B15/SUM(IF($E15="",0,VLOOKUP($E15,'⚪设计'!$C$85:$E$101,3,FALSE))*$F15,IF($J15="",0,VLOOKUP($J15,'⚪设计'!$C$85:$E$101,3,FALSE))*$K15,IF($O15="",0,VLOOKUP($O15,'⚪设计'!$C$85:$E$101,3,FALSE))*$P15,IF($T15="",0,VLOOKUP($T15,'⚪设计'!$C$85:$E$101,3,FALSE))*$U15)*VLOOKUP(T15,'⚪设计'!$C$85:$E$101,3,FALSE),0))</f>
        <v>0</v>
      </c>
      <c r="X15" s="88">
        <f>ROUND(战斗节奏!$B$3/SUM(IF(无限模式!$E15="",0,VLOOKUP(无限模式!$E15,'⚪设计'!$C$85:$G$101,4,FALSE)*无限模式!$F15),IF(无限模式!$J15="",0,VLOOKUP(无限模式!$J15,'⚪设计'!$C$85:$G$101,4,FALSE)*无限模式!$K15),IF(无限模式!$O15="",0,VLOOKUP(无限模式!$O15,'⚪设计'!$C$85:$G$101,4,FALSE)*无限模式!$P15),IF(无限模式!$T15="",0,VLOOKUP(无限模式!$T15,'⚪设计'!$C$85:$G$101,4,FALSE)*无限模式!$U15))*IF(T15="",0,VLOOKUP(T15,'⚪设计'!$C$85:$G$101,4,FALSE)),0)</f>
        <v>0</v>
      </c>
    </row>
    <row r="16" spans="1:24" x14ac:dyDescent="0.2">
      <c r="A16" s="84">
        <v>14</v>
      </c>
      <c r="B16" s="88">
        <f>MAX(MIN(战斗节奏!$C$3-INT(A16/'⚪设计'!$C$55),MOD(A16,'⚪设计'!$C$55)),0)*'⚪设计'!$C$79*防御塔!$C$2+MIN(INT(A16/'⚪设计'!$C$55),战斗节奏!$C$3)*'⚪设计'!$C$80*防御塔!$C$2</f>
        <v>16200</v>
      </c>
      <c r="C16" s="7">
        <v>1.65</v>
      </c>
      <c r="D16" s="7">
        <v>23</v>
      </c>
      <c r="E16" s="71" t="str">
        <f>IF(VLOOKUP(A16,'⚪设计'!$A$202:$G$221,4,FALSE)="","",VLOOKUP(VLOOKUP(A16,'⚪设计'!$A$202:$G$221,4,FALSE),'⚪设计'!$B$85:$D$101,2,FALSE))</f>
        <v>ResUnit_Gui1</v>
      </c>
      <c r="F16" s="88">
        <f t="shared" si="0"/>
        <v>15</v>
      </c>
      <c r="G16" s="7">
        <v>1.5</v>
      </c>
      <c r="H16" s="88">
        <f>IF(E16="",0,ROUND(VLOOKUP($A16,'⚪设计'!$A$202:$B$221,2,FALSE)*$B16/SUM(IF($E16="",0,VLOOKUP($E16,'⚪设计'!$C$85:$E$101,3,FALSE))*$F16,IF($J16="",0,VLOOKUP($J16,'⚪设计'!$C$85:$E$101,3,FALSE))*$K16,IF($O16="",0,VLOOKUP($O16,'⚪设计'!$C$85:$E$101,3,FALSE))*$P16,IF($T16="",0,VLOOKUP($T16,'⚪设计'!$C$85:$E$101,3,FALSE))*$U16)*VLOOKUP(E16,'⚪设计'!$C$85:$E$101,3,FALSE),0))</f>
        <v>28800</v>
      </c>
      <c r="I16" s="88">
        <f>ROUND(战斗节奏!$B$3/SUM(IF(无限模式!$E16="",0,VLOOKUP(无限模式!$E16,'⚪设计'!$C$85:$G$101,4,FALSE)*无限模式!$F16),IF(无限模式!$J16="",0,VLOOKUP(无限模式!$J16,'⚪设计'!$C$85:$G$101,4,FALSE)*无限模式!$K16),IF(无限模式!$O16="",0,VLOOKUP(无限模式!$O16,'⚪设计'!$C$85:$G$101,4,FALSE)*无限模式!$P16),IF(无限模式!$T16="",0,VLOOKUP(无限模式!$T16,'⚪设计'!$C$85:$G$101,4,FALSE)*无限模式!$U16))*IF(E16="",0,VLOOKUP(E16,'⚪设计'!$C$85:$G$101,4,FALSE)),0)</f>
        <v>20</v>
      </c>
      <c r="J16" s="88" t="str">
        <f>IF(VLOOKUP(A16,'⚪设计'!$A$202:$G$221,5,FALSE)="","",VLOOKUP(VLOOKUP(A16,'⚪设计'!$A$202:$G$221,5,FALSE),'⚪设计'!$B$85:$D$101,2,FALSE))</f>
        <v>ResUnit_ZhiZhu2</v>
      </c>
      <c r="K16" s="88">
        <f t="shared" si="1"/>
        <v>15</v>
      </c>
      <c r="L16" s="7">
        <v>1.5</v>
      </c>
      <c r="M16" s="88">
        <f>IF(J16="",0,ROUND(VLOOKUP($A16,'⚪设计'!$A$202:$B$221,2,FALSE)*$B16/SUM(IF($E16="",0,VLOOKUP($E16,'⚪设计'!$C$85:$E$101,3,FALSE))*$F16,IF($J16="",0,VLOOKUP($J16,'⚪设计'!$C$85:$E$101,3,FALSE))*$K16,IF($O16="",0,VLOOKUP($O16,'⚪设计'!$C$85:$E$101,3,FALSE))*$P16,IF($T16="",0,VLOOKUP($T16,'⚪设计'!$C$85:$E$101,3,FALSE))*$U16)*VLOOKUP(J16,'⚪设计'!$C$85:$E$101,3,FALSE),0))</f>
        <v>57600</v>
      </c>
      <c r="N16" s="88">
        <f>ROUND(战斗节奏!$B$3/SUM(IF(无限模式!$E16="",0,VLOOKUP(无限模式!$E16,'⚪设计'!$C$85:$G$101,4,FALSE)*无限模式!$F16),IF(无限模式!$J16="",0,VLOOKUP(无限模式!$J16,'⚪设计'!$C$85:$G$101,4,FALSE)*无限模式!$K16),IF(无限模式!$O16="",0,VLOOKUP(无限模式!$O16,'⚪设计'!$C$85:$G$101,4,FALSE)*无限模式!$P16),IF(无限模式!$T16="",0,VLOOKUP(无限模式!$T16,'⚪设计'!$C$85:$G$101,4,FALSE)*无限模式!$U16))*IF(J16="",0,VLOOKUP(J16,'⚪设计'!$C$85:$G$101,4,FALSE)),0)</f>
        <v>20</v>
      </c>
      <c r="O16" s="71" t="str">
        <f>IF(VLOOKUP(A16,'⚪设计'!$A$202:$G$221,6,FALSE)="","",VLOOKUP(VLOOKUP(A16,'⚪设计'!$A$202:$G$221,6,FALSE),'⚪设计'!$B$85:$D$101,2,FALSE))</f>
        <v/>
      </c>
      <c r="P16" s="88">
        <f t="shared" si="2"/>
        <v>0</v>
      </c>
      <c r="Q16" s="7"/>
      <c r="R16" s="88">
        <f>IF(O16="",0,ROUND(VLOOKUP($A16,'⚪设计'!$A$202:$B$221,2,FALSE)*$B16/SUM(IF($E16="",0,VLOOKUP($E16,'⚪设计'!$C$85:$E$101,3,FALSE))*$F16,IF($J16="",0,VLOOKUP($J16,'⚪设计'!$C$85:$E$101,3,FALSE))*$K16,IF($O16="",0,VLOOKUP($O16,'⚪设计'!$C$85:$E$101,3,FALSE))*$P16,IF($T16="",0,VLOOKUP($T16,'⚪设计'!$C$85:$E$101,3,FALSE))*$U16)*VLOOKUP(O16,'⚪设计'!$C$85:$E$101,3,FALSE),0))</f>
        <v>0</v>
      </c>
      <c r="S16" s="88">
        <f>ROUND(战斗节奏!$B$3/SUM(IF(无限模式!$E16="",0,VLOOKUP(无限模式!$E16,'⚪设计'!$C$85:$G$101,4,FALSE)*无限模式!$F16),IF(无限模式!$J16="",0,VLOOKUP(无限模式!$J16,'⚪设计'!$C$85:$G$101,4,FALSE)*无限模式!$K16),IF(无限模式!$O16="",0,VLOOKUP(无限模式!$O16,'⚪设计'!$C$85:$G$101,4,FALSE)*无限模式!$P16),IF(无限模式!$T16="",0,VLOOKUP(无限模式!$T16,'⚪设计'!$C$85:$G$101,4,FALSE)*无限模式!$U16))*IF(O16="",0,VLOOKUP(O16,'⚪设计'!$C$85:$G$101,4,FALSE)),0)</f>
        <v>0</v>
      </c>
      <c r="T16" s="88" t="str">
        <f>IF(VLOOKUP(A16,'⚪设计'!$A$202:$G$221,7,FALSE)="","",VLOOKUP(VLOOKUP(A16,'⚪设计'!$A$202:$G$221,7,FALSE),'⚪设计'!$B$85:$D$101,2,FALSE))</f>
        <v/>
      </c>
      <c r="U16" s="88">
        <f t="shared" si="3"/>
        <v>0</v>
      </c>
      <c r="V16" s="7"/>
      <c r="W16" s="88">
        <f>IF(T16="",0,ROUND(VLOOKUP($A16,'⚪设计'!$A$202:$B$221,2,FALSE)*$B16/SUM(IF($E16="",0,VLOOKUP($E16,'⚪设计'!$C$85:$E$101,3,FALSE))*$F16,IF($J16="",0,VLOOKUP($J16,'⚪设计'!$C$85:$E$101,3,FALSE))*$K16,IF($O16="",0,VLOOKUP($O16,'⚪设计'!$C$85:$E$101,3,FALSE))*$P16,IF($T16="",0,VLOOKUP($T16,'⚪设计'!$C$85:$E$101,3,FALSE))*$U16)*VLOOKUP(T16,'⚪设计'!$C$85:$E$101,3,FALSE),0))</f>
        <v>0</v>
      </c>
      <c r="X16" s="88">
        <f>ROUND(战斗节奏!$B$3/SUM(IF(无限模式!$E16="",0,VLOOKUP(无限模式!$E16,'⚪设计'!$C$85:$G$101,4,FALSE)*无限模式!$F16),IF(无限模式!$J16="",0,VLOOKUP(无限模式!$J16,'⚪设计'!$C$85:$G$101,4,FALSE)*无限模式!$K16),IF(无限模式!$O16="",0,VLOOKUP(无限模式!$O16,'⚪设计'!$C$85:$G$101,4,FALSE)*无限模式!$P16),IF(无限模式!$T16="",0,VLOOKUP(无限模式!$T16,'⚪设计'!$C$85:$G$101,4,FALSE)*无限模式!$U16))*IF(T16="",0,VLOOKUP(T16,'⚪设计'!$C$85:$G$101,4,FALSE)),0)</f>
        <v>0</v>
      </c>
    </row>
    <row r="17" spans="1:24" x14ac:dyDescent="0.2">
      <c r="A17" s="84">
        <v>15</v>
      </c>
      <c r="B17" s="88">
        <f>MAX(MIN(战斗节奏!$C$3-INT(A17/'⚪设计'!$C$55),MOD(A17,'⚪设计'!$C$55)),0)*'⚪设计'!$C$79*防御塔!$C$2+MIN(INT(A17/'⚪设计'!$C$55),战斗节奏!$C$3)*'⚪设计'!$C$80*防御塔!$C$2</f>
        <v>18000</v>
      </c>
      <c r="C17" s="7">
        <v>1.7</v>
      </c>
      <c r="D17" s="7">
        <v>24</v>
      </c>
      <c r="E17" s="71" t="str">
        <f>IF(VLOOKUP(A17,'⚪设计'!$A$202:$G$221,4,FALSE)="","",VLOOKUP(VLOOKUP(A17,'⚪设计'!$A$202:$G$221,4,FALSE),'⚪设计'!$B$85:$D$101,2,FALSE))</f>
        <v>ResUnit_Gui1</v>
      </c>
      <c r="F17" s="88">
        <f t="shared" si="0"/>
        <v>48</v>
      </c>
      <c r="G17" s="7">
        <v>0.5</v>
      </c>
      <c r="H17" s="88">
        <f>IF(E17="",0,ROUND(VLOOKUP($A17,'⚪设计'!$A$202:$B$221,2,FALSE)*$B17/SUM(IF($E17="",0,VLOOKUP($E17,'⚪设计'!$C$85:$E$101,3,FALSE))*$F17,IF($J17="",0,VLOOKUP($J17,'⚪设计'!$C$85:$E$101,3,FALSE))*$K17,IF($O17="",0,VLOOKUP($O17,'⚪设计'!$C$85:$E$101,3,FALSE))*$P17,IF($T17="",0,VLOOKUP($T17,'⚪设计'!$C$85:$E$101,3,FALSE))*$U17)*VLOOKUP(E17,'⚪设计'!$C$85:$E$101,3,FALSE),0))</f>
        <v>13500</v>
      </c>
      <c r="I17" s="88">
        <f>ROUND(战斗节奏!$B$3/SUM(IF(无限模式!$E17="",0,VLOOKUP(无限模式!$E17,'⚪设计'!$C$85:$G$101,4,FALSE)*无限模式!$F17),IF(无限模式!$J17="",0,VLOOKUP(无限模式!$J17,'⚪设计'!$C$85:$G$101,4,FALSE)*无限模式!$K17),IF(无限模式!$O17="",0,VLOOKUP(无限模式!$O17,'⚪设计'!$C$85:$G$101,4,FALSE)*无限模式!$P17),IF(无限模式!$T17="",0,VLOOKUP(无限模式!$T17,'⚪设计'!$C$85:$G$101,4,FALSE)*无限模式!$U17))*IF(E17="",0,VLOOKUP(E17,'⚪设计'!$C$85:$G$101,4,FALSE)),0)</f>
        <v>8</v>
      </c>
      <c r="J17" s="88" t="str">
        <f>IF(VLOOKUP(A17,'⚪设计'!$A$202:$G$221,5,FALSE)="","",VLOOKUP(VLOOKUP(A17,'⚪设计'!$A$202:$G$221,5,FALSE),'⚪设计'!$B$85:$D$101,2,FALSE))</f>
        <v>ResUnit_ZhongZi2</v>
      </c>
      <c r="K17" s="88">
        <f t="shared" si="1"/>
        <v>12</v>
      </c>
      <c r="L17" s="7">
        <v>2</v>
      </c>
      <c r="M17" s="88">
        <f>IF(J17="",0,ROUND(VLOOKUP($A17,'⚪设计'!$A$202:$B$221,2,FALSE)*$B17/SUM(IF($E17="",0,VLOOKUP($E17,'⚪设计'!$C$85:$E$101,3,FALSE))*$F17,IF($J17="",0,VLOOKUP($J17,'⚪设计'!$C$85:$E$101,3,FALSE))*$K17,IF($O17="",0,VLOOKUP($O17,'⚪设计'!$C$85:$E$101,3,FALSE))*$P17,IF($T17="",0,VLOOKUP($T17,'⚪设计'!$C$85:$E$101,3,FALSE))*$U17)*VLOOKUP(J17,'⚪设计'!$C$85:$E$101,3,FALSE),0))</f>
        <v>81000</v>
      </c>
      <c r="N17" s="88">
        <f>ROUND(战斗节奏!$B$3/SUM(IF(无限模式!$E17="",0,VLOOKUP(无限模式!$E17,'⚪设计'!$C$85:$G$101,4,FALSE)*无限模式!$F17),IF(无限模式!$J17="",0,VLOOKUP(无限模式!$J17,'⚪设计'!$C$85:$G$101,4,FALSE)*无限模式!$K17),IF(无限模式!$O17="",0,VLOOKUP(无限模式!$O17,'⚪设计'!$C$85:$G$101,4,FALSE)*无限模式!$P17),IF(无限模式!$T17="",0,VLOOKUP(无限模式!$T17,'⚪设计'!$C$85:$G$101,4,FALSE)*无限模式!$U17))*IF(J17="",0,VLOOKUP(J17,'⚪设计'!$C$85:$G$101,4,FALSE)),0)</f>
        <v>17</v>
      </c>
      <c r="O17" s="71" t="str">
        <f>IF(VLOOKUP(A17,'⚪设计'!$A$202:$G$221,6,FALSE)="","",VLOOKUP(VLOOKUP(A17,'⚪设计'!$A$202:$G$221,6,FALSE),'⚪设计'!$B$85:$D$101,2,FALSE))</f>
        <v/>
      </c>
      <c r="P17" s="88">
        <f t="shared" si="2"/>
        <v>0</v>
      </c>
      <c r="Q17" s="7"/>
      <c r="R17" s="88">
        <f>IF(O17="",0,ROUND(VLOOKUP($A17,'⚪设计'!$A$202:$B$221,2,FALSE)*$B17/SUM(IF($E17="",0,VLOOKUP($E17,'⚪设计'!$C$85:$E$101,3,FALSE))*$F17,IF($J17="",0,VLOOKUP($J17,'⚪设计'!$C$85:$E$101,3,FALSE))*$K17,IF($O17="",0,VLOOKUP($O17,'⚪设计'!$C$85:$E$101,3,FALSE))*$P17,IF($T17="",0,VLOOKUP($T17,'⚪设计'!$C$85:$E$101,3,FALSE))*$U17)*VLOOKUP(O17,'⚪设计'!$C$85:$E$101,3,FALSE),0))</f>
        <v>0</v>
      </c>
      <c r="S17" s="88">
        <f>ROUND(战斗节奏!$B$3/SUM(IF(无限模式!$E17="",0,VLOOKUP(无限模式!$E17,'⚪设计'!$C$85:$G$101,4,FALSE)*无限模式!$F17),IF(无限模式!$J17="",0,VLOOKUP(无限模式!$J17,'⚪设计'!$C$85:$G$101,4,FALSE)*无限模式!$K17),IF(无限模式!$O17="",0,VLOOKUP(无限模式!$O17,'⚪设计'!$C$85:$G$101,4,FALSE)*无限模式!$P17),IF(无限模式!$T17="",0,VLOOKUP(无限模式!$T17,'⚪设计'!$C$85:$G$101,4,FALSE)*无限模式!$U17))*IF(O17="",0,VLOOKUP(O17,'⚪设计'!$C$85:$G$101,4,FALSE)),0)</f>
        <v>0</v>
      </c>
      <c r="T17" s="88" t="str">
        <f>IF(VLOOKUP(A17,'⚪设计'!$A$202:$G$221,7,FALSE)="","",VLOOKUP(VLOOKUP(A17,'⚪设计'!$A$202:$G$221,7,FALSE),'⚪设计'!$B$85:$D$101,2,FALSE))</f>
        <v/>
      </c>
      <c r="U17" s="88">
        <f t="shared" si="3"/>
        <v>0</v>
      </c>
      <c r="V17" s="7"/>
      <c r="W17" s="88">
        <f>IF(T17="",0,ROUND(VLOOKUP($A17,'⚪设计'!$A$202:$B$221,2,FALSE)*$B17/SUM(IF($E17="",0,VLOOKUP($E17,'⚪设计'!$C$85:$E$101,3,FALSE))*$F17,IF($J17="",0,VLOOKUP($J17,'⚪设计'!$C$85:$E$101,3,FALSE))*$K17,IF($O17="",0,VLOOKUP($O17,'⚪设计'!$C$85:$E$101,3,FALSE))*$P17,IF($T17="",0,VLOOKUP($T17,'⚪设计'!$C$85:$E$101,3,FALSE))*$U17)*VLOOKUP(T17,'⚪设计'!$C$85:$E$101,3,FALSE),0))</f>
        <v>0</v>
      </c>
      <c r="X17" s="88">
        <f>ROUND(战斗节奏!$B$3/SUM(IF(无限模式!$E17="",0,VLOOKUP(无限模式!$E17,'⚪设计'!$C$85:$G$101,4,FALSE)*无限模式!$F17),IF(无限模式!$J17="",0,VLOOKUP(无限模式!$J17,'⚪设计'!$C$85:$G$101,4,FALSE)*无限模式!$K17),IF(无限模式!$O17="",0,VLOOKUP(无限模式!$O17,'⚪设计'!$C$85:$G$101,4,FALSE)*无限模式!$P17),IF(无限模式!$T17="",0,VLOOKUP(无限模式!$T17,'⚪设计'!$C$85:$G$101,4,FALSE)*无限模式!$U17))*IF(T17="",0,VLOOKUP(T17,'⚪设计'!$C$85:$G$101,4,FALSE)),0)</f>
        <v>0</v>
      </c>
    </row>
    <row r="18" spans="1:24" x14ac:dyDescent="0.2">
      <c r="A18" s="84">
        <v>16</v>
      </c>
      <c r="B18" s="88">
        <f>MAX(MIN(战斗节奏!$C$3-INT(A18/'⚪设计'!$C$55),MOD(A18,'⚪设计'!$C$55)),0)*'⚪设计'!$C$79*防御塔!$C$2+MIN(INT(A18/'⚪设计'!$C$55),战斗节奏!$C$3)*'⚪设计'!$C$80*防御塔!$C$2</f>
        <v>18900</v>
      </c>
      <c r="C18" s="7">
        <v>1.75</v>
      </c>
      <c r="D18" s="7">
        <v>25</v>
      </c>
      <c r="E18" s="71" t="str">
        <f>IF(VLOOKUP(A18,'⚪设计'!$A$202:$G$221,4,FALSE)="","",VLOOKUP(VLOOKUP(A18,'⚪设计'!$A$202:$G$221,4,FALSE),'⚪设计'!$B$85:$D$101,2,FALSE))</f>
        <v>ResUnit_MiFeng2</v>
      </c>
      <c r="F18" s="88">
        <f t="shared" si="0"/>
        <v>125</v>
      </c>
      <c r="G18" s="7">
        <v>0.2</v>
      </c>
      <c r="H18" s="88">
        <f>IF(E18="",0,ROUND(VLOOKUP($A18,'⚪设计'!$A$202:$B$221,2,FALSE)*$B18/SUM(IF($E18="",0,VLOOKUP($E18,'⚪设计'!$C$85:$E$101,3,FALSE))*$F18,IF($J18="",0,VLOOKUP($J18,'⚪设计'!$C$85:$E$101,3,FALSE))*$K18,IF($O18="",0,VLOOKUP($O18,'⚪设计'!$C$85:$E$101,3,FALSE))*$P18,IF($T18="",0,VLOOKUP($T18,'⚪设计'!$C$85:$E$101,3,FALSE))*$U18)*VLOOKUP(E18,'⚪设计'!$C$85:$E$101,3,FALSE),0))</f>
        <v>16945</v>
      </c>
      <c r="I18" s="88">
        <f>ROUND(战斗节奏!$B$3/SUM(IF(无限模式!$E18="",0,VLOOKUP(无限模式!$E18,'⚪设计'!$C$85:$G$101,4,FALSE)*无限模式!$F18),IF(无限模式!$J18="",0,VLOOKUP(无限模式!$J18,'⚪设计'!$C$85:$G$101,4,FALSE)*无限模式!$K18),IF(无限模式!$O18="",0,VLOOKUP(无限模式!$O18,'⚪设计'!$C$85:$G$101,4,FALSE)*无限模式!$P18),IF(无限模式!$T18="",0,VLOOKUP(无限模式!$T18,'⚪设计'!$C$85:$G$101,4,FALSE)*无限模式!$U18))*IF(E18="",0,VLOOKUP(E18,'⚪设计'!$C$85:$G$101,4,FALSE)),0)</f>
        <v>4</v>
      </c>
      <c r="J18" s="88" t="str">
        <f>IF(VLOOKUP(A18,'⚪设计'!$A$202:$G$221,5,FALSE)="","",VLOOKUP(VLOOKUP(A18,'⚪设计'!$A$202:$G$221,5,FALSE),'⚪设计'!$B$85:$D$101,2,FALSE))</f>
        <v>ResUnit_Gui3</v>
      </c>
      <c r="K18" s="88">
        <f t="shared" si="1"/>
        <v>1</v>
      </c>
      <c r="L18" s="7">
        <v>0</v>
      </c>
      <c r="M18" s="88">
        <f>IF(J18="",0,ROUND(VLOOKUP($A18,'⚪设计'!$A$202:$B$221,2,FALSE)*$B18/SUM(IF($E18="",0,VLOOKUP($E18,'⚪设计'!$C$85:$E$101,3,FALSE))*$F18,IF($J18="",0,VLOOKUP($J18,'⚪设计'!$C$85:$E$101,3,FALSE))*$K18,IF($O18="",0,VLOOKUP($O18,'⚪设计'!$C$85:$E$101,3,FALSE))*$P18,IF($T18="",0,VLOOKUP($T18,'⚪设计'!$C$85:$E$101,3,FALSE))*$U18)*VLOOKUP(J18,'⚪设计'!$C$85:$E$101,3,FALSE),0))</f>
        <v>338897</v>
      </c>
      <c r="N18" s="88">
        <f>ROUND(战斗节奏!$B$3/SUM(IF(无限模式!$E18="",0,VLOOKUP(无限模式!$E18,'⚪设计'!$C$85:$G$101,4,FALSE)*无限模式!$F18),IF(无限模式!$J18="",0,VLOOKUP(无限模式!$J18,'⚪设计'!$C$85:$G$101,4,FALSE)*无限模式!$K18),IF(无限模式!$O18="",0,VLOOKUP(无限模式!$O18,'⚪设计'!$C$85:$G$101,4,FALSE)*无限模式!$P18),IF(无限模式!$T18="",0,VLOOKUP(无限模式!$T18,'⚪设计'!$C$85:$G$101,4,FALSE)*无限模式!$U18))*IF(J18="",0,VLOOKUP(J18,'⚪设计'!$C$85:$G$101,4,FALSE)),0)</f>
        <v>44</v>
      </c>
      <c r="O18" s="71" t="str">
        <f>IF(VLOOKUP(A18,'⚪设计'!$A$202:$G$221,6,FALSE)="","",VLOOKUP(VLOOKUP(A18,'⚪设计'!$A$202:$G$221,6,FALSE),'⚪设计'!$B$85:$D$101,2,FALSE))</f>
        <v/>
      </c>
      <c r="P18" s="88">
        <f t="shared" si="2"/>
        <v>0</v>
      </c>
      <c r="Q18" s="7"/>
      <c r="R18" s="88">
        <f>IF(O18="",0,ROUND(VLOOKUP($A18,'⚪设计'!$A$202:$B$221,2,FALSE)*$B18/SUM(IF($E18="",0,VLOOKUP($E18,'⚪设计'!$C$85:$E$101,3,FALSE))*$F18,IF($J18="",0,VLOOKUP($J18,'⚪设计'!$C$85:$E$101,3,FALSE))*$K18,IF($O18="",0,VLOOKUP($O18,'⚪设计'!$C$85:$E$101,3,FALSE))*$P18,IF($T18="",0,VLOOKUP($T18,'⚪设计'!$C$85:$E$101,3,FALSE))*$U18)*VLOOKUP(O18,'⚪设计'!$C$85:$E$101,3,FALSE),0))</f>
        <v>0</v>
      </c>
      <c r="S18" s="88">
        <f>ROUND(战斗节奏!$B$3/SUM(IF(无限模式!$E18="",0,VLOOKUP(无限模式!$E18,'⚪设计'!$C$85:$G$101,4,FALSE)*无限模式!$F18),IF(无限模式!$J18="",0,VLOOKUP(无限模式!$J18,'⚪设计'!$C$85:$G$101,4,FALSE)*无限模式!$K18),IF(无限模式!$O18="",0,VLOOKUP(无限模式!$O18,'⚪设计'!$C$85:$G$101,4,FALSE)*无限模式!$P18),IF(无限模式!$T18="",0,VLOOKUP(无限模式!$T18,'⚪设计'!$C$85:$G$101,4,FALSE)*无限模式!$U18))*IF(O18="",0,VLOOKUP(O18,'⚪设计'!$C$85:$G$101,4,FALSE)),0)</f>
        <v>0</v>
      </c>
      <c r="T18" s="88" t="str">
        <f>IF(VLOOKUP(A18,'⚪设计'!$A$202:$G$221,7,FALSE)="","",VLOOKUP(VLOOKUP(A18,'⚪设计'!$A$202:$G$221,7,FALSE),'⚪设计'!$B$85:$D$101,2,FALSE))</f>
        <v/>
      </c>
      <c r="U18" s="88">
        <f t="shared" si="3"/>
        <v>0</v>
      </c>
      <c r="V18" s="7"/>
      <c r="W18" s="88">
        <f>IF(T18="",0,ROUND(VLOOKUP($A18,'⚪设计'!$A$202:$B$221,2,FALSE)*$B18/SUM(IF($E18="",0,VLOOKUP($E18,'⚪设计'!$C$85:$E$101,3,FALSE))*$F18,IF($J18="",0,VLOOKUP($J18,'⚪设计'!$C$85:$E$101,3,FALSE))*$K18,IF($O18="",0,VLOOKUP($O18,'⚪设计'!$C$85:$E$101,3,FALSE))*$P18,IF($T18="",0,VLOOKUP($T18,'⚪设计'!$C$85:$E$101,3,FALSE))*$U18)*VLOOKUP(T18,'⚪设计'!$C$85:$E$101,3,FALSE),0))</f>
        <v>0</v>
      </c>
      <c r="X18" s="88">
        <f>ROUND(战斗节奏!$B$3/SUM(IF(无限模式!$E18="",0,VLOOKUP(无限模式!$E18,'⚪设计'!$C$85:$G$101,4,FALSE)*无限模式!$F18),IF(无限模式!$J18="",0,VLOOKUP(无限模式!$J18,'⚪设计'!$C$85:$G$101,4,FALSE)*无限模式!$K18),IF(无限模式!$O18="",0,VLOOKUP(无限模式!$O18,'⚪设计'!$C$85:$G$101,4,FALSE)*无限模式!$P18),IF(无限模式!$T18="",0,VLOOKUP(无限模式!$T18,'⚪设计'!$C$85:$G$101,4,FALSE)*无限模式!$U18))*IF(T18="",0,VLOOKUP(T18,'⚪设计'!$C$85:$G$101,4,FALSE)),0)</f>
        <v>0</v>
      </c>
    </row>
    <row r="19" spans="1:24" x14ac:dyDescent="0.2">
      <c r="A19" s="84">
        <v>17</v>
      </c>
      <c r="B19" s="88">
        <f>MAX(MIN(战斗节奏!$C$3-INT(A19/'⚪设计'!$C$55),MOD(A19,'⚪设计'!$C$55)),0)*'⚪设计'!$C$79*防御塔!$C$2+MIN(INT(A19/'⚪设计'!$C$55),战斗节奏!$C$3)*'⚪设计'!$C$80*防御塔!$C$2</f>
        <v>19800</v>
      </c>
      <c r="C19" s="7">
        <v>1.8</v>
      </c>
      <c r="D19" s="7">
        <v>26</v>
      </c>
      <c r="E19" s="71" t="str">
        <f>IF(VLOOKUP(A19,'⚪设计'!$A$202:$G$221,4,FALSE)="","",VLOOKUP(VLOOKUP(A19,'⚪设计'!$A$202:$G$221,4,FALSE),'⚪设计'!$B$85:$D$101,2,FALSE))</f>
        <v>ResUnit_Dan1</v>
      </c>
      <c r="F19" s="88">
        <f t="shared" si="0"/>
        <v>35</v>
      </c>
      <c r="G19" s="7">
        <v>0.75</v>
      </c>
      <c r="H19" s="88">
        <f>IF(E19="",0,ROUND(VLOOKUP($A19,'⚪设计'!$A$202:$B$221,2,FALSE)*$B19/SUM(IF($E19="",0,VLOOKUP($E19,'⚪设计'!$C$85:$E$101,3,FALSE))*$F19,IF($J19="",0,VLOOKUP($J19,'⚪设计'!$C$85:$E$101,3,FALSE))*$K19,IF($O19="",0,VLOOKUP($O19,'⚪设计'!$C$85:$E$101,3,FALSE))*$P19,IF($T19="",0,VLOOKUP($T19,'⚪设计'!$C$85:$E$101,3,FALSE))*$U19)*VLOOKUP(E19,'⚪设计'!$C$85:$E$101,3,FALSE),0))</f>
        <v>37358</v>
      </c>
      <c r="I19" s="88">
        <f>ROUND(战斗节奏!$B$3/SUM(IF(无限模式!$E19="",0,VLOOKUP(无限模式!$E19,'⚪设计'!$C$85:$G$101,4,FALSE)*无限模式!$F19),IF(无限模式!$J19="",0,VLOOKUP(无限模式!$J19,'⚪设计'!$C$85:$G$101,4,FALSE)*无限模式!$K19),IF(无限模式!$O19="",0,VLOOKUP(无限模式!$O19,'⚪设计'!$C$85:$G$101,4,FALSE)*无限模式!$P19),IF(无限模式!$T19="",0,VLOOKUP(无限模式!$T19,'⚪设计'!$C$85:$G$101,4,FALSE)*无限模式!$U19))*IF(E19="",0,VLOOKUP(E19,'⚪设计'!$C$85:$G$101,4,FALSE)),0)</f>
        <v>14</v>
      </c>
      <c r="J19" s="88" t="str">
        <f>IF(VLOOKUP(A19,'⚪设计'!$A$202:$G$221,5,FALSE)="","",VLOOKUP(VLOOKUP(A19,'⚪设计'!$A$202:$G$221,5,FALSE),'⚪设计'!$B$85:$D$101,2,FALSE))</f>
        <v>ResUnit_Dan2</v>
      </c>
      <c r="K19" s="88">
        <f t="shared" si="1"/>
        <v>9</v>
      </c>
      <c r="L19" s="7">
        <v>3</v>
      </c>
      <c r="M19" s="88">
        <f>IF(J19="",0,ROUND(VLOOKUP($A19,'⚪设计'!$A$202:$B$221,2,FALSE)*$B19/SUM(IF($E19="",0,VLOOKUP($E19,'⚪设计'!$C$85:$E$101,3,FALSE))*$F19,IF($J19="",0,VLOOKUP($J19,'⚪设计'!$C$85:$E$101,3,FALSE))*$K19,IF($O19="",0,VLOOKUP($O19,'⚪设计'!$C$85:$E$101,3,FALSE))*$P19,IF($T19="",0,VLOOKUP($T19,'⚪设计'!$C$85:$E$101,3,FALSE))*$U19)*VLOOKUP(J19,'⚪设计'!$C$85:$E$101,3,FALSE),0))</f>
        <v>74717</v>
      </c>
      <c r="N19" s="88">
        <f>ROUND(战斗节奏!$B$3/SUM(IF(无限模式!$E19="",0,VLOOKUP(无限模式!$E19,'⚪设计'!$C$85:$G$101,4,FALSE)*无限模式!$F19),IF(无限模式!$J19="",0,VLOOKUP(无限模式!$J19,'⚪设计'!$C$85:$G$101,4,FALSE)*无限模式!$K19),IF(无限模式!$O19="",0,VLOOKUP(无限模式!$O19,'⚪设计'!$C$85:$G$101,4,FALSE)*无限模式!$P19),IF(无限模式!$T19="",0,VLOOKUP(无限模式!$T19,'⚪设计'!$C$85:$G$101,4,FALSE)*无限模式!$U19))*IF(J19="",0,VLOOKUP(J19,'⚪设计'!$C$85:$G$101,4,FALSE)),0)</f>
        <v>14</v>
      </c>
      <c r="O19" s="71" t="str">
        <f>IF(VLOOKUP(A19,'⚪设计'!$A$202:$G$221,6,FALSE)="","",VLOOKUP(VLOOKUP(A19,'⚪设计'!$A$202:$G$221,6,FALSE),'⚪设计'!$B$85:$D$101,2,FALSE))</f>
        <v/>
      </c>
      <c r="P19" s="88">
        <f t="shared" si="2"/>
        <v>0</v>
      </c>
      <c r="Q19" s="7"/>
      <c r="R19" s="88">
        <f>IF(O19="",0,ROUND(VLOOKUP($A19,'⚪设计'!$A$202:$B$221,2,FALSE)*$B19/SUM(IF($E19="",0,VLOOKUP($E19,'⚪设计'!$C$85:$E$101,3,FALSE))*$F19,IF($J19="",0,VLOOKUP($J19,'⚪设计'!$C$85:$E$101,3,FALSE))*$K19,IF($O19="",0,VLOOKUP($O19,'⚪设计'!$C$85:$E$101,3,FALSE))*$P19,IF($T19="",0,VLOOKUP($T19,'⚪设计'!$C$85:$E$101,3,FALSE))*$U19)*VLOOKUP(O19,'⚪设计'!$C$85:$E$101,3,FALSE),0))</f>
        <v>0</v>
      </c>
      <c r="S19" s="88">
        <f>ROUND(战斗节奏!$B$3/SUM(IF(无限模式!$E19="",0,VLOOKUP(无限模式!$E19,'⚪设计'!$C$85:$G$101,4,FALSE)*无限模式!$F19),IF(无限模式!$J19="",0,VLOOKUP(无限模式!$J19,'⚪设计'!$C$85:$G$101,4,FALSE)*无限模式!$K19),IF(无限模式!$O19="",0,VLOOKUP(无限模式!$O19,'⚪设计'!$C$85:$G$101,4,FALSE)*无限模式!$P19),IF(无限模式!$T19="",0,VLOOKUP(无限模式!$T19,'⚪设计'!$C$85:$G$101,4,FALSE)*无限模式!$U19))*IF(O19="",0,VLOOKUP(O19,'⚪设计'!$C$85:$G$101,4,FALSE)),0)</f>
        <v>0</v>
      </c>
      <c r="T19" s="88" t="str">
        <f>IF(VLOOKUP(A19,'⚪设计'!$A$202:$G$221,7,FALSE)="","",VLOOKUP(VLOOKUP(A19,'⚪设计'!$A$202:$G$221,7,FALSE),'⚪设计'!$B$85:$D$101,2,FALSE))</f>
        <v/>
      </c>
      <c r="U19" s="88">
        <f t="shared" si="3"/>
        <v>0</v>
      </c>
      <c r="V19" s="7"/>
      <c r="W19" s="88">
        <f>IF(T19="",0,ROUND(VLOOKUP($A19,'⚪设计'!$A$202:$B$221,2,FALSE)*$B19/SUM(IF($E19="",0,VLOOKUP($E19,'⚪设计'!$C$85:$E$101,3,FALSE))*$F19,IF($J19="",0,VLOOKUP($J19,'⚪设计'!$C$85:$E$101,3,FALSE))*$K19,IF($O19="",0,VLOOKUP($O19,'⚪设计'!$C$85:$E$101,3,FALSE))*$P19,IF($T19="",0,VLOOKUP($T19,'⚪设计'!$C$85:$E$101,3,FALSE))*$U19)*VLOOKUP(T19,'⚪设计'!$C$85:$E$101,3,FALSE),0))</f>
        <v>0</v>
      </c>
      <c r="X19" s="88">
        <f>ROUND(战斗节奏!$B$3/SUM(IF(无限模式!$E19="",0,VLOOKUP(无限模式!$E19,'⚪设计'!$C$85:$G$101,4,FALSE)*无限模式!$F19),IF(无限模式!$J19="",0,VLOOKUP(无限模式!$J19,'⚪设计'!$C$85:$G$101,4,FALSE)*无限模式!$K19),IF(无限模式!$O19="",0,VLOOKUP(无限模式!$O19,'⚪设计'!$C$85:$G$101,4,FALSE)*无限模式!$P19),IF(无限模式!$T19="",0,VLOOKUP(无限模式!$T19,'⚪设计'!$C$85:$G$101,4,FALSE)*无限模式!$U19))*IF(T19="",0,VLOOKUP(T19,'⚪设计'!$C$85:$G$101,4,FALSE)),0)</f>
        <v>0</v>
      </c>
    </row>
    <row r="20" spans="1:24" x14ac:dyDescent="0.2">
      <c r="A20" s="84">
        <v>18</v>
      </c>
      <c r="B20" s="88">
        <f>MAX(MIN(战斗节奏!$C$3-INT(A20/'⚪设计'!$C$55),MOD(A20,'⚪设计'!$C$55)),0)*'⚪设计'!$C$79*防御塔!$C$2+MIN(INT(A20/'⚪设计'!$C$55),战斗节奏!$C$3)*'⚪设计'!$C$80*防御塔!$C$2</f>
        <v>21600</v>
      </c>
      <c r="C20" s="7">
        <v>1.85</v>
      </c>
      <c r="D20" s="7">
        <v>27</v>
      </c>
      <c r="E20" s="71" t="str">
        <f>IF(VLOOKUP(A20,'⚪设计'!$A$202:$G$221,4,FALSE)="","",VLOOKUP(VLOOKUP(A20,'⚪设计'!$A$202:$G$221,4,FALSE),'⚪设计'!$B$85:$D$101,2,FALSE))</f>
        <v>ResUnit_Dan2</v>
      </c>
      <c r="F20" s="88">
        <f t="shared" si="0"/>
        <v>18</v>
      </c>
      <c r="G20" s="7">
        <v>1.5</v>
      </c>
      <c r="H20" s="88">
        <f>IF(E20="",0,ROUND(VLOOKUP($A20,'⚪设计'!$A$202:$B$221,2,FALSE)*$B20/SUM(IF($E20="",0,VLOOKUP($E20,'⚪设计'!$C$85:$E$101,3,FALSE))*$F20,IF($J20="",0,VLOOKUP($J20,'⚪设计'!$C$85:$E$101,3,FALSE))*$K20,IF($O20="",0,VLOOKUP($O20,'⚪设计'!$C$85:$E$101,3,FALSE))*$P20,IF($T20="",0,VLOOKUP($T20,'⚪设计'!$C$85:$E$101,3,FALSE))*$U20)*VLOOKUP(E20,'⚪设计'!$C$85:$E$101,3,FALSE),0))</f>
        <v>66000</v>
      </c>
      <c r="I20" s="88">
        <f>ROUND(战斗节奏!$B$3/SUM(IF(无限模式!$E20="",0,VLOOKUP(无限模式!$E20,'⚪设计'!$C$85:$G$101,4,FALSE)*无限模式!$F20),IF(无限模式!$J20="",0,VLOOKUP(无限模式!$J20,'⚪设计'!$C$85:$G$101,4,FALSE)*无限模式!$K20),IF(无限模式!$O20="",0,VLOOKUP(无限模式!$O20,'⚪设计'!$C$85:$G$101,4,FALSE)*无限模式!$P20),IF(无限模式!$T20="",0,VLOOKUP(无限模式!$T20,'⚪设计'!$C$85:$G$101,4,FALSE)*无限模式!$U20))*IF(E20="",0,VLOOKUP(E20,'⚪设计'!$C$85:$G$101,4,FALSE)),0)</f>
        <v>17</v>
      </c>
      <c r="J20" s="88" t="str">
        <f>IF(VLOOKUP(A20,'⚪设计'!$A$202:$G$221,5,FALSE)="","",VLOOKUP(VLOOKUP(A20,'⚪设计'!$A$202:$G$221,5,FALSE),'⚪设计'!$B$85:$D$101,2,FALSE))</f>
        <v>ResUnit_ZhiZhu2</v>
      </c>
      <c r="K20" s="88">
        <f t="shared" si="1"/>
        <v>36</v>
      </c>
      <c r="L20" s="7">
        <v>0.75</v>
      </c>
      <c r="M20" s="88">
        <f>IF(J20="",0,ROUND(VLOOKUP($A20,'⚪设计'!$A$202:$B$221,2,FALSE)*$B20/SUM(IF($E20="",0,VLOOKUP($E20,'⚪设计'!$C$85:$E$101,3,FALSE))*$F20,IF($J20="",0,VLOOKUP($J20,'⚪设计'!$C$85:$E$101,3,FALSE))*$K20,IF($O20="",0,VLOOKUP($O20,'⚪设计'!$C$85:$E$101,3,FALSE))*$P20,IF($T20="",0,VLOOKUP($T20,'⚪设计'!$C$85:$E$101,3,FALSE))*$U20)*VLOOKUP(J20,'⚪设计'!$C$85:$E$101,3,FALSE),0))</f>
        <v>33000</v>
      </c>
      <c r="N20" s="88">
        <f>ROUND(战斗节奏!$B$3/SUM(IF(无限模式!$E20="",0,VLOOKUP(无限模式!$E20,'⚪设计'!$C$85:$G$101,4,FALSE)*无限模式!$F20),IF(无限模式!$J20="",0,VLOOKUP(无限模式!$J20,'⚪设计'!$C$85:$G$101,4,FALSE)*无限模式!$K20),IF(无限模式!$O20="",0,VLOOKUP(无限模式!$O20,'⚪设计'!$C$85:$G$101,4,FALSE)*无限模式!$P20),IF(无限模式!$T20="",0,VLOOKUP(无限模式!$T20,'⚪设计'!$C$85:$G$101,4,FALSE)*无限模式!$U20))*IF(J20="",0,VLOOKUP(J20,'⚪设计'!$C$85:$G$101,4,FALSE)),0)</f>
        <v>8</v>
      </c>
      <c r="O20" s="71" t="str">
        <f>IF(VLOOKUP(A20,'⚪设计'!$A$202:$G$221,6,FALSE)="","",VLOOKUP(VLOOKUP(A20,'⚪设计'!$A$202:$G$221,6,FALSE),'⚪设计'!$B$85:$D$101,2,FALSE))</f>
        <v/>
      </c>
      <c r="P20" s="88">
        <f t="shared" si="2"/>
        <v>0</v>
      </c>
      <c r="Q20" s="7"/>
      <c r="R20" s="88">
        <f>IF(O20="",0,ROUND(VLOOKUP($A20,'⚪设计'!$A$202:$B$221,2,FALSE)*$B20/SUM(IF($E20="",0,VLOOKUP($E20,'⚪设计'!$C$85:$E$101,3,FALSE))*$F20,IF($J20="",0,VLOOKUP($J20,'⚪设计'!$C$85:$E$101,3,FALSE))*$K20,IF($O20="",0,VLOOKUP($O20,'⚪设计'!$C$85:$E$101,3,FALSE))*$P20,IF($T20="",0,VLOOKUP($T20,'⚪设计'!$C$85:$E$101,3,FALSE))*$U20)*VLOOKUP(O20,'⚪设计'!$C$85:$E$101,3,FALSE),0))</f>
        <v>0</v>
      </c>
      <c r="S20" s="88">
        <f>ROUND(战斗节奏!$B$3/SUM(IF(无限模式!$E20="",0,VLOOKUP(无限模式!$E20,'⚪设计'!$C$85:$G$101,4,FALSE)*无限模式!$F20),IF(无限模式!$J20="",0,VLOOKUP(无限模式!$J20,'⚪设计'!$C$85:$G$101,4,FALSE)*无限模式!$K20),IF(无限模式!$O20="",0,VLOOKUP(无限模式!$O20,'⚪设计'!$C$85:$G$101,4,FALSE)*无限模式!$P20),IF(无限模式!$T20="",0,VLOOKUP(无限模式!$T20,'⚪设计'!$C$85:$G$101,4,FALSE)*无限模式!$U20))*IF(O20="",0,VLOOKUP(O20,'⚪设计'!$C$85:$G$101,4,FALSE)),0)</f>
        <v>0</v>
      </c>
      <c r="T20" s="88" t="str">
        <f>IF(VLOOKUP(A20,'⚪设计'!$A$202:$G$221,7,FALSE)="","",VLOOKUP(VLOOKUP(A20,'⚪设计'!$A$202:$G$221,7,FALSE),'⚪设计'!$B$85:$D$101,2,FALSE))</f>
        <v/>
      </c>
      <c r="U20" s="88">
        <f t="shared" si="3"/>
        <v>0</v>
      </c>
      <c r="V20" s="7"/>
      <c r="W20" s="88">
        <f>IF(T20="",0,ROUND(VLOOKUP($A20,'⚪设计'!$A$202:$B$221,2,FALSE)*$B20/SUM(IF($E20="",0,VLOOKUP($E20,'⚪设计'!$C$85:$E$101,3,FALSE))*$F20,IF($J20="",0,VLOOKUP($J20,'⚪设计'!$C$85:$E$101,3,FALSE))*$K20,IF($O20="",0,VLOOKUP($O20,'⚪设计'!$C$85:$E$101,3,FALSE))*$P20,IF($T20="",0,VLOOKUP($T20,'⚪设计'!$C$85:$E$101,3,FALSE))*$U20)*VLOOKUP(T20,'⚪设计'!$C$85:$E$101,3,FALSE),0))</f>
        <v>0</v>
      </c>
      <c r="X20" s="88">
        <f>ROUND(战斗节奏!$B$3/SUM(IF(无限模式!$E20="",0,VLOOKUP(无限模式!$E20,'⚪设计'!$C$85:$G$101,4,FALSE)*无限模式!$F20),IF(无限模式!$J20="",0,VLOOKUP(无限模式!$J20,'⚪设计'!$C$85:$G$101,4,FALSE)*无限模式!$K20),IF(无限模式!$O20="",0,VLOOKUP(无限模式!$O20,'⚪设计'!$C$85:$G$101,4,FALSE)*无限模式!$P20),IF(无限模式!$T20="",0,VLOOKUP(无限模式!$T20,'⚪设计'!$C$85:$G$101,4,FALSE)*无限模式!$U20))*IF(T20="",0,VLOOKUP(T20,'⚪设计'!$C$85:$G$101,4,FALSE)),0)</f>
        <v>0</v>
      </c>
    </row>
    <row r="21" spans="1:24" x14ac:dyDescent="0.2">
      <c r="A21" s="84">
        <v>19</v>
      </c>
      <c r="B21" s="88">
        <f>MAX(MIN(战斗节奏!$C$3-INT(A21/'⚪设计'!$C$55),MOD(A21,'⚪设计'!$C$55)),0)*'⚪设计'!$C$79*防御塔!$C$2+MIN(INT(A21/'⚪设计'!$C$55),战斗节奏!$C$3)*'⚪设计'!$C$80*防御塔!$C$2</f>
        <v>22500</v>
      </c>
      <c r="C21" s="7">
        <v>1.9</v>
      </c>
      <c r="D21" s="7">
        <v>28</v>
      </c>
      <c r="E21" s="71" t="str">
        <f>IF(VLOOKUP(A21,'⚪设计'!$A$202:$G$221,4,FALSE)="","",VLOOKUP(VLOOKUP(A21,'⚪设计'!$A$202:$G$221,4,FALSE),'⚪设计'!$B$85:$D$101,2,FALSE))</f>
        <v>ResUnit_Dan2</v>
      </c>
      <c r="F21" s="88">
        <f t="shared" si="0"/>
        <v>19</v>
      </c>
      <c r="G21" s="7">
        <v>1.5</v>
      </c>
      <c r="H21" s="88">
        <f>IF(E21="",0,ROUND(VLOOKUP($A21,'⚪设计'!$A$202:$B$221,2,FALSE)*$B21/SUM(IF($E21="",0,VLOOKUP($E21,'⚪设计'!$C$85:$E$101,3,FALSE))*$F21,IF($J21="",0,VLOOKUP($J21,'⚪设计'!$C$85:$E$101,3,FALSE))*$K21,IF($O21="",0,VLOOKUP($O21,'⚪设计'!$C$85:$E$101,3,FALSE))*$P21,IF($T21="",0,VLOOKUP($T21,'⚪设计'!$C$85:$E$101,3,FALSE))*$U21)*VLOOKUP(E21,'⚪设计'!$C$85:$E$101,3,FALSE),0))</f>
        <v>46154</v>
      </c>
      <c r="I21" s="88">
        <f>ROUND(战斗节奏!$B$3/SUM(IF(无限模式!$E21="",0,VLOOKUP(无限模式!$E21,'⚪设计'!$C$85:$G$101,4,FALSE)*无限模式!$F21),IF(无限模式!$J21="",0,VLOOKUP(无限模式!$J21,'⚪设计'!$C$85:$G$101,4,FALSE)*无限模式!$K21),IF(无限模式!$O21="",0,VLOOKUP(无限模式!$O21,'⚪设计'!$C$85:$G$101,4,FALSE)*无限模式!$P21),IF(无限模式!$T21="",0,VLOOKUP(无限模式!$T21,'⚪设计'!$C$85:$G$101,4,FALSE)*无限模式!$U21))*IF(E21="",0,VLOOKUP(E21,'⚪设计'!$C$85:$G$101,4,FALSE)),0)</f>
        <v>12</v>
      </c>
      <c r="J21" s="88" t="str">
        <f>IF(VLOOKUP(A21,'⚪设计'!$A$202:$G$221,5,FALSE)="","",VLOOKUP(VLOOKUP(A21,'⚪设计'!$A$202:$G$221,5,FALSE),'⚪设计'!$B$85:$D$101,2,FALSE))</f>
        <v>ResUnit_ZhiZhu2</v>
      </c>
      <c r="K21" s="88">
        <f t="shared" si="1"/>
        <v>37</v>
      </c>
      <c r="L21" s="7">
        <v>0.75</v>
      </c>
      <c r="M21" s="88">
        <f>IF(J21="",0,ROUND(VLOOKUP($A21,'⚪设计'!$A$202:$B$221,2,FALSE)*$B21/SUM(IF($E21="",0,VLOOKUP($E21,'⚪设计'!$C$85:$E$101,3,FALSE))*$F21,IF($J21="",0,VLOOKUP($J21,'⚪设计'!$C$85:$E$101,3,FALSE))*$K21,IF($O21="",0,VLOOKUP($O21,'⚪设计'!$C$85:$E$101,3,FALSE))*$P21,IF($T21="",0,VLOOKUP($T21,'⚪设计'!$C$85:$E$101,3,FALSE))*$U21)*VLOOKUP(J21,'⚪设计'!$C$85:$E$101,3,FALSE),0))</f>
        <v>23077</v>
      </c>
      <c r="N21" s="88">
        <f>ROUND(战斗节奏!$B$3/SUM(IF(无限模式!$E21="",0,VLOOKUP(无限模式!$E21,'⚪设计'!$C$85:$G$101,4,FALSE)*无限模式!$F21),IF(无限模式!$J21="",0,VLOOKUP(无限模式!$J21,'⚪设计'!$C$85:$G$101,4,FALSE)*无限模式!$K21),IF(无限模式!$O21="",0,VLOOKUP(无限模式!$O21,'⚪设计'!$C$85:$G$101,4,FALSE)*无限模式!$P21),IF(无限模式!$T21="",0,VLOOKUP(无限模式!$T21,'⚪设计'!$C$85:$G$101,4,FALSE)*无限模式!$U21))*IF(J21="",0,VLOOKUP(J21,'⚪设计'!$C$85:$G$101,4,FALSE)),0)</f>
        <v>6</v>
      </c>
      <c r="O21" s="71" t="str">
        <f>IF(VLOOKUP(A21,'⚪设计'!$A$202:$G$221,6,FALSE)="","",VLOOKUP(VLOOKUP(A21,'⚪设计'!$A$202:$G$221,6,FALSE),'⚪设计'!$B$85:$D$101,2,FALSE))</f>
        <v>ResUnit_ZhongZi2</v>
      </c>
      <c r="P21" s="88">
        <f t="shared" si="2"/>
        <v>14</v>
      </c>
      <c r="Q21" s="7">
        <v>2</v>
      </c>
      <c r="R21" s="88">
        <f>IF(O21="",0,ROUND(VLOOKUP($A21,'⚪设计'!$A$202:$B$221,2,FALSE)*$B21/SUM(IF($E21="",0,VLOOKUP($E21,'⚪设计'!$C$85:$E$101,3,FALSE))*$F21,IF($J21="",0,VLOOKUP($J21,'⚪设计'!$C$85:$E$101,3,FALSE))*$K21,IF($O21="",0,VLOOKUP($O21,'⚪设计'!$C$85:$E$101,3,FALSE))*$P21,IF($T21="",0,VLOOKUP($T21,'⚪设计'!$C$85:$E$101,3,FALSE))*$U21)*VLOOKUP(O21,'⚪设计'!$C$85:$E$101,3,FALSE),0))</f>
        <v>69231</v>
      </c>
      <c r="S21" s="88">
        <f>ROUND(战斗节奏!$B$3/SUM(IF(无限模式!$E21="",0,VLOOKUP(无限模式!$E21,'⚪设计'!$C$85:$G$101,4,FALSE)*无限模式!$F21),IF(无限模式!$J21="",0,VLOOKUP(无限模式!$J21,'⚪设计'!$C$85:$G$101,4,FALSE)*无限模式!$K21),IF(无限模式!$O21="",0,VLOOKUP(无限模式!$O21,'⚪设计'!$C$85:$G$101,4,FALSE)*无限模式!$P21),IF(无限模式!$T21="",0,VLOOKUP(无限模式!$T21,'⚪设计'!$C$85:$G$101,4,FALSE)*无限模式!$U21))*IF(O21="",0,VLOOKUP(O21,'⚪设计'!$C$85:$G$101,4,FALSE)),0)</f>
        <v>12</v>
      </c>
      <c r="T21" s="88" t="str">
        <f>IF(VLOOKUP(A21,'⚪设计'!$A$202:$G$221,7,FALSE)="","",VLOOKUP(VLOOKUP(A21,'⚪设计'!$A$202:$G$221,7,FALSE),'⚪设计'!$B$85:$D$101,2,FALSE))</f>
        <v/>
      </c>
      <c r="U21" s="88">
        <f t="shared" si="3"/>
        <v>0</v>
      </c>
      <c r="V21" s="7"/>
      <c r="W21" s="88">
        <f>IF(T21="",0,ROUND(VLOOKUP($A21,'⚪设计'!$A$202:$B$221,2,FALSE)*$B21/SUM(IF($E21="",0,VLOOKUP($E21,'⚪设计'!$C$85:$E$101,3,FALSE))*$F21,IF($J21="",0,VLOOKUP($J21,'⚪设计'!$C$85:$E$101,3,FALSE))*$K21,IF($O21="",0,VLOOKUP($O21,'⚪设计'!$C$85:$E$101,3,FALSE))*$P21,IF($T21="",0,VLOOKUP($T21,'⚪设计'!$C$85:$E$101,3,FALSE))*$U21)*VLOOKUP(T21,'⚪设计'!$C$85:$E$101,3,FALSE),0))</f>
        <v>0</v>
      </c>
      <c r="X21" s="88">
        <f>ROUND(战斗节奏!$B$3/SUM(IF(无限模式!$E21="",0,VLOOKUP(无限模式!$E21,'⚪设计'!$C$85:$G$101,4,FALSE)*无限模式!$F21),IF(无限模式!$J21="",0,VLOOKUP(无限模式!$J21,'⚪设计'!$C$85:$G$101,4,FALSE)*无限模式!$K21),IF(无限模式!$O21="",0,VLOOKUP(无限模式!$O21,'⚪设计'!$C$85:$G$101,4,FALSE)*无限模式!$P21),IF(无限模式!$T21="",0,VLOOKUP(无限模式!$T21,'⚪设计'!$C$85:$G$101,4,FALSE)*无限模式!$U21))*IF(T21="",0,VLOOKUP(T21,'⚪设计'!$C$85:$G$101,4,FALSE)),0)</f>
        <v>0</v>
      </c>
    </row>
    <row r="22" spans="1:24" x14ac:dyDescent="0.2">
      <c r="A22" s="84">
        <v>20</v>
      </c>
      <c r="B22" s="88">
        <f>MAX(MIN(战斗节奏!$C$3-INT(A22/'⚪设计'!$C$55),MOD(A22,'⚪设计'!$C$55)),0)*'⚪设计'!$C$79*防御塔!$C$2+MIN(INT(A22/'⚪设计'!$C$55),战斗节奏!$C$3)*'⚪设计'!$C$80*防御塔!$C$2</f>
        <v>23400</v>
      </c>
      <c r="C22" s="7">
        <v>1.95</v>
      </c>
      <c r="D22" s="7">
        <v>29</v>
      </c>
      <c r="E22" s="71" t="str">
        <f>IF(VLOOKUP(A22,'⚪设计'!$A$202:$G$221,4,FALSE)="","",VLOOKUP(VLOOKUP(A22,'⚪设计'!$A$202:$G$221,4,FALSE),'⚪设计'!$B$85:$D$101,2,FALSE))</f>
        <v>ResUnit_Dan2</v>
      </c>
      <c r="F22" s="88">
        <f t="shared" si="0"/>
        <v>19</v>
      </c>
      <c r="G22" s="7">
        <v>1.5</v>
      </c>
      <c r="H22" s="88">
        <f>IF(E22="",0,ROUND(VLOOKUP($A22,'⚪设计'!$A$202:$B$221,2,FALSE)*$B22/SUM(IF($E22="",0,VLOOKUP($E22,'⚪设计'!$C$85:$E$101,3,FALSE))*$F22,IF($J22="",0,VLOOKUP($J22,'⚪设计'!$C$85:$E$101,3,FALSE))*$K22,IF($O22="",0,VLOOKUP($O22,'⚪设计'!$C$85:$E$101,3,FALSE))*$P22,IF($T22="",0,VLOOKUP($T22,'⚪设计'!$C$85:$E$101,3,FALSE))*$U22)*VLOOKUP(E22,'⚪设计'!$C$85:$E$101,3,FALSE),0))</f>
        <v>40696</v>
      </c>
      <c r="I22" s="88">
        <f>ROUND(战斗节奏!$B$3/SUM(IF(无限模式!$E22="",0,VLOOKUP(无限模式!$E22,'⚪设计'!$C$85:$G$101,4,FALSE)*无限模式!$F22),IF(无限模式!$J22="",0,VLOOKUP(无限模式!$J22,'⚪设计'!$C$85:$G$101,4,FALSE)*无限模式!$K22),IF(无限模式!$O22="",0,VLOOKUP(无限模式!$O22,'⚪设计'!$C$85:$G$101,4,FALSE)*无限模式!$P22),IF(无限模式!$T22="",0,VLOOKUP(无限模式!$T22,'⚪设计'!$C$85:$G$101,4,FALSE)*无限模式!$U22))*IF(E22="",0,VLOOKUP(E22,'⚪设计'!$C$85:$G$101,4,FALSE)),0)</f>
        <v>7</v>
      </c>
      <c r="J22" s="88" t="str">
        <f>IF(VLOOKUP(A22,'⚪设计'!$A$202:$G$221,5,FALSE)="","",VLOOKUP(VLOOKUP(A22,'⚪设计'!$A$202:$G$221,5,FALSE),'⚪设计'!$B$85:$D$101,2,FALSE))</f>
        <v>ResUnit_Gui2</v>
      </c>
      <c r="K22" s="88">
        <f t="shared" si="1"/>
        <v>39</v>
      </c>
      <c r="L22" s="7">
        <v>0.75</v>
      </c>
      <c r="M22" s="88">
        <f>IF(J22="",0,ROUND(VLOOKUP($A22,'⚪设计'!$A$202:$B$221,2,FALSE)*$B22/SUM(IF($E22="",0,VLOOKUP($E22,'⚪设计'!$C$85:$E$101,3,FALSE))*$F22,IF($J22="",0,VLOOKUP($J22,'⚪设计'!$C$85:$E$101,3,FALSE))*$K22,IF($O22="",0,VLOOKUP($O22,'⚪设计'!$C$85:$E$101,3,FALSE))*$P22,IF($T22="",0,VLOOKUP($T22,'⚪设计'!$C$85:$E$101,3,FALSE))*$U22)*VLOOKUP(J22,'⚪设计'!$C$85:$E$101,3,FALSE),0))</f>
        <v>20348</v>
      </c>
      <c r="N22" s="88">
        <f>ROUND(战斗节奏!$B$3/SUM(IF(无限模式!$E22="",0,VLOOKUP(无限模式!$E22,'⚪设计'!$C$85:$G$101,4,FALSE)*无限模式!$F22),IF(无限模式!$J22="",0,VLOOKUP(无限模式!$J22,'⚪设计'!$C$85:$G$101,4,FALSE)*无限模式!$K22),IF(无限模式!$O22="",0,VLOOKUP(无限模式!$O22,'⚪设计'!$C$85:$G$101,4,FALSE)*无限模式!$P22),IF(无限模式!$T22="",0,VLOOKUP(无限模式!$T22,'⚪设计'!$C$85:$G$101,4,FALSE)*无限模式!$U22))*IF(J22="",0,VLOOKUP(J22,'⚪设计'!$C$85:$G$101,4,FALSE)),0)</f>
        <v>3</v>
      </c>
      <c r="O22" s="71" t="str">
        <f>IF(VLOOKUP(A22,'⚪设计'!$A$202:$G$221,6,FALSE)="","",VLOOKUP(VLOOKUP(A22,'⚪设计'!$A$202:$G$221,6,FALSE),'⚪设计'!$B$85:$D$101,2,FALSE))</f>
        <v>ResUnit_ZhongZi2</v>
      </c>
      <c r="P22" s="88">
        <f t="shared" si="2"/>
        <v>29</v>
      </c>
      <c r="Q22" s="7">
        <v>1</v>
      </c>
      <c r="R22" s="88">
        <f>IF(O22="",0,ROUND(VLOOKUP($A22,'⚪设计'!$A$202:$B$221,2,FALSE)*$B22/SUM(IF($E22="",0,VLOOKUP($E22,'⚪设计'!$C$85:$E$101,3,FALSE))*$F22,IF($J22="",0,VLOOKUP($J22,'⚪设计'!$C$85:$E$101,3,FALSE))*$K22,IF($O22="",0,VLOOKUP($O22,'⚪设计'!$C$85:$E$101,3,FALSE))*$P22,IF($T22="",0,VLOOKUP($T22,'⚪设计'!$C$85:$E$101,3,FALSE))*$U22)*VLOOKUP(O22,'⚪设计'!$C$85:$E$101,3,FALSE),0))</f>
        <v>61043</v>
      </c>
      <c r="S22" s="88">
        <f>ROUND(战斗节奏!$B$3/SUM(IF(无限模式!$E22="",0,VLOOKUP(无限模式!$E22,'⚪设计'!$C$85:$G$101,4,FALSE)*无限模式!$F22),IF(无限模式!$J22="",0,VLOOKUP(无限模式!$J22,'⚪设计'!$C$85:$G$101,4,FALSE)*无限模式!$K22),IF(无限模式!$O22="",0,VLOOKUP(无限模式!$O22,'⚪设计'!$C$85:$G$101,4,FALSE)*无限模式!$P22),IF(无限模式!$T22="",0,VLOOKUP(无限模式!$T22,'⚪设计'!$C$85:$G$101,4,FALSE)*无限模式!$U22))*IF(O22="",0,VLOOKUP(O22,'⚪设计'!$C$85:$G$101,4,FALSE)),0)</f>
        <v>7</v>
      </c>
      <c r="T22" s="88" t="str">
        <f>IF(VLOOKUP(A22,'⚪设计'!$A$202:$G$221,7,FALSE)="","",VLOOKUP(VLOOKUP(A22,'⚪设计'!$A$202:$G$221,7,FALSE),'⚪设计'!$B$85:$D$101,2,FALSE))</f>
        <v>ResUnit_Dan3</v>
      </c>
      <c r="U22" s="88">
        <f t="shared" si="3"/>
        <v>1</v>
      </c>
      <c r="V22" s="7">
        <v>0</v>
      </c>
      <c r="W22" s="88">
        <f>IF(T22="",0,ROUND(VLOOKUP($A22,'⚪设计'!$A$202:$B$221,2,FALSE)*$B22/SUM(IF($E22="",0,VLOOKUP($E22,'⚪设计'!$C$85:$E$101,3,FALSE))*$F22,IF($J22="",0,VLOOKUP($J22,'⚪设计'!$C$85:$E$101,3,FALSE))*$K22,IF($O22="",0,VLOOKUP($O22,'⚪设计'!$C$85:$E$101,3,FALSE))*$P22,IF($T22="",0,VLOOKUP($T22,'⚪设计'!$C$85:$E$101,3,FALSE))*$U22)*VLOOKUP(T22,'⚪设计'!$C$85:$E$101,3,FALSE),0))</f>
        <v>406957</v>
      </c>
      <c r="X22" s="88">
        <f>ROUND(战斗节奏!$B$3/SUM(IF(无限模式!$E22="",0,VLOOKUP(无限模式!$E22,'⚪设计'!$C$85:$G$101,4,FALSE)*无限模式!$F22),IF(无限模式!$J22="",0,VLOOKUP(无限模式!$J22,'⚪设计'!$C$85:$G$101,4,FALSE)*无限模式!$K22),IF(无限模式!$O22="",0,VLOOKUP(无限模式!$O22,'⚪设计'!$C$85:$G$101,4,FALSE)*无限模式!$P22),IF(无限模式!$T22="",0,VLOOKUP(无限模式!$T22,'⚪设计'!$C$85:$G$101,4,FALSE)*无限模式!$U22))*IF(T22="",0,VLOOKUP(T22,'⚪设计'!$C$85:$G$101,4,FALSE)),0)</f>
        <v>137</v>
      </c>
    </row>
  </sheetData>
  <mergeCells count="8">
    <mergeCell ref="E1:I1"/>
    <mergeCell ref="J1:N1"/>
    <mergeCell ref="O1:S1"/>
    <mergeCell ref="T1:X1"/>
    <mergeCell ref="A1:A2"/>
    <mergeCell ref="D1:D2"/>
    <mergeCell ref="B1:B2"/>
    <mergeCell ref="C1:C2"/>
  </mergeCells>
  <phoneticPr fontId="4" type="noConversion"/>
  <conditionalFormatting sqref="A3:X22">
    <cfRule type="cellIs" dxfId="18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⚪概述</vt:lpstr>
      <vt:lpstr>⚪设计</vt:lpstr>
      <vt:lpstr>⚪关卡设计</vt:lpstr>
      <vt:lpstr>引导</vt:lpstr>
      <vt:lpstr>战斗节奏</vt:lpstr>
      <vt:lpstr>防御塔</vt:lpstr>
      <vt:lpstr>新手关卡</vt:lpstr>
      <vt:lpstr>挑战模式</vt:lpstr>
      <vt:lpstr>无限模式</vt:lpstr>
      <vt:lpstr>线下模式</vt:lpstr>
      <vt:lpstr>活动关卡</vt:lpstr>
      <vt:lpstr>GamePlayTowerDefenseCfg</vt:lpstr>
      <vt:lpstr>SkillCfg</vt:lpstr>
      <vt:lpstr>ActionCfg_DamageUnit</vt:lpstr>
      <vt:lpstr>TowerCfg</vt:lpstr>
      <vt:lpstr>MonsterWaveCallRuleCfg</vt:lpstr>
      <vt:lpstr>UnitCfg</vt:lpstr>
      <vt:lpstr>UnitPropertyCfg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Xx</dc:creator>
  <cp:lastModifiedBy>song Xx</cp:lastModifiedBy>
  <dcterms:created xsi:type="dcterms:W3CDTF">2015-06-05T18:19:34Z</dcterms:created>
  <dcterms:modified xsi:type="dcterms:W3CDTF">2024-07-01T07:13:39Z</dcterms:modified>
</cp:coreProperties>
</file>