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4"/>
  </bookViews>
  <sheets>
    <sheet name="基础参数" sheetId="5" r:id="rId1"/>
    <sheet name="数值基础框架" sheetId="1" r:id="rId2"/>
    <sheet name="危险框架" sheetId="4" r:id="rId3"/>
    <sheet name="牌效标准" sheetId="3" r:id="rId4"/>
    <sheet name="掉率曲线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武毅</author>
  </authors>
  <commentList>
    <comment ref="B5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H5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新手上手速度
</t>
        </r>
      </text>
    </comment>
    <comment ref="N5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老手挑战速度</t>
        </r>
      </text>
    </comment>
    <comment ref="N41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所有的卡牌流派，掉率标准按照</t>
        </r>
        <r>
          <rPr>
            <b/>
            <sz val="9"/>
            <rFont val="宋体"/>
            <charset val="134"/>
          </rPr>
          <t>300抽</t>
        </r>
        <r>
          <rPr>
            <sz val="9"/>
            <rFont val="宋体"/>
            <charset val="134"/>
          </rPr>
          <t>完成游戏来设计，新手因为不熟练，所以需要的时间更久，老手熟练，所以18分钟应该就可以完成游戏</t>
        </r>
      </text>
    </comment>
  </commentList>
</comments>
</file>

<file path=xl/comments2.xml><?xml version="1.0" encoding="utf-8"?>
<comments xmlns="http://schemas.openxmlformats.org/spreadsheetml/2006/main">
  <authors>
    <author>武毅</author>
  </authors>
  <commentList>
    <comment ref="B2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</commentList>
</comments>
</file>

<file path=xl/comments3.xml><?xml version="1.0" encoding="utf-8"?>
<comments xmlns="http://schemas.openxmlformats.org/spreadsheetml/2006/main">
  <authors>
    <author>武毅</author>
  </authors>
  <commentList>
    <comment ref="D38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</commentList>
</comments>
</file>

<file path=xl/comments4.xml><?xml version="1.0" encoding="utf-8"?>
<comments xmlns="http://schemas.openxmlformats.org/spreadsheetml/2006/main">
  <authors>
    <author>武毅</author>
  </authors>
  <commentList>
    <comment ref="A4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C4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D4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分钟</t>
        </r>
      </text>
    </comment>
    <comment ref="C16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E16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分钟</t>
        </r>
      </text>
    </comment>
  </commentList>
</comments>
</file>

<file path=xl/sharedStrings.xml><?xml version="1.0" encoding="utf-8"?>
<sst xmlns="http://schemas.openxmlformats.org/spreadsheetml/2006/main" count="328" uniqueCount="184">
  <si>
    <t>参数</t>
  </si>
  <si>
    <t>值</t>
  </si>
  <si>
    <t>备注</t>
  </si>
  <si>
    <t>抽卡费用</t>
  </si>
  <si>
    <t>固定不变</t>
  </si>
  <si>
    <t>圣城初始金币</t>
  </si>
  <si>
    <t>圣城产出基数</t>
  </si>
  <si>
    <t>圣城产出间隔s</t>
  </si>
  <si>
    <t>城市危险上限</t>
  </si>
  <si>
    <t>与城市信徒绝对数量无关，与信徒占市民人口的比例有关</t>
  </si>
  <si>
    <t>初始手牌上限</t>
  </si>
  <si>
    <t>探索牌冷却s</t>
  </si>
  <si>
    <t>开二本</t>
  </si>
  <si>
    <t>开三本</t>
  </si>
  <si>
    <t>开四本</t>
  </si>
  <si>
    <t>开五本</t>
  </si>
  <si>
    <t>开六本</t>
  </si>
  <si>
    <t>开七本</t>
  </si>
  <si>
    <t>开八本</t>
  </si>
  <si>
    <t>初始总人口</t>
  </si>
  <si>
    <t>城镇数量</t>
  </si>
  <si>
    <t>城镇生成时最低人口</t>
  </si>
  <si>
    <t>城镇生成时最高人口</t>
  </si>
  <si>
    <t>征税卡收入</t>
  </si>
  <si>
    <t>布道会转化</t>
  </si>
  <si>
    <t>圣城自然增长(天</t>
  </si>
  <si>
    <t>新手</t>
  </si>
  <si>
    <t>老手</t>
  </si>
  <si>
    <t>月份</t>
  </si>
  <si>
    <t>圣城数量</t>
  </si>
  <si>
    <t>游戏内天数</t>
  </si>
  <si>
    <t>游戏时长min</t>
  </si>
  <si>
    <t>游戏时长s</t>
  </si>
  <si>
    <t>圣城收益</t>
  </si>
  <si>
    <t>抽打牌数</t>
  </si>
  <si>
    <t>征税卡掉率</t>
  </si>
  <si>
    <t>征税收益</t>
  </si>
  <si>
    <t>参考保底收入</t>
  </si>
  <si>
    <t>布道会掉率</t>
  </si>
  <si>
    <t>信徒转化</t>
  </si>
  <si>
    <t>高级征税收益</t>
  </si>
  <si>
    <t>高级信徒转化</t>
  </si>
  <si>
    <t>单卡费用</t>
  </si>
  <si>
    <t>2w</t>
  </si>
  <si>
    <t>7w</t>
  </si>
  <si>
    <t>征税卡不应有费用，所以只需要计算布道会的费用</t>
  </si>
  <si>
    <t>若老手玩家全抽布道会，费用是</t>
  </si>
  <si>
    <t>若新手玩家全抽布道会，费用是</t>
  </si>
  <si>
    <t>若布道会的费用是10，转化500人，在保证抽到足够的征税(600张)时，老玩家可以转化</t>
  </si>
  <si>
    <t>但是这不可能，因为这相当于玩家再进行30分钟的游戏时间</t>
  </si>
  <si>
    <t>那么2倍效率的牌，就能达成全部转化的游戏目标，比如</t>
  </si>
  <si>
    <t>高级征税</t>
  </si>
  <si>
    <t>一次性获得200</t>
  </si>
  <si>
    <t>布道会</t>
  </si>
  <si>
    <t>一次性转化500</t>
  </si>
  <si>
    <t>全局只能转化7w人</t>
  </si>
  <si>
    <t>一次性转化1000</t>
  </si>
  <si>
    <t>满抽布道会需要22个月，老手抽220张卡</t>
  </si>
  <si>
    <t>一次性转化1500</t>
  </si>
  <si>
    <t>满抽布道会需要15个月，老手抽150张卡</t>
  </si>
  <si>
    <t>高级布道会</t>
  </si>
  <si>
    <t>主教弥撒</t>
  </si>
  <si>
    <t>单卡转化</t>
  </si>
  <si>
    <t>全转化总费用</t>
  </si>
  <si>
    <t>/</t>
  </si>
  <si>
    <t>新手全转化min</t>
  </si>
  <si>
    <t>老手全转化min</t>
  </si>
  <si>
    <t>能够制约玩家资源获取的，有两个维度，一个是时间流逝，一个是抽卡效率</t>
  </si>
  <si>
    <r>
      <rPr>
        <sz val="11"/>
        <color theme="1"/>
        <rFont val="宋体"/>
        <charset val="134"/>
        <scheme val="minor"/>
      </rPr>
      <t>所以设计流派的时候要考虑到，资源的来源究竟是通过</t>
    </r>
    <r>
      <rPr>
        <sz val="11"/>
        <color rgb="FFFF0000"/>
        <rFont val="宋体"/>
        <charset val="134"/>
        <scheme val="minor"/>
      </rPr>
      <t>时间获取</t>
    </r>
    <r>
      <rPr>
        <sz val="11"/>
        <color theme="1"/>
        <rFont val="宋体"/>
        <charset val="134"/>
        <scheme val="minor"/>
      </rPr>
      <t>（比如圣城和各种永续卡）还是通过</t>
    </r>
    <r>
      <rPr>
        <sz val="11"/>
        <color rgb="FFFF0000"/>
        <rFont val="宋体"/>
        <charset val="134"/>
        <scheme val="minor"/>
      </rPr>
      <t>卡牌获取</t>
    </r>
    <r>
      <rPr>
        <sz val="11"/>
        <color theme="1"/>
        <rFont val="宋体"/>
        <charset val="134"/>
        <scheme val="minor"/>
      </rPr>
      <t>（比如所有的消耗牌）</t>
    </r>
  </si>
  <si>
    <t>如果是时间获取，那么单局时间越长，资源越多，可以通过加快时间流速加快资源的获取</t>
  </si>
  <si>
    <t>如果是卡牌获取，那么抽卡频率越高，资源越多，设计的卡牌需要尽量保证低费避免玩家没钱打出</t>
  </si>
  <si>
    <t>城市数量</t>
  </si>
  <si>
    <t>因为系统生成的情况下，城市人口不确定，所以危险值按照人口百分比进行设计</t>
  </si>
  <si>
    <t>当信徒在X以下时，没有危险</t>
  </si>
  <si>
    <t>当信徒在X和Y中间时，危险按照时间流逝逐渐递增</t>
  </si>
  <si>
    <t>当信徒大于Y时，危险会再逐渐下降</t>
  </si>
  <si>
    <t>危险值增长幅度</t>
  </si>
  <si>
    <t>参数1</t>
  </si>
  <si>
    <t>参数2</t>
  </si>
  <si>
    <t>参数3</t>
  </si>
  <si>
    <t>信徒数（百分比</t>
  </si>
  <si>
    <t>每秒增加(固定</t>
  </si>
  <si>
    <t>时间</t>
  </si>
  <si>
    <t>危险值信徒数量特别少的时候是0，在信徒达到5w的时候应该达到顶峰，之后随着信徒继续增加，危险值应该逐渐减少，所以也是个U形函数</t>
  </si>
  <si>
    <t>世界信徒人数(千</t>
  </si>
  <si>
    <t>世界危险值(百分比</t>
  </si>
  <si>
    <t>城市信徒人数比例</t>
  </si>
  <si>
    <t>危险值(百分比</t>
  </si>
  <si>
    <t>所有的危险值相关的卡牌，做数值变动的时候，都用加法和减法，就在人口自然变化的结果之后进行</t>
  </si>
  <si>
    <t>相当于</t>
  </si>
  <si>
    <t>t=T(x)+y</t>
  </si>
  <si>
    <r>
      <rPr>
        <sz val="11"/>
        <color theme="1"/>
        <rFont val="宋体"/>
        <charset val="134"/>
        <scheme val="minor"/>
      </rPr>
      <t>其中</t>
    </r>
    <r>
      <rPr>
        <sz val="11"/>
        <color rgb="FFFF0000"/>
        <rFont val="宋体"/>
        <charset val="134"/>
        <scheme val="minor"/>
      </rPr>
      <t>y如果达到13，意味着危险值可能达到100</t>
    </r>
  </si>
  <si>
    <t>危险值不能超过100，也不能小于0</t>
  </si>
  <si>
    <t>信徒从0到50，相当于危险从0到83</t>
  </si>
  <si>
    <t>转化50%的信徒，如果从全世界人口来看是5w人，相当于花费金币1w</t>
  </si>
  <si>
    <t>因为有8个城市，所以相当于平均每个城市花费金币</t>
  </si>
  <si>
    <t>平均每危险花费金币</t>
  </si>
  <si>
    <t>5w人平均每个城市相当于</t>
  </si>
  <si>
    <t>平均每危险折算信徒</t>
  </si>
  <si>
    <r>
      <rPr>
        <sz val="11"/>
        <color theme="1"/>
        <rFont val="宋体"/>
        <charset val="134"/>
        <scheme val="minor"/>
      </rPr>
      <t>卡牌牌效的判定标准为，</t>
    </r>
    <r>
      <rPr>
        <b/>
        <sz val="11"/>
        <color theme="1"/>
        <rFont val="宋体"/>
        <charset val="134"/>
        <scheme val="minor"/>
      </rPr>
      <t>每金币每秒转化信徒人数</t>
    </r>
  </si>
  <si>
    <t>当流派套卡的牌效大于基础标准，即为设计合理，牌效越高卡牌品级越高</t>
  </si>
  <si>
    <t>注意：</t>
  </si>
  <si>
    <t>不能仅计算单卡的牌效，要考虑他在整个转化流程中扮演的角色，即从资源获取到信徒转化结束的全流程中的牌效</t>
  </si>
  <si>
    <t>我们有10w信徒，要在30min的时间内全部转化完，平均每秒需要转化</t>
  </si>
  <si>
    <t>秒转化：</t>
  </si>
  <si>
    <t>为了便于计算，同时为了降低金币的总需求量，我们定义转化1名信徒需要消耗金币数为</t>
  </si>
  <si>
    <t>需求金币：</t>
  </si>
  <si>
    <t>转化完全部信徒需要的总金币数为：</t>
  </si>
  <si>
    <t>每金币转化的信徒数为：</t>
  </si>
  <si>
    <r>
      <rPr>
        <sz val="11"/>
        <color theme="1"/>
        <rFont val="宋体"/>
        <charset val="134"/>
        <scheme val="minor"/>
      </rPr>
      <t>转化卡读条=（总游戏时长-</t>
    </r>
    <r>
      <rPr>
        <b/>
        <sz val="11"/>
        <color theme="1"/>
        <rFont val="宋体"/>
        <charset val="134"/>
        <scheme val="minor"/>
      </rPr>
      <t>资源获取卡牌消耗时长</t>
    </r>
    <r>
      <rPr>
        <sz val="11"/>
        <color theme="1"/>
        <rFont val="宋体"/>
        <charset val="134"/>
        <scheme val="minor"/>
      </rPr>
      <t>）/转化卡数量</t>
    </r>
  </si>
  <si>
    <t>转化卡数量=总信徒数/单卡转化信徒数</t>
  </si>
  <si>
    <t>转化卡费用=（金币卡单卡秒收益*金币卡数量*金币卡读条）/转化卡数量</t>
  </si>
  <si>
    <t>转化卡需求总金币=转化卡数量*单卡费用</t>
  </si>
  <si>
    <t>56*30*60=</t>
  </si>
  <si>
    <t>秒转化56，5秒转化</t>
  </si>
  <si>
    <t>考虑到玩家的操作速度，即便老手也无法做到5s打出2张卡，所以5s的设计区间太短了，按照8秒设计</t>
  </si>
  <si>
    <t>秒转化56，8秒转化</t>
  </si>
  <si>
    <t>约等于</t>
  </si>
  <si>
    <t>即，玩家通过金币卡和转化卡这个基础两卡combo需要能够在总卡牌读条8秒内，转化信徒450人</t>
  </si>
  <si>
    <t>金币卡读条+转化卡读条=8s</t>
  </si>
  <si>
    <t>定金币卡读条3s</t>
  </si>
  <si>
    <t>定转化卡读条5s</t>
  </si>
  <si>
    <t>定转化人数450人</t>
  </si>
  <si>
    <t>转化卡费用</t>
  </si>
  <si>
    <t>金币卡获取费用</t>
  </si>
  <si>
    <t>大于90即可</t>
  </si>
  <si>
    <t>以上这两张卡，如果掉率都是100%，那么理论上在30min的游戏时间内是刚刚好可以达成游戏胜利的</t>
  </si>
  <si>
    <t>卡牌掉率</t>
  </si>
  <si>
    <t>卡牌期望抽取数</t>
  </si>
  <si>
    <t>卡牌期望效果
（获得金币数/转化信仰数等）</t>
  </si>
  <si>
    <t>圣城的收益用来cover玩家抽卡的消耗</t>
  </si>
  <si>
    <t>比如30分钟新手抽360抽的情况，每次抽卡的费用就是</t>
  </si>
  <si>
    <t>（先设成10看看效果）</t>
  </si>
  <si>
    <t>卡牌的大类应该分成资源卡和转化卡，如果一张牌即符合资源卡又符合转化卡，在评估的时候应该兼顾到两种功能性</t>
  </si>
  <si>
    <t>比如【增加5危险值，增加100金币】就应该算到资源卡里</t>
  </si>
  <si>
    <t>为此，要先把资源卡和转化卡分别需要的卡牌数量确定出来，用作参考</t>
  </si>
  <si>
    <t>一局总打出卡牌数设</t>
  </si>
  <si>
    <t>卡牌
需求时间
成正比</t>
  </si>
  <si>
    <t>一局总游戏时长，s</t>
  </si>
  <si>
    <t xml:space="preserve">资源卡单卡平均获取金币100~200
资源卡单卡平均读条时间3~10秒
N卡10秒读条获取100金币 =10
R卡10秒读条获取200金币 =20
SR卡3秒读条获取100金币 &gt;30
UR卡3秒读条获取200金币 &gt;60
转化卡单卡平均转化信徒500~1000
转化卡单卡平均读条时间4~13秒
N卡13秒读条转化500信徒 &lt;50
R卡13秒读条转化1000信徒 &lt;100
SR卡4秒读条转化500信徒 &gt;100
UR卡4秒读条转化1000信徒 &gt;250
</t>
  </si>
  <si>
    <t>平均每危险折算25金币，折算125人口
N卡，每危险折算金币&gt;50 或折算人口&lt;70
R卡，每危险折算金币&gt;25 或折算人口&lt;125
SR卡，每危险折算金币&lt;25 或折算人口&gt;150
UR卡，每危险折算金币&lt;10 或折算人口&gt;300</t>
  </si>
  <si>
    <t>资源卡需求数量</t>
  </si>
  <si>
    <t>单卡平均
获取资源</t>
  </si>
  <si>
    <t>转化卡</t>
  </si>
  <si>
    <t>单卡平均
转化信徒</t>
  </si>
  <si>
    <t>资源卡
需求时长</t>
  </si>
  <si>
    <t>单卡平均
需求时长</t>
  </si>
  <si>
    <t>转化卡
需求时长</t>
  </si>
  <si>
    <t>卡牌
需求时间
成反比</t>
  </si>
  <si>
    <t>圣城金币收益</t>
  </si>
  <si>
    <t>开城方案一（先慢后快）</t>
  </si>
  <si>
    <t>城市数</t>
  </si>
  <si>
    <t>期望时间</t>
  </si>
  <si>
    <t>现实游戏时间</t>
  </si>
  <si>
    <t>开城方案二（先快后慢）</t>
  </si>
  <si>
    <t>【秘境回响】</t>
  </si>
  <si>
    <t>【步入疯狂】</t>
  </si>
  <si>
    <t>【窒息之梦】</t>
  </si>
  <si>
    <t>【旧日低语】</t>
  </si>
  <si>
    <t>【收取会费】</t>
  </si>
  <si>
    <t>抽卡数</t>
  </si>
  <si>
    <t>掉率</t>
  </si>
  <si>
    <t>抽卡数(10</t>
  </si>
  <si>
    <t>【大礼弥撒】</t>
  </si>
  <si>
    <t>【封口费】</t>
  </si>
  <si>
    <t>【强制募捐】</t>
  </si>
  <si>
    <t>【恩主大教堂】</t>
  </si>
  <si>
    <t>【销声匿迹】</t>
  </si>
  <si>
    <t>【货物清点】</t>
  </si>
  <si>
    <t>【异域的进贡】</t>
  </si>
  <si>
    <t>【迈达斯炸弹】</t>
  </si>
  <si>
    <t>【非法宣讲】</t>
  </si>
  <si>
    <t>【原始本能】</t>
  </si>
  <si>
    <t>【疯狂诗篇】</t>
  </si>
  <si>
    <t>【腐败晚宴】</t>
  </si>
  <si>
    <t>【制定教条】</t>
  </si>
  <si>
    <t>【库苏恩的拥抱】</t>
  </si>
  <si>
    <t>【教皇的巡回艇】</t>
  </si>
  <si>
    <t>【死城的幻影】</t>
  </si>
  <si>
    <t>【诡异雕像】</t>
  </si>
  <si>
    <t>【紧急征召】</t>
  </si>
  <si>
    <t>【信仰扩散】</t>
  </si>
  <si>
    <t>【XXX】</t>
  </si>
  <si>
    <t>【克苏鲁的呼唤】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</si>
</sst>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16" applyNumberFormat="0" applyAlignment="0" applyProtection="0">
      <alignment vertical="center"/>
    </xf>
    <xf numFmtId="0" fontId="13" fillId="13" borderId="17" applyNumberFormat="0" applyAlignment="0" applyProtection="0">
      <alignment vertical="center"/>
    </xf>
    <xf numFmtId="0" fontId="14" fillId="13" borderId="16" applyNumberFormat="0" applyAlignment="0" applyProtection="0">
      <alignment vertical="center"/>
    </xf>
    <xf numFmtId="0" fontId="15" fillId="14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9" fontId="0" fillId="0" borderId="0" xfId="3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>
      <alignment vertical="center"/>
    </xf>
    <xf numFmtId="9" fontId="3" fillId="7" borderId="0" xfId="3" applyFont="1" applyFill="1" applyAlignment="1">
      <alignment horizontal="left" vertical="center"/>
    </xf>
    <xf numFmtId="9" fontId="0" fillId="2" borderId="1" xfId="3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9" fontId="0" fillId="0" borderId="0" xfId="3" applyFill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9" fontId="0" fillId="0" borderId="4" xfId="3" applyFill="1" applyBorder="1" applyAlignment="1">
      <alignment horizontal="left" vertical="center"/>
    </xf>
    <xf numFmtId="9" fontId="0" fillId="0" borderId="8" xfId="3" applyFill="1" applyBorder="1" applyAlignment="1">
      <alignment horizontal="left" vertical="center"/>
    </xf>
    <xf numFmtId="9" fontId="0" fillId="0" borderId="2" xfId="3" applyFill="1" applyBorder="1" applyAlignment="1">
      <alignment horizontal="left" vertical="center"/>
    </xf>
    <xf numFmtId="9" fontId="0" fillId="0" borderId="9" xfId="3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9" fontId="0" fillId="0" borderId="6" xfId="3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10" borderId="9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危险框架!$A$73:$A$82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危险框架!$B$73:$B$82</c:f>
              <c:numCache>
                <c:formatCode>General</c:formatCode>
                <c:ptCount val="10"/>
                <c:pt idx="0">
                  <c:v>0.983443244062465</c:v>
                </c:pt>
                <c:pt idx="1">
                  <c:v>0.942346027168891</c:v>
                </c:pt>
                <c:pt idx="2">
                  <c:v>0.880382834929185</c:v>
                </c:pt>
                <c:pt idx="3">
                  <c:v>0.799237205902475</c:v>
                </c:pt>
                <c:pt idx="4">
                  <c:v>0.7</c:v>
                </c:pt>
                <c:pt idx="5">
                  <c:v>0.583468838270865</c:v>
                </c:pt>
                <c:pt idx="6">
                  <c:v>0.450267112824699</c:v>
                </c:pt>
                <c:pt idx="7">
                  <c:v>0.300903346037985</c:v>
                </c:pt>
                <c:pt idx="8">
                  <c:v>0.135804970879501</c:v>
                </c:pt>
                <c:pt idx="9">
                  <c:v>-0.0446606759553489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2347163"/>
        <c:axId val="266606118"/>
      </c:lineChart>
      <c:catAx>
        <c:axId val="752347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06118"/>
        <c:crosses val="autoZero"/>
        <c:auto val="1"/>
        <c:lblAlgn val="ctr"/>
        <c:lblOffset val="100"/>
        <c:noMultiLvlLbl val="0"/>
      </c:catAx>
      <c:valAx>
        <c:axId val="266606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347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829124e-728b-4c1a-a97f-5731fdf2a3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掉率曲线!$M$111:$M$140</c:f>
              <c:numCache>
                <c:formatCode>0%</c:formatCode>
                <c:ptCount val="30"/>
                <c:pt idx="0">
                  <c:v>0.23</c:v>
                </c:pt>
                <c:pt idx="1">
                  <c:v>0.23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421699"/>
        <c:axId val="26901337"/>
      </c:lineChart>
      <c:catAx>
        <c:axId val="1714216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01337"/>
        <c:crosses val="autoZero"/>
        <c:auto val="1"/>
        <c:lblAlgn val="ctr"/>
        <c:lblOffset val="100"/>
        <c:noMultiLvlLbl val="0"/>
      </c:catAx>
      <c:valAx>
        <c:axId val="26901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4216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掉率曲线!$C$148:$C$177</c:f>
              <c:numCache>
                <c:formatCode>0%</c:formatCode>
                <c:ptCount val="30"/>
                <c:pt idx="0">
                  <c:v>0.0923380304557162</c:v>
                </c:pt>
                <c:pt idx="1">
                  <c:v>0.094730724775551</c:v>
                </c:pt>
                <c:pt idx="2">
                  <c:v>0.0971793610172958</c:v>
                </c:pt>
                <c:pt idx="3">
                  <c:v>0.0996852471201222</c:v>
                </c:pt>
                <c:pt idx="4">
                  <c:v>0.102249721603218</c:v>
                </c:pt>
                <c:pt idx="5">
                  <c:v>0.104874154280758</c:v>
                </c:pt>
                <c:pt idx="6">
                  <c:v>0.107559946993589</c:v>
                </c:pt>
                <c:pt idx="7">
                  <c:v>0.110308534358023</c:v>
                </c:pt>
                <c:pt idx="8">
                  <c:v>0.113121384532139</c:v>
                </c:pt>
                <c:pt idx="9">
                  <c:v>0.116</c:v>
                </c:pt>
                <c:pt idx="10">
                  <c:v>0.118945918374202</c:v>
                </c:pt>
                <c:pt idx="11">
                  <c:v>0.121960713217194</c:v>
                </c:pt>
                <c:pt idx="12">
                  <c:v>0.125045994881793</c:v>
                </c:pt>
                <c:pt idx="13">
                  <c:v>0.128203411371354</c:v>
                </c:pt>
                <c:pt idx="14">
                  <c:v>0.131434649220055</c:v>
                </c:pt>
                <c:pt idx="15">
                  <c:v>0.134741434393755</c:v>
                </c:pt>
                <c:pt idx="16">
                  <c:v>0.138125533211922</c:v>
                </c:pt>
                <c:pt idx="17">
                  <c:v>0.141588753291109</c:v>
                </c:pt>
                <c:pt idx="18">
                  <c:v>0.145132944510495</c:v>
                </c:pt>
                <c:pt idx="19">
                  <c:v>0.14876</c:v>
                </c:pt>
                <c:pt idx="20">
                  <c:v>0.152471857151495</c:v>
                </c:pt>
                <c:pt idx="21">
                  <c:v>0.156270498653665</c:v>
                </c:pt>
                <c:pt idx="22">
                  <c:v>0.160157953551059</c:v>
                </c:pt>
                <c:pt idx="23">
                  <c:v>0.164136298327906</c:v>
                </c:pt>
                <c:pt idx="24">
                  <c:v>0.168207658017269</c:v>
                </c:pt>
                <c:pt idx="25">
                  <c:v>0.172374207336132</c:v>
                </c:pt>
                <c:pt idx="26">
                  <c:v>0.176638171847021</c:v>
                </c:pt>
                <c:pt idx="27">
                  <c:v>0.181001829146797</c:v>
                </c:pt>
                <c:pt idx="28">
                  <c:v>0.185467510083224</c:v>
                </c:pt>
                <c:pt idx="29">
                  <c:v>0.1900376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3595915"/>
        <c:axId val="136718894"/>
      </c:lineChart>
      <c:catAx>
        <c:axId val="7235959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718894"/>
        <c:crosses val="autoZero"/>
        <c:auto val="1"/>
        <c:lblAlgn val="ctr"/>
        <c:lblOffset val="100"/>
        <c:noMultiLvlLbl val="0"/>
      </c:catAx>
      <c:valAx>
        <c:axId val="1367188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5959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掉率曲线!$G$148:$G$177</c:f>
              <c:numCache>
                <c:formatCode>0%</c:formatCode>
                <c:ptCount val="30"/>
                <c:pt idx="0">
                  <c:v>0.195408705132867</c:v>
                </c:pt>
                <c:pt idx="1">
                  <c:v>0.191028210151304</c:v>
                </c:pt>
                <c:pt idx="2">
                  <c:v>0.186848836610984</c:v>
                </c:pt>
                <c:pt idx="3">
                  <c:v>0.1828613504335</c:v>
                </c:pt>
                <c:pt idx="4">
                  <c:v>0.179056941504209</c:v>
                </c:pt>
                <c:pt idx="5">
                  <c:v>0.175427204206815</c:v>
                </c:pt>
                <c:pt idx="6">
                  <c:v>0.171964118851645</c:v>
                </c:pt>
                <c:pt idx="7">
                  <c:v>0.168660033956632</c:v>
                </c:pt>
                <c:pt idx="8">
                  <c:v>0.16550764934181</c:v>
                </c:pt>
                <c:pt idx="9">
                  <c:v>0.1625</c:v>
                </c:pt>
                <c:pt idx="10">
                  <c:v>0.159630440708042</c:v>
                </c:pt>
                <c:pt idx="11">
                  <c:v>0.156892631344565</c:v>
                </c:pt>
                <c:pt idx="12">
                  <c:v>0.154280522881865</c:v>
                </c:pt>
                <c:pt idx="13">
                  <c:v>0.151788344020937</c:v>
                </c:pt>
                <c:pt idx="14">
                  <c:v>0.149410588440131</c:v>
                </c:pt>
                <c:pt idx="15">
                  <c:v>0.147142002629259</c:v>
                </c:pt>
                <c:pt idx="16">
                  <c:v>0.144977574282278</c:v>
                </c:pt>
                <c:pt idx="17">
                  <c:v>0.142912521222895</c:v>
                </c:pt>
                <c:pt idx="18">
                  <c:v>0.140942280838631</c:v>
                </c:pt>
                <c:pt idx="19">
                  <c:v>0.1390625</c:v>
                </c:pt>
                <c:pt idx="20">
                  <c:v>0.137269025442526</c:v>
                </c:pt>
                <c:pt idx="21">
                  <c:v>0.135557894590353</c:v>
                </c:pt>
                <c:pt idx="22">
                  <c:v>0.133925326801166</c:v>
                </c:pt>
                <c:pt idx="23">
                  <c:v>0.132367715013086</c:v>
                </c:pt>
                <c:pt idx="24">
                  <c:v>0.130881617775082</c:v>
                </c:pt>
                <c:pt idx="25">
                  <c:v>0.129463751643287</c:v>
                </c:pt>
                <c:pt idx="26">
                  <c:v>0.128110983926424</c:v>
                </c:pt>
                <c:pt idx="27">
                  <c:v>0.12682032576431</c:v>
                </c:pt>
                <c:pt idx="28">
                  <c:v>0.125588925524144</c:v>
                </c:pt>
                <c:pt idx="29">
                  <c:v>0.1244140625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7001937"/>
        <c:axId val="119986344"/>
      </c:lineChart>
      <c:catAx>
        <c:axId val="5670019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986344"/>
        <c:crosses val="autoZero"/>
        <c:auto val="1"/>
        <c:lblAlgn val="ctr"/>
        <c:lblOffset val="100"/>
        <c:noMultiLvlLbl val="0"/>
      </c:catAx>
      <c:valAx>
        <c:axId val="11998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0019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掉率曲线!$J$148:$J$177</c:f>
              <c:numCache>
                <c:formatCode>0%</c:formatCode>
                <c:ptCount val="30"/>
                <c:pt idx="0">
                  <c:v>0.148193304456191</c:v>
                </c:pt>
                <c:pt idx="1">
                  <c:v>0.146419250400263</c:v>
                </c:pt>
                <c:pt idx="2">
                  <c:v>0.144677248099907</c:v>
                </c:pt>
                <c:pt idx="3">
                  <c:v>0.142966718477486</c:v>
                </c:pt>
                <c:pt idx="4">
                  <c:v>0.141287092917528</c:v>
                </c:pt>
                <c:pt idx="5">
                  <c:v>0.139637813077714</c:v>
                </c:pt>
                <c:pt idx="6">
                  <c:v>0.138018330703272</c:v>
                </c:pt>
                <c:pt idx="7">
                  <c:v>0.136428107444721</c:v>
                </c:pt>
                <c:pt idx="8">
                  <c:v>0.134866614678919</c:v>
                </c:pt>
                <c:pt idx="9">
                  <c:v>0.133333333333333</c:v>
                </c:pt>
                <c:pt idx="10">
                  <c:v>0.131827753713493</c:v>
                </c:pt>
                <c:pt idx="11">
                  <c:v>0.130349375333552</c:v>
                </c:pt>
                <c:pt idx="12">
                  <c:v>0.128897706749923</c:v>
                </c:pt>
                <c:pt idx="13">
                  <c:v>0.127472265397905</c:v>
                </c:pt>
                <c:pt idx="14">
                  <c:v>0.126072577431273</c:v>
                </c:pt>
                <c:pt idx="15">
                  <c:v>0.124698177564762</c:v>
                </c:pt>
                <c:pt idx="16">
                  <c:v>0.123348608919393</c:v>
                </c:pt>
                <c:pt idx="17">
                  <c:v>0.122023422870601</c:v>
                </c:pt>
                <c:pt idx="18">
                  <c:v>0.120722178899099</c:v>
                </c:pt>
                <c:pt idx="19">
                  <c:v>0.119444444444444</c:v>
                </c:pt>
                <c:pt idx="20">
                  <c:v>0.118189794761244</c:v>
                </c:pt>
                <c:pt idx="21">
                  <c:v>0.11695781277796</c:v>
                </c:pt>
                <c:pt idx="22">
                  <c:v>0.115748088958269</c:v>
                </c:pt>
                <c:pt idx="23">
                  <c:v>0.114560221164921</c:v>
                </c:pt>
                <c:pt idx="24">
                  <c:v>0.113393814526061</c:v>
                </c:pt>
                <c:pt idx="25">
                  <c:v>0.112248481303968</c:v>
                </c:pt>
                <c:pt idx="26">
                  <c:v>0.111123840766161</c:v>
                </c:pt>
                <c:pt idx="27">
                  <c:v>0.110019519058834</c:v>
                </c:pt>
                <c:pt idx="28">
                  <c:v>0.108935149082582</c:v>
                </c:pt>
                <c:pt idx="29">
                  <c:v>0.10787037037037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6423546"/>
        <c:axId val="743785442"/>
      </c:lineChart>
      <c:catAx>
        <c:axId val="1664235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785442"/>
        <c:crosses val="autoZero"/>
        <c:auto val="1"/>
        <c:lblAlgn val="ctr"/>
        <c:lblOffset val="100"/>
        <c:noMultiLvlLbl val="0"/>
      </c:catAx>
      <c:valAx>
        <c:axId val="7437854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4235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掉率曲线!$M$148:$M$177</c:f>
              <c:numCache>
                <c:formatCode>0%</c:formatCode>
                <c:ptCount val="30"/>
                <c:pt idx="0">
                  <c:v>0.0869576582776887</c:v>
                </c:pt>
                <c:pt idx="1">
                  <c:v>0.0879244876491456</c:v>
                </c:pt>
                <c:pt idx="2">
                  <c:v>0.0889005759421095</c:v>
                </c:pt>
                <c:pt idx="3">
                  <c:v>0.0898860118254085</c:v>
                </c:pt>
                <c:pt idx="4">
                  <c:v>0.0908808848170152</c:v>
                </c:pt>
                <c:pt idx="5">
                  <c:v>0.0918852852921785</c:v>
                </c:pt>
                <c:pt idx="6">
                  <c:v>0.0928993044916333</c:v>
                </c:pt>
                <c:pt idx="7">
                  <c:v>0.0939230345298891</c:v>
                </c:pt>
                <c:pt idx="8">
                  <c:v>0.0949565684035974</c:v>
                </c:pt>
                <c:pt idx="9">
                  <c:v>0.096</c:v>
                </c:pt>
                <c:pt idx="10">
                  <c:v>0.0970534241054576</c:v>
                </c:pt>
                <c:pt idx="11">
                  <c:v>0.0981169364140602</c:v>
                </c:pt>
                <c:pt idx="12">
                  <c:v>0.0991906335363205</c:v>
                </c:pt>
                <c:pt idx="13">
                  <c:v>0.100274613007949</c:v>
                </c:pt>
                <c:pt idx="14">
                  <c:v>0.101368973298717</c:v>
                </c:pt>
                <c:pt idx="15">
                  <c:v>0.102473813821396</c:v>
                </c:pt>
                <c:pt idx="16">
                  <c:v>0.103589234940797</c:v>
                </c:pt>
                <c:pt idx="17">
                  <c:v>0.104715337982878</c:v>
                </c:pt>
                <c:pt idx="18">
                  <c:v>0.105852225243957</c:v>
                </c:pt>
                <c:pt idx="19">
                  <c:v>0.107</c:v>
                </c:pt>
                <c:pt idx="20">
                  <c:v>0.108158766516003</c:v>
                </c:pt>
                <c:pt idx="21">
                  <c:v>0.109328630055466</c:v>
                </c:pt>
                <c:pt idx="22">
                  <c:v>0.110509696889953</c:v>
                </c:pt>
                <c:pt idx="23">
                  <c:v>0.111702074308744</c:v>
                </c:pt>
                <c:pt idx="24">
                  <c:v>0.112905870628588</c:v>
                </c:pt>
                <c:pt idx="25">
                  <c:v>0.114121195203536</c:v>
                </c:pt>
                <c:pt idx="26">
                  <c:v>0.115348158434876</c:v>
                </c:pt>
                <c:pt idx="27">
                  <c:v>0.116586871781166</c:v>
                </c:pt>
                <c:pt idx="28">
                  <c:v>0.117837447768353</c:v>
                </c:pt>
                <c:pt idx="29">
                  <c:v>0.1191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6518695"/>
        <c:axId val="226113452"/>
      </c:lineChart>
      <c:catAx>
        <c:axId val="73651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113452"/>
        <c:crosses val="autoZero"/>
        <c:auto val="1"/>
        <c:lblAlgn val="ctr"/>
        <c:lblOffset val="100"/>
        <c:noMultiLvlLbl val="0"/>
      </c:catAx>
      <c:valAx>
        <c:axId val="2261134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518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掉率曲线!$G$37:$G$66</c:f>
              <c:numCache>
                <c:formatCode>0%</c:formatCode>
                <c:ptCount val="30"/>
                <c:pt idx="0">
                  <c:v>0.07</c:v>
                </c:pt>
                <c:pt idx="1">
                  <c:v>0.12</c:v>
                </c:pt>
                <c:pt idx="2">
                  <c:v>0.14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8180421"/>
        <c:axId val="441149058"/>
      </c:lineChart>
      <c:catAx>
        <c:axId val="4481804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149058"/>
        <c:crosses val="autoZero"/>
        <c:auto val="1"/>
        <c:lblAlgn val="ctr"/>
        <c:lblOffset val="100"/>
        <c:noMultiLvlLbl val="0"/>
      </c:catAx>
      <c:valAx>
        <c:axId val="4411490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1804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掉率曲线!$C$186:$C$215</c:f>
              <c:numCache>
                <c:formatCode>0%</c:formatCode>
                <c:ptCount val="30"/>
                <c:pt idx="0">
                  <c:v>0.0448909381985119</c:v>
                </c:pt>
                <c:pt idx="1">
                  <c:v>0.0498057976734854</c:v>
                </c:pt>
                <c:pt idx="2">
                  <c:v>0.0547446954224053</c:v>
                </c:pt>
                <c:pt idx="3">
                  <c:v>0.059707749014984</c:v>
                </c:pt>
                <c:pt idx="4">
                  <c:v>0.06469507659596</c:v>
                </c:pt>
                <c:pt idx="5">
                  <c:v>0.0697067968879101</c:v>
                </c:pt>
                <c:pt idx="6">
                  <c:v>0.0747430291940765</c:v>
                </c:pt>
                <c:pt idx="7">
                  <c:v>0.0798038934012055</c:v>
                </c:pt>
                <c:pt idx="8">
                  <c:v>0.0848895099824027</c:v>
                </c:pt>
                <c:pt idx="9">
                  <c:v>0.0900000000000001</c:v>
                </c:pt>
                <c:pt idx="10">
                  <c:v>0.0951354851084376</c:v>
                </c:pt>
                <c:pt idx="11">
                  <c:v>0.10029608755716</c:v>
                </c:pt>
                <c:pt idx="12">
                  <c:v>0.105481930193526</c:v>
                </c:pt>
                <c:pt idx="13">
                  <c:v>0.110693136465733</c:v>
                </c:pt>
                <c:pt idx="14">
                  <c:v>0.115929830425758</c:v>
                </c:pt>
                <c:pt idx="15">
                  <c:v>0.121192136732306</c:v>
                </c:pt>
                <c:pt idx="16">
                  <c:v>0.12648018065378</c:v>
                </c:pt>
                <c:pt idx="17">
                  <c:v>0.131794088071266</c:v>
                </c:pt>
                <c:pt idx="18">
                  <c:v>0.137133985481523</c:v>
                </c:pt>
                <c:pt idx="19">
                  <c:v>0.1425</c:v>
                </c:pt>
                <c:pt idx="20">
                  <c:v>0.147892259363859</c:v>
                </c:pt>
                <c:pt idx="21">
                  <c:v>0.153310891935018</c:v>
                </c:pt>
                <c:pt idx="22">
                  <c:v>0.158756026703202</c:v>
                </c:pt>
                <c:pt idx="23">
                  <c:v>0.16422779328902</c:v>
                </c:pt>
                <c:pt idx="24">
                  <c:v>0.169726321947046</c:v>
                </c:pt>
                <c:pt idx="25">
                  <c:v>0.175251743568921</c:v>
                </c:pt>
                <c:pt idx="26">
                  <c:v>0.180804189686469</c:v>
                </c:pt>
                <c:pt idx="27">
                  <c:v>0.186383792474829</c:v>
                </c:pt>
                <c:pt idx="28">
                  <c:v>0.191990684755599</c:v>
                </c:pt>
                <c:pt idx="29">
                  <c:v>0.197625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291830"/>
        <c:axId val="74364910"/>
      </c:lineChart>
      <c:catAx>
        <c:axId val="45291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64910"/>
        <c:crosses val="autoZero"/>
        <c:auto val="1"/>
        <c:lblAlgn val="ctr"/>
        <c:lblOffset val="100"/>
        <c:noMultiLvlLbl val="0"/>
      </c:catAx>
      <c:valAx>
        <c:axId val="7436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18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掉率曲线!$G$185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掉率曲线!$G$186:$G$215</c:f>
              <c:numCache>
                <c:formatCode>0%</c:formatCode>
                <c:ptCount val="30"/>
                <c:pt idx="0">
                  <c:v>0.101982224744745</c:v>
                </c:pt>
                <c:pt idx="1">
                  <c:v>0.103968378704429</c:v>
                </c:pt>
                <c:pt idx="2">
                  <c:v>0.105958469667639</c:v>
                </c:pt>
                <c:pt idx="3">
                  <c:v>0.1079525054384</c:v>
                </c:pt>
                <c:pt idx="4">
                  <c:v>0.109950493836208</c:v>
                </c:pt>
                <c:pt idx="5">
                  <c:v>0.111952442696058</c:v>
                </c:pt>
                <c:pt idx="6">
                  <c:v>0.113958359868475</c:v>
                </c:pt>
                <c:pt idx="7">
                  <c:v>0.115968253219548</c:v>
                </c:pt>
                <c:pt idx="8">
                  <c:v>0.117982130630955</c:v>
                </c:pt>
                <c:pt idx="9">
                  <c:v>0.12</c:v>
                </c:pt>
                <c:pt idx="10">
                  <c:v>0.12202186923964</c:v>
                </c:pt>
                <c:pt idx="11">
                  <c:v>0.124047746278518</c:v>
                </c:pt>
                <c:pt idx="12">
                  <c:v>0.126077639060992</c:v>
                </c:pt>
                <c:pt idx="13">
                  <c:v>0.128111555547168</c:v>
                </c:pt>
                <c:pt idx="14">
                  <c:v>0.130149503712932</c:v>
                </c:pt>
                <c:pt idx="15">
                  <c:v>0.132191491549979</c:v>
                </c:pt>
                <c:pt idx="16">
                  <c:v>0.134237527065845</c:v>
                </c:pt>
                <c:pt idx="17">
                  <c:v>0.136287618283938</c:v>
                </c:pt>
                <c:pt idx="18">
                  <c:v>0.138341773243574</c:v>
                </c:pt>
                <c:pt idx="19">
                  <c:v>0.1404</c:v>
                </c:pt>
                <c:pt idx="20">
                  <c:v>0.142462306624433</c:v>
                </c:pt>
                <c:pt idx="21">
                  <c:v>0.144528701204088</c:v>
                </c:pt>
                <c:pt idx="22">
                  <c:v>0.146599191842211</c:v>
                </c:pt>
                <c:pt idx="23">
                  <c:v>0.148673786658111</c:v>
                </c:pt>
                <c:pt idx="24">
                  <c:v>0.150752493787191</c:v>
                </c:pt>
                <c:pt idx="25">
                  <c:v>0.152835321380978</c:v>
                </c:pt>
                <c:pt idx="26">
                  <c:v>0.154922277607161</c:v>
                </c:pt>
                <c:pt idx="27">
                  <c:v>0.157013370649617</c:v>
                </c:pt>
                <c:pt idx="28">
                  <c:v>0.159108608708446</c:v>
                </c:pt>
                <c:pt idx="29">
                  <c:v>0.161208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5672632"/>
        <c:axId val="758147119"/>
      </c:lineChart>
      <c:catAx>
        <c:axId val="59567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147119"/>
        <c:crosses val="autoZero"/>
        <c:auto val="1"/>
        <c:lblAlgn val="ctr"/>
        <c:lblOffset val="100"/>
        <c:noMultiLvlLbl val="0"/>
      </c:catAx>
      <c:valAx>
        <c:axId val="7581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67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掉率曲线!$C$223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掉率曲线!$C$224:$C$253</c:f>
              <c:numCache>
                <c:formatCode>0%</c:formatCode>
                <c:ptCount val="30"/>
                <c:pt idx="0">
                  <c:v>0.195484574527148</c:v>
                </c:pt>
                <c:pt idx="1">
                  <c:v>0.194250707428746</c:v>
                </c:pt>
                <c:pt idx="2">
                  <c:v>0.192961172022151</c:v>
                </c:pt>
                <c:pt idx="3">
                  <c:v>0.191611652351681</c:v>
                </c:pt>
                <c:pt idx="4">
                  <c:v>0.190197348986613</c:v>
                </c:pt>
                <c:pt idx="5">
                  <c:v>0.188712907082472</c:v>
                </c:pt>
                <c:pt idx="6">
                  <c:v>0.187152330911474</c:v>
                </c:pt>
                <c:pt idx="7">
                  <c:v>0.185508881747693</c:v>
                </c:pt>
                <c:pt idx="8">
                  <c:v>0.183774955135062</c:v>
                </c:pt>
                <c:pt idx="9">
                  <c:v>0.181941932430908</c:v>
                </c:pt>
                <c:pt idx="10">
                  <c:v>0.18</c:v>
                </c:pt>
                <c:pt idx="11">
                  <c:v>0.177937927384034</c:v>
                </c:pt>
                <c:pt idx="12">
                  <c:v>0.175742792971463</c:v>
                </c:pt>
                <c:pt idx="13">
                  <c:v>0.173399641822195</c:v>
                </c:pt>
                <c:pt idx="14">
                  <c:v>0.170891054882004</c:v>
                </c:pt>
                <c:pt idx="15">
                  <c:v>0.168196601125011</c:v>
                </c:pt>
                <c:pt idx="16">
                  <c:v>0.165292133064719</c:v>
                </c:pt>
                <c:pt idx="17">
                  <c:v>0.162148869802242</c:v>
                </c:pt>
                <c:pt idx="18">
                  <c:v>0.158732187481833</c:v>
                </c:pt>
                <c:pt idx="19">
                  <c:v>0.155</c:v>
                </c:pt>
                <c:pt idx="20">
                  <c:v>0.150900555126419</c:v>
                </c:pt>
                <c:pt idx="21">
                  <c:v>0.146369379043788</c:v>
                </c:pt>
                <c:pt idx="22">
                  <c:v>0.141324950943693</c:v>
                </c:pt>
                <c:pt idx="23">
                  <c:v>0.135662432702594</c:v>
                </c:pt>
                <c:pt idx="24">
                  <c:v>0.129244327711118</c:v>
                </c:pt>
                <c:pt idx="25">
                  <c:v>0.121886116991581</c:v>
                </c:pt>
                <c:pt idx="26">
                  <c:v>0.113333333333333</c:v>
                </c:pt>
                <c:pt idx="27">
                  <c:v>0.103223304703363</c:v>
                </c:pt>
                <c:pt idx="28">
                  <c:v>0.0910177634953863</c:v>
                </c:pt>
                <c:pt idx="29">
                  <c:v>0.0758758547680684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4042148"/>
        <c:axId val="457720446"/>
      </c:lineChart>
      <c:catAx>
        <c:axId val="5640421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720446"/>
        <c:crosses val="autoZero"/>
        <c:auto val="1"/>
        <c:lblAlgn val="ctr"/>
        <c:lblOffset val="100"/>
        <c:noMultiLvlLbl val="0"/>
      </c:catAx>
      <c:valAx>
        <c:axId val="457720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21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掉率曲线!$M$72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掉率曲线!$M$73:$M$102</c:f>
              <c:numCache>
                <c:formatCode>0%</c:formatCode>
                <c:ptCount val="30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0.16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0.14</c:v>
                </c:pt>
                <c:pt idx="26">
                  <c:v>0.13</c:v>
                </c:pt>
                <c:pt idx="27">
                  <c:v>0.12</c:v>
                </c:pt>
                <c:pt idx="28">
                  <c:v>0.11</c:v>
                </c:pt>
                <c:pt idx="29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1284642"/>
        <c:axId val="180675236"/>
      </c:lineChart>
      <c:catAx>
        <c:axId val="7612846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675236"/>
        <c:crosses val="autoZero"/>
        <c:auto val="1"/>
        <c:lblAlgn val="ctr"/>
        <c:lblOffset val="100"/>
        <c:noMultiLvlLbl val="0"/>
      </c:catAx>
      <c:valAx>
        <c:axId val="1806752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2846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危险随信徒人口百分比的自然变化曲线</a:t>
            </a:r>
          </a:p>
        </c:rich>
      </c:tx>
      <c:layout>
        <c:manualLayout>
          <c:xMode val="edge"/>
          <c:yMode val="edge"/>
          <c:x val="0.278113279787457"/>
          <c:y val="0.03820247747062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危险框架!$B$91:$B$136</c:f>
              <c:numCache>
                <c:formatCode>0%</c:formatCode>
                <c:ptCount val="46"/>
                <c:pt idx="0">
                  <c:v>0</c:v>
                </c:pt>
                <c:pt idx="1">
                  <c:v>0.07</c:v>
                </c:pt>
                <c:pt idx="2">
                  <c:v>0.14</c:v>
                </c:pt>
                <c:pt idx="3">
                  <c:v>0.2</c:v>
                </c:pt>
                <c:pt idx="4">
                  <c:v>0.26</c:v>
                </c:pt>
                <c:pt idx="5">
                  <c:v>0.32</c:v>
                </c:pt>
                <c:pt idx="6">
                  <c:v>0.38</c:v>
                </c:pt>
                <c:pt idx="7">
                  <c:v>0.43</c:v>
                </c:pt>
                <c:pt idx="8">
                  <c:v>0.48</c:v>
                </c:pt>
                <c:pt idx="9">
                  <c:v>0.52</c:v>
                </c:pt>
                <c:pt idx="10">
                  <c:v>0.57</c:v>
                </c:pt>
                <c:pt idx="11">
                  <c:v>0.6</c:v>
                </c:pt>
                <c:pt idx="12">
                  <c:v>0.64</c:v>
                </c:pt>
                <c:pt idx="13">
                  <c:v>0.67</c:v>
                </c:pt>
                <c:pt idx="14">
                  <c:v>0.7</c:v>
                </c:pt>
                <c:pt idx="15">
                  <c:v>0.73</c:v>
                </c:pt>
                <c:pt idx="16">
                  <c:v>0.75</c:v>
                </c:pt>
                <c:pt idx="17">
                  <c:v>0.77</c:v>
                </c:pt>
                <c:pt idx="18">
                  <c:v>0.79</c:v>
                </c:pt>
                <c:pt idx="19">
                  <c:v>0.81</c:v>
                </c:pt>
                <c:pt idx="20">
                  <c:v>0.82</c:v>
                </c:pt>
                <c:pt idx="21">
                  <c:v>0.82</c:v>
                </c:pt>
                <c:pt idx="22">
                  <c:v>0.83</c:v>
                </c:pt>
                <c:pt idx="23">
                  <c:v>0.83</c:v>
                </c:pt>
                <c:pt idx="24">
                  <c:v>0.83</c:v>
                </c:pt>
                <c:pt idx="25">
                  <c:v>0.82</c:v>
                </c:pt>
                <c:pt idx="26">
                  <c:v>0.82</c:v>
                </c:pt>
                <c:pt idx="27">
                  <c:v>0.81</c:v>
                </c:pt>
                <c:pt idx="28">
                  <c:v>0.79</c:v>
                </c:pt>
                <c:pt idx="29">
                  <c:v>0.77</c:v>
                </c:pt>
                <c:pt idx="30">
                  <c:v>0.75</c:v>
                </c:pt>
                <c:pt idx="31">
                  <c:v>0.73</c:v>
                </c:pt>
                <c:pt idx="32">
                  <c:v>0.7</c:v>
                </c:pt>
                <c:pt idx="33">
                  <c:v>0.67</c:v>
                </c:pt>
                <c:pt idx="34">
                  <c:v>0.64</c:v>
                </c:pt>
                <c:pt idx="35">
                  <c:v>0.61</c:v>
                </c:pt>
                <c:pt idx="36">
                  <c:v>0.57</c:v>
                </c:pt>
                <c:pt idx="37">
                  <c:v>0.52</c:v>
                </c:pt>
                <c:pt idx="38">
                  <c:v>0.48</c:v>
                </c:pt>
                <c:pt idx="39">
                  <c:v>0.43</c:v>
                </c:pt>
                <c:pt idx="40">
                  <c:v>0.38</c:v>
                </c:pt>
                <c:pt idx="41">
                  <c:v>0.32</c:v>
                </c:pt>
                <c:pt idx="42">
                  <c:v>0.26</c:v>
                </c:pt>
                <c:pt idx="43">
                  <c:v>0.2</c:v>
                </c:pt>
                <c:pt idx="44">
                  <c:v>0.14</c:v>
                </c:pt>
                <c:pt idx="45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512112"/>
        <c:axId val="396524982"/>
      </c:lineChart>
      <c:catAx>
        <c:axId val="17151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524982"/>
        <c:crosses val="autoZero"/>
        <c:auto val="1"/>
        <c:lblAlgn val="ctr"/>
        <c:lblOffset val="100"/>
        <c:noMultiLvlLbl val="0"/>
      </c:catAx>
      <c:valAx>
        <c:axId val="396524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5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65fccd7-1bfb-4b0a-ab44-98b30d7690a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掉率曲线!$P$147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掉率曲线!$P$148:$P$177</c:f>
              <c:numCache>
                <c:formatCode>0%</c:formatCode>
                <c:ptCount val="30"/>
                <c:pt idx="0">
                  <c:v>0.125495268994096</c:v>
                </c:pt>
                <c:pt idx="1">
                  <c:v>0.12701289628184</c:v>
                </c:pt>
                <c:pt idx="2">
                  <c:v>0.128553216179863</c:v>
                </c:pt>
                <c:pt idx="3">
                  <c:v>0.130116568003731</c:v>
                </c:pt>
                <c:pt idx="4">
                  <c:v>0.13170329614269</c:v>
                </c:pt>
                <c:pt idx="5">
                  <c:v>0.133313750135532</c:v>
                </c:pt>
                <c:pt idx="6">
                  <c:v>0.134948284747592</c:v>
                </c:pt>
                <c:pt idx="7">
                  <c:v>0.136607260048905</c:v>
                </c:pt>
                <c:pt idx="8">
                  <c:v>0.138291041493518</c:v>
                </c:pt>
                <c:pt idx="9">
                  <c:v>0.14</c:v>
                </c:pt>
                <c:pt idx="10">
                  <c:v>0.141734512033152</c:v>
                </c:pt>
                <c:pt idx="11">
                  <c:v>0.143494959686934</c:v>
                </c:pt>
                <c:pt idx="12">
                  <c:v>0.145281730768641</c:v>
                </c:pt>
                <c:pt idx="13">
                  <c:v>0.147095218884328</c:v>
                </c:pt>
                <c:pt idx="14">
                  <c:v>0.14893582352552</c:v>
                </c:pt>
                <c:pt idx="15">
                  <c:v>0.150803950157217</c:v>
                </c:pt>
                <c:pt idx="16">
                  <c:v>0.152700010307207</c:v>
                </c:pt>
                <c:pt idx="17">
                  <c:v>0.15462442165673</c:v>
                </c:pt>
                <c:pt idx="18">
                  <c:v>0.15657760813248</c:v>
                </c:pt>
                <c:pt idx="19">
                  <c:v>0.15856</c:v>
                </c:pt>
                <c:pt idx="20">
                  <c:v>0.160572033958456</c:v>
                </c:pt>
                <c:pt idx="21">
                  <c:v>0.162614153236844</c:v>
                </c:pt>
                <c:pt idx="22">
                  <c:v>0.164686807691624</c:v>
                </c:pt>
                <c:pt idx="23">
                  <c:v>0.16679045390582</c:v>
                </c:pt>
                <c:pt idx="24">
                  <c:v>0.168925555289604</c:v>
                </c:pt>
                <c:pt idx="25">
                  <c:v>0.171092582182371</c:v>
                </c:pt>
                <c:pt idx="26">
                  <c:v>0.17329201195636</c:v>
                </c:pt>
                <c:pt idx="27">
                  <c:v>0.175524329121806</c:v>
                </c:pt>
                <c:pt idx="28">
                  <c:v>0.177790025433677</c:v>
                </c:pt>
                <c:pt idx="29">
                  <c:v>0.1800896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0859313"/>
        <c:axId val="674503598"/>
      </c:lineChart>
      <c:catAx>
        <c:axId val="8008593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503598"/>
        <c:crosses val="autoZero"/>
        <c:auto val="1"/>
        <c:lblAlgn val="ctr"/>
        <c:lblOffset val="100"/>
        <c:noMultiLvlLbl val="0"/>
      </c:catAx>
      <c:valAx>
        <c:axId val="6745035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8593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掉率曲线!$P$72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掉率曲线!$P$73:$P$102</c:f>
              <c:numCache>
                <c:formatCode>0%</c:formatCode>
                <c:ptCount val="30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0.15</c:v>
                </c:pt>
                <c:pt idx="27">
                  <c:v>0.14</c:v>
                </c:pt>
                <c:pt idx="28">
                  <c:v>0.13</c:v>
                </c:pt>
                <c:pt idx="29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1038160"/>
        <c:axId val="425997939"/>
      </c:lineChart>
      <c:catAx>
        <c:axId val="72103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997939"/>
        <c:crosses val="autoZero"/>
        <c:auto val="1"/>
        <c:lblAlgn val="ctr"/>
        <c:lblOffset val="100"/>
        <c:noMultiLvlLbl val="0"/>
      </c:catAx>
      <c:valAx>
        <c:axId val="425997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0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掉率曲线!$J$36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掉率曲线!$J$37:$J$66</c:f>
              <c:numCache>
                <c:formatCode>0%</c:formatCode>
                <c:ptCount val="30"/>
                <c:pt idx="0">
                  <c:v>0.05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</c:v>
                </c:pt>
                <c:pt idx="6">
                  <c:v>0.14</c:v>
                </c:pt>
                <c:pt idx="7">
                  <c:v>0.14</c:v>
                </c:pt>
                <c:pt idx="8">
                  <c:v>0.14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8164651"/>
        <c:axId val="62479741"/>
      </c:lineChart>
      <c:catAx>
        <c:axId val="3181646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79741"/>
        <c:crosses val="autoZero"/>
        <c:auto val="1"/>
        <c:lblAlgn val="ctr"/>
        <c:lblOffset val="100"/>
        <c:noMultiLvlLbl val="0"/>
      </c:catAx>
      <c:valAx>
        <c:axId val="624797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1646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掉率曲线!$S$147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掉率曲线!$S$148:$S$177</c:f>
              <c:numCache>
                <c:formatCode>0%</c:formatCode>
                <c:ptCount val="30"/>
                <c:pt idx="0">
                  <c:v>0.0437137289336648</c:v>
                </c:pt>
                <c:pt idx="1">
                  <c:v>0.047565375693257</c:v>
                </c:pt>
                <c:pt idx="2">
                  <c:v>0.0515600621729828</c:v>
                </c:pt>
                <c:pt idx="3">
                  <c:v>0.0557031004803153</c:v>
                </c:pt>
                <c:pt idx="4">
                  <c:v>0.06</c:v>
                </c:pt>
                <c:pt idx="5">
                  <c:v>0.0644564747203978</c:v>
                </c:pt>
                <c:pt idx="6">
                  <c:v>0.0690784508319084</c:v>
                </c:pt>
                <c:pt idx="7">
                  <c:v>0.0738720746075793</c:v>
                </c:pt>
                <c:pt idx="8">
                  <c:v>0.0788437205763783</c:v>
                </c:pt>
                <c:pt idx="9">
                  <c:v>0.084</c:v>
                </c:pt>
                <c:pt idx="10">
                  <c:v>0.0893477696644773</c:v>
                </c:pt>
                <c:pt idx="11">
                  <c:v>0.0948941409982901</c:v>
                </c:pt>
                <c:pt idx="12">
                  <c:v>0.100646489529095</c:v>
                </c:pt>
                <c:pt idx="13">
                  <c:v>0.106612464691654</c:v>
                </c:pt>
                <c:pt idx="14">
                  <c:v>0.1128</c:v>
                </c:pt>
                <c:pt idx="15">
                  <c:v>0.119217323597373</c:v>
                </c:pt>
                <c:pt idx="16">
                  <c:v>0.125872969197948</c:v>
                </c:pt>
                <c:pt idx="17">
                  <c:v>0.132775787434914</c:v>
                </c:pt>
                <c:pt idx="18">
                  <c:v>0.139934957629985</c:v>
                </c:pt>
                <c:pt idx="19">
                  <c:v>0.14736</c:v>
                </c:pt>
                <c:pt idx="20">
                  <c:v>0.155060788316847</c:v>
                </c:pt>
                <c:pt idx="21">
                  <c:v>0.163047563037538</c:v>
                </c:pt>
                <c:pt idx="22">
                  <c:v>0.171330944921897</c:v>
                </c:pt>
                <c:pt idx="23">
                  <c:v>0.179921949155982</c:v>
                </c:pt>
                <c:pt idx="24">
                  <c:v>0.188832</c:v>
                </c:pt>
                <c:pt idx="25">
                  <c:v>0.198072945980217</c:v>
                </c:pt>
                <c:pt idx="26">
                  <c:v>0.207657075645045</c:v>
                </c:pt>
                <c:pt idx="27">
                  <c:v>0.217597133906276</c:v>
                </c:pt>
                <c:pt idx="28">
                  <c:v>0.227906338987178</c:v>
                </c:pt>
                <c:pt idx="29">
                  <c:v>0.2385984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3318543"/>
        <c:axId val="760078557"/>
      </c:lineChart>
      <c:catAx>
        <c:axId val="91331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078557"/>
        <c:crosses val="autoZero"/>
        <c:auto val="1"/>
        <c:lblAlgn val="ctr"/>
        <c:lblOffset val="100"/>
        <c:noMultiLvlLbl val="0"/>
      </c:catAx>
      <c:valAx>
        <c:axId val="760078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3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掉率曲线!$V$147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掉率曲线!$V$148:$V$177</c:f>
              <c:numCache>
                <c:formatCode>0%</c:formatCode>
                <c:ptCount val="30"/>
                <c:pt idx="0">
                  <c:v>0.0414952689940964</c:v>
                </c:pt>
                <c:pt idx="1">
                  <c:v>0.0430128962818399</c:v>
                </c:pt>
                <c:pt idx="2">
                  <c:v>0.044553216179863</c:v>
                </c:pt>
                <c:pt idx="3">
                  <c:v>0.046116568003731</c:v>
                </c:pt>
                <c:pt idx="4">
                  <c:v>0.0477032961426901</c:v>
                </c:pt>
                <c:pt idx="5">
                  <c:v>0.0493137501355316</c:v>
                </c:pt>
                <c:pt idx="6">
                  <c:v>0.0509482847475922</c:v>
                </c:pt>
                <c:pt idx="7">
                  <c:v>0.0526072600489048</c:v>
                </c:pt>
                <c:pt idx="8">
                  <c:v>0.0542910414935175</c:v>
                </c:pt>
                <c:pt idx="9">
                  <c:v>0.056</c:v>
                </c:pt>
                <c:pt idx="10">
                  <c:v>0.0577345120331518</c:v>
                </c:pt>
                <c:pt idx="11">
                  <c:v>0.0594949596869343</c:v>
                </c:pt>
                <c:pt idx="12">
                  <c:v>0.061281730768641</c:v>
                </c:pt>
                <c:pt idx="13">
                  <c:v>0.063095218884328</c:v>
                </c:pt>
                <c:pt idx="14">
                  <c:v>0.0649358235255205</c:v>
                </c:pt>
                <c:pt idx="15">
                  <c:v>0.0668039501572166</c:v>
                </c:pt>
                <c:pt idx="16">
                  <c:v>0.0687000103072069</c:v>
                </c:pt>
                <c:pt idx="17">
                  <c:v>0.0706244216567295</c:v>
                </c:pt>
                <c:pt idx="18">
                  <c:v>0.0725776081324803</c:v>
                </c:pt>
                <c:pt idx="19">
                  <c:v>0.07456</c:v>
                </c:pt>
                <c:pt idx="20">
                  <c:v>0.0765720339584561</c:v>
                </c:pt>
                <c:pt idx="21">
                  <c:v>0.0786141532368438</c:v>
                </c:pt>
                <c:pt idx="22">
                  <c:v>0.0806868076916236</c:v>
                </c:pt>
                <c:pt idx="23">
                  <c:v>0.0827904539058205</c:v>
                </c:pt>
                <c:pt idx="24">
                  <c:v>0.0849255552896038</c:v>
                </c:pt>
                <c:pt idx="25">
                  <c:v>0.0870925821823713</c:v>
                </c:pt>
                <c:pt idx="26">
                  <c:v>0.0892920119563601</c:v>
                </c:pt>
                <c:pt idx="27">
                  <c:v>0.0915243291218062</c:v>
                </c:pt>
                <c:pt idx="28">
                  <c:v>0.0937900254336772</c:v>
                </c:pt>
                <c:pt idx="29">
                  <c:v>0.0960896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1007848"/>
        <c:axId val="659092875"/>
      </c:lineChart>
      <c:catAx>
        <c:axId val="84100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092875"/>
        <c:crosses val="autoZero"/>
        <c:auto val="1"/>
        <c:lblAlgn val="ctr"/>
        <c:lblOffset val="100"/>
        <c:noMultiLvlLbl val="0"/>
      </c:catAx>
      <c:valAx>
        <c:axId val="659092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0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掉率曲线!$G$223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掉率曲线!$G$224:$G$253</c:f>
              <c:numCache>
                <c:formatCode>0%</c:formatCode>
                <c:ptCount val="30"/>
                <c:pt idx="0">
                  <c:v>0.0398026510133875</c:v>
                </c:pt>
                <c:pt idx="1">
                  <c:v>0.0412870929175277</c:v>
                </c:pt>
                <c:pt idx="2">
                  <c:v>0.0428476690885259</c:v>
                </c:pt>
                <c:pt idx="3">
                  <c:v>0.0444911182523068</c:v>
                </c:pt>
                <c:pt idx="4">
                  <c:v>0.0462250448649376</c:v>
                </c:pt>
                <c:pt idx="5">
                  <c:v>0.048058067569092</c:v>
                </c:pt>
                <c:pt idx="6">
                  <c:v>0.05</c:v>
                </c:pt>
                <c:pt idx="7">
                  <c:v>0.0520620726159658</c:v>
                </c:pt>
                <c:pt idx="8">
                  <c:v>0.0542572070285374</c:v>
                </c:pt>
                <c:pt idx="9">
                  <c:v>0.0566003581778052</c:v>
                </c:pt>
                <c:pt idx="10">
                  <c:v>0.0591089451179962</c:v>
                </c:pt>
                <c:pt idx="11">
                  <c:v>0.0618033988749895</c:v>
                </c:pt>
                <c:pt idx="12">
                  <c:v>0.0647078669352809</c:v>
                </c:pt>
                <c:pt idx="13">
                  <c:v>0.0678511301977579</c:v>
                </c:pt>
                <c:pt idx="14">
                  <c:v>0.0712678125181665</c:v>
                </c:pt>
                <c:pt idx="15">
                  <c:v>0.075</c:v>
                </c:pt>
                <c:pt idx="16">
                  <c:v>0.0790994448735805</c:v>
                </c:pt>
                <c:pt idx="17">
                  <c:v>0.0836306209562122</c:v>
                </c:pt>
                <c:pt idx="18">
                  <c:v>0.0886750490563073</c:v>
                </c:pt>
                <c:pt idx="19">
                  <c:v>0.0943375672974065</c:v>
                </c:pt>
                <c:pt idx="20">
                  <c:v>0.100755672288882</c:v>
                </c:pt>
                <c:pt idx="21">
                  <c:v>0.108113883008419</c:v>
                </c:pt>
                <c:pt idx="22">
                  <c:v>0.116666666666667</c:v>
                </c:pt>
                <c:pt idx="23">
                  <c:v>0.126776695296637</c:v>
                </c:pt>
                <c:pt idx="24">
                  <c:v>0.138982236504614</c:v>
                </c:pt>
                <c:pt idx="25">
                  <c:v>0.154124145231932</c:v>
                </c:pt>
                <c:pt idx="26">
                  <c:v>0.173606797749979</c:v>
                </c:pt>
                <c:pt idx="27">
                  <c:v>0.2</c:v>
                </c:pt>
                <c:pt idx="28">
                  <c:v>0.238675134594813</c:v>
                </c:pt>
                <c:pt idx="29">
                  <c:v>0.303553390593274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694422"/>
        <c:axId val="149156290"/>
      </c:lineChart>
      <c:catAx>
        <c:axId val="2026944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56290"/>
        <c:crosses val="autoZero"/>
        <c:auto val="1"/>
        <c:lblAlgn val="ctr"/>
        <c:lblOffset val="100"/>
        <c:noMultiLvlLbl val="0"/>
      </c:catAx>
      <c:valAx>
        <c:axId val="149156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6944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掉率曲线!$M$36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掉率曲线!$M$37:$M$66</c:f>
              <c:numCache>
                <c:formatCode>0%</c:formatCode>
                <c:ptCount val="30"/>
                <c:pt idx="0">
                  <c:v>0.08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8761688"/>
        <c:axId val="532690742"/>
      </c:lineChart>
      <c:catAx>
        <c:axId val="39876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690742"/>
        <c:crosses val="autoZero"/>
        <c:auto val="1"/>
        <c:lblAlgn val="ctr"/>
        <c:lblOffset val="100"/>
        <c:noMultiLvlLbl val="0"/>
      </c:catAx>
      <c:valAx>
        <c:axId val="532690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76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掉率曲线!$P$110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掉率曲线!$P$111:$P$140</c:f>
              <c:numCache>
                <c:formatCode>0%</c:formatCode>
                <c:ptCount val="30"/>
                <c:pt idx="0">
                  <c:v>0.16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4666923"/>
        <c:axId val="718124665"/>
      </c:lineChart>
      <c:catAx>
        <c:axId val="984666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124665"/>
        <c:crosses val="autoZero"/>
        <c:auto val="1"/>
        <c:lblAlgn val="ctr"/>
        <c:lblOffset val="100"/>
        <c:noMultiLvlLbl val="0"/>
      </c:catAx>
      <c:valAx>
        <c:axId val="718124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666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掉率曲线!$P$36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掉率曲线!$P$37:$P$66</c:f>
              <c:numCache>
                <c:formatCode>0%</c:formatCode>
                <c:ptCount val="30"/>
                <c:pt idx="0">
                  <c:v>0.0749590218937863</c:v>
                </c:pt>
                <c:pt idx="1">
                  <c:v>0.0765616322328226</c:v>
                </c:pt>
                <c:pt idx="2">
                  <c:v>0.0782398631705605</c:v>
                </c:pt>
                <c:pt idx="3">
                  <c:v>0.08</c:v>
                </c:pt>
                <c:pt idx="4">
                  <c:v>0.0818490865820999</c:v>
                </c:pt>
                <c:pt idx="5">
                  <c:v>0.0837950470905062</c:v>
                </c:pt>
                <c:pt idx="6">
                  <c:v>0.0858468324604345</c:v>
                </c:pt>
                <c:pt idx="7">
                  <c:v>0.0880145976765095</c:v>
                </c:pt>
                <c:pt idx="8">
                  <c:v>0.0903099178571525</c:v>
                </c:pt>
                <c:pt idx="9">
                  <c:v>0.0927460535533632</c:v>
                </c:pt>
                <c:pt idx="10">
                  <c:v>0.0953382790366965</c:v>
                </c:pt>
                <c:pt idx="11">
                  <c:v>0.0981042919855316</c:v>
                </c:pt>
                <c:pt idx="12">
                  <c:v>0.101064729457504</c:v>
                </c:pt>
                <c:pt idx="13">
                  <c:v>0.104243824217575</c:v>
                </c:pt>
                <c:pt idx="14">
                  <c:v>0.107670248696953</c:v>
                </c:pt>
                <c:pt idx="15">
                  <c:v>0.111378213159759</c:v>
                </c:pt>
                <c:pt idx="16">
                  <c:v>0.115408913366638</c:v>
                </c:pt>
                <c:pt idx="17">
                  <c:v>0.119812466568131</c:v>
                </c:pt>
                <c:pt idx="18">
                  <c:v>0.124650542118226</c:v>
                </c:pt>
                <c:pt idx="19">
                  <c:v>0.13</c:v>
                </c:pt>
                <c:pt idx="20">
                  <c:v>0.135958024809816</c:v>
                </c:pt>
                <c:pt idx="21">
                  <c:v>0.142649535037194</c:v>
                </c:pt>
                <c:pt idx="22">
                  <c:v>0.15023815442732</c:v>
                </c:pt>
                <c:pt idx="23">
                  <c:v>0.15894294565113</c:v>
                </c:pt>
                <c:pt idx="24">
                  <c:v>0.169064826317888</c:v>
                </c:pt>
                <c:pt idx="25">
                  <c:v>0.181029995663981</c:v>
                </c:pt>
                <c:pt idx="26">
                  <c:v>0.195464876785729</c:v>
                </c:pt>
                <c:pt idx="27">
                  <c:v>0.213333333333333</c:v>
                </c:pt>
                <c:pt idx="28">
                  <c:v>0.236207187108022</c:v>
                </c:pt>
                <c:pt idx="29">
                  <c:v>0.266852807234542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8792249"/>
        <c:axId val="736819407"/>
      </c:lineChart>
      <c:catAx>
        <c:axId val="4787922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819407"/>
        <c:crosses val="autoZero"/>
        <c:auto val="1"/>
        <c:lblAlgn val="ctr"/>
        <c:lblOffset val="100"/>
        <c:noMultiLvlLbl val="0"/>
      </c:catAx>
      <c:valAx>
        <c:axId val="7368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7922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掉率曲线!$C$36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掉率曲线!$C$37:$C$67</c:f>
              <c:numCache>
                <c:formatCode>0%</c:formatCode>
                <c:ptCount val="31"/>
                <c:pt idx="0">
                  <c:v>0.36</c:v>
                </c:pt>
                <c:pt idx="1">
                  <c:v>0.28</c:v>
                </c:pt>
                <c:pt idx="2">
                  <c:v>0.24</c:v>
                </c:pt>
                <c:pt idx="3">
                  <c:v>0.23</c:v>
                </c:pt>
                <c:pt idx="4">
                  <c:v>0.21</c:v>
                </c:pt>
                <c:pt idx="5">
                  <c:v>0.2</c:v>
                </c:pt>
                <c:pt idx="6">
                  <c:v>0.2</c:v>
                </c:pt>
                <c:pt idx="7">
                  <c:v>0.19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1994265"/>
        <c:axId val="945568950"/>
      </c:lineChart>
      <c:catAx>
        <c:axId val="351994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568950"/>
        <c:crosses val="autoZero"/>
        <c:auto val="1"/>
        <c:lblAlgn val="ctr"/>
        <c:lblOffset val="100"/>
        <c:noMultiLvlLbl val="0"/>
      </c:catAx>
      <c:valAx>
        <c:axId val="945568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994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cf997f7-7032-445e-ad6e-6ccb1b93de5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掉率曲线!$C$72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掉率曲线!$C$73:$C$102</c:f>
              <c:numCache>
                <c:formatCode>0%</c:formatCode>
                <c:ptCount val="30"/>
                <c:pt idx="0">
                  <c:v>0.22</c:v>
                </c:pt>
                <c:pt idx="1">
                  <c:v>0.23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</c:v>
                </c:pt>
                <c:pt idx="6">
                  <c:v>0.29</c:v>
                </c:pt>
                <c:pt idx="7">
                  <c:v>0.29</c:v>
                </c:pt>
                <c:pt idx="8">
                  <c:v>0.3</c:v>
                </c:pt>
                <c:pt idx="9">
                  <c:v>0.3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</c:v>
                </c:pt>
                <c:pt idx="15">
                  <c:v>0.3</c:v>
                </c:pt>
                <c:pt idx="16">
                  <c:v>0.29</c:v>
                </c:pt>
                <c:pt idx="17">
                  <c:v>0.28</c:v>
                </c:pt>
                <c:pt idx="18">
                  <c:v>0.27</c:v>
                </c:pt>
                <c:pt idx="19">
                  <c:v>0.26</c:v>
                </c:pt>
                <c:pt idx="20">
                  <c:v>0.25</c:v>
                </c:pt>
                <c:pt idx="21">
                  <c:v>0.24</c:v>
                </c:pt>
                <c:pt idx="22">
                  <c:v>0.22</c:v>
                </c:pt>
                <c:pt idx="23">
                  <c:v>0.21</c:v>
                </c:pt>
                <c:pt idx="24">
                  <c:v>0.19</c:v>
                </c:pt>
                <c:pt idx="25">
                  <c:v>0.17</c:v>
                </c:pt>
                <c:pt idx="26">
                  <c:v>0.15</c:v>
                </c:pt>
                <c:pt idx="27">
                  <c:v>0.13</c:v>
                </c:pt>
                <c:pt idx="28">
                  <c:v>0.1</c:v>
                </c:pt>
                <c:pt idx="29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886682"/>
        <c:axId val="284588122"/>
      </c:lineChart>
      <c:catAx>
        <c:axId val="1808866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588122"/>
        <c:crosses val="autoZero"/>
        <c:auto val="1"/>
        <c:lblAlgn val="ctr"/>
        <c:lblOffset val="100"/>
        <c:noMultiLvlLbl val="0"/>
      </c:catAx>
      <c:valAx>
        <c:axId val="2845881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8866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d90d22e-5002-4673-bb23-f6c6141fc3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掉率曲线!$G$73:$G$102</c:f>
              <c:numCache>
                <c:formatCode>0%</c:formatCode>
                <c:ptCount val="30"/>
                <c:pt idx="0">
                  <c:v>0.06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0.14</c:v>
                </c:pt>
                <c:pt idx="10">
                  <c:v>0.14</c:v>
                </c:pt>
                <c:pt idx="11">
                  <c:v>0.14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0.14</c:v>
                </c:pt>
                <c:pt idx="20">
                  <c:v>0.14</c:v>
                </c:pt>
                <c:pt idx="21">
                  <c:v>0.13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</c:v>
                </c:pt>
                <c:pt idx="27">
                  <c:v>0.09</c:v>
                </c:pt>
                <c:pt idx="28">
                  <c:v>0.08</c:v>
                </c:pt>
                <c:pt idx="29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1242179"/>
        <c:axId val="827878614"/>
      </c:lineChart>
      <c:catAx>
        <c:axId val="5012421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878614"/>
        <c:crosses val="autoZero"/>
        <c:auto val="1"/>
        <c:lblAlgn val="ctr"/>
        <c:lblOffset val="100"/>
        <c:noMultiLvlLbl val="0"/>
      </c:catAx>
      <c:valAx>
        <c:axId val="8278786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2421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掉率曲线!$J$73:$J$102</c:f>
              <c:numCache>
                <c:formatCode>0%</c:formatCode>
                <c:ptCount val="30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0.14</c:v>
                </c:pt>
                <c:pt idx="5">
                  <c:v>0.13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0.07</c:v>
                </c:pt>
                <c:pt idx="16">
                  <c:v>0.07</c:v>
                </c:pt>
                <c:pt idx="17">
                  <c:v>0.07</c:v>
                </c:pt>
                <c:pt idx="18">
                  <c:v>0.07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0.07</c:v>
                </c:pt>
                <c:pt idx="24">
                  <c:v>0.07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2244241"/>
        <c:axId val="394501602"/>
      </c:lineChart>
      <c:catAx>
        <c:axId val="8622442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501602"/>
        <c:crosses val="autoZero"/>
        <c:auto val="1"/>
        <c:lblAlgn val="ctr"/>
        <c:lblOffset val="100"/>
        <c:noMultiLvlLbl val="0"/>
      </c:catAx>
      <c:valAx>
        <c:axId val="3945016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2442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掉率曲线!$C$111:$C$140</c:f>
              <c:numCache>
                <c:formatCode>0%</c:formatCode>
                <c:ptCount val="30"/>
                <c:pt idx="0">
                  <c:v>0.2</c:v>
                </c:pt>
                <c:pt idx="1">
                  <c:v>0.2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</c:v>
                </c:pt>
                <c:pt idx="28">
                  <c:v>0.14</c:v>
                </c:pt>
                <c:pt idx="29">
                  <c:v>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1402331"/>
        <c:axId val="270400976"/>
      </c:lineChart>
      <c:catAx>
        <c:axId val="8214023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400976"/>
        <c:crosses val="autoZero"/>
        <c:auto val="1"/>
        <c:lblAlgn val="ctr"/>
        <c:lblOffset val="100"/>
        <c:noMultiLvlLbl val="0"/>
      </c:catAx>
      <c:valAx>
        <c:axId val="2704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4023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掉率曲线!$G$111:$G$140</c:f>
              <c:numCache>
                <c:formatCode>0%</c:formatCode>
                <c:ptCount val="30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</c:v>
                </c:pt>
                <c:pt idx="16">
                  <c:v>0.14</c:v>
                </c:pt>
                <c:pt idx="17">
                  <c:v>0.14</c:v>
                </c:pt>
                <c:pt idx="18">
                  <c:v>0.14</c:v>
                </c:pt>
                <c:pt idx="19">
                  <c:v>0.14</c:v>
                </c:pt>
                <c:pt idx="20">
                  <c:v>0.14</c:v>
                </c:pt>
                <c:pt idx="21">
                  <c:v>0.14</c:v>
                </c:pt>
                <c:pt idx="22">
                  <c:v>0.14</c:v>
                </c:pt>
                <c:pt idx="23">
                  <c:v>0.14</c:v>
                </c:pt>
                <c:pt idx="24">
                  <c:v>0.14</c:v>
                </c:pt>
                <c:pt idx="25">
                  <c:v>0.14</c:v>
                </c:pt>
                <c:pt idx="26">
                  <c:v>0.14</c:v>
                </c:pt>
                <c:pt idx="27">
                  <c:v>0.14</c:v>
                </c:pt>
                <c:pt idx="28">
                  <c:v>0.15</c:v>
                </c:pt>
                <c:pt idx="29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642848"/>
        <c:axId val="766739563"/>
      </c:lineChart>
      <c:catAx>
        <c:axId val="2964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739563"/>
        <c:crosses val="autoZero"/>
        <c:auto val="1"/>
        <c:lblAlgn val="ctr"/>
        <c:lblOffset val="100"/>
        <c:noMultiLvlLbl val="0"/>
      </c:catAx>
      <c:valAx>
        <c:axId val="766739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掉率曲线!$J$111:$J$140</c:f>
              <c:numCache>
                <c:formatCode>0%</c:formatCode>
                <c:ptCount val="30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</c:v>
                </c:pt>
                <c:pt idx="17">
                  <c:v>0.14</c:v>
                </c:pt>
                <c:pt idx="18">
                  <c:v>0.14</c:v>
                </c:pt>
                <c:pt idx="19">
                  <c:v>0.14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7583340"/>
        <c:axId val="254322321"/>
      </c:lineChart>
      <c:catAx>
        <c:axId val="5775833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322321"/>
        <c:crosses val="autoZero"/>
        <c:auto val="1"/>
        <c:lblAlgn val="ctr"/>
        <c:lblOffset val="100"/>
        <c:noMultiLvlLbl val="0"/>
      </c:catAx>
      <c:valAx>
        <c:axId val="2543223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5833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1.xml"/><Relationship Id="rId8" Type="http://schemas.openxmlformats.org/officeDocument/2006/relationships/chart" Target="../charts/chart10.xml"/><Relationship Id="rId7" Type="http://schemas.openxmlformats.org/officeDocument/2006/relationships/chart" Target="../charts/chart9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6" Type="http://schemas.openxmlformats.org/officeDocument/2006/relationships/chart" Target="../charts/chart28.xml"/><Relationship Id="rId25" Type="http://schemas.openxmlformats.org/officeDocument/2006/relationships/chart" Target="../charts/chart27.xml"/><Relationship Id="rId24" Type="http://schemas.openxmlformats.org/officeDocument/2006/relationships/chart" Target="../charts/chart26.xml"/><Relationship Id="rId23" Type="http://schemas.openxmlformats.org/officeDocument/2006/relationships/chart" Target="../charts/chart25.xml"/><Relationship Id="rId22" Type="http://schemas.openxmlformats.org/officeDocument/2006/relationships/chart" Target="../charts/chart24.xml"/><Relationship Id="rId21" Type="http://schemas.openxmlformats.org/officeDocument/2006/relationships/chart" Target="../charts/chart23.xml"/><Relationship Id="rId20" Type="http://schemas.openxmlformats.org/officeDocument/2006/relationships/chart" Target="../charts/chart22.xml"/><Relationship Id="rId2" Type="http://schemas.openxmlformats.org/officeDocument/2006/relationships/chart" Target="../charts/chart4.xml"/><Relationship Id="rId19" Type="http://schemas.openxmlformats.org/officeDocument/2006/relationships/chart" Target="../charts/chart21.xml"/><Relationship Id="rId18" Type="http://schemas.openxmlformats.org/officeDocument/2006/relationships/chart" Target="../charts/chart20.xml"/><Relationship Id="rId17" Type="http://schemas.openxmlformats.org/officeDocument/2006/relationships/chart" Target="../charts/chart19.xml"/><Relationship Id="rId16" Type="http://schemas.openxmlformats.org/officeDocument/2006/relationships/chart" Target="../charts/chart18.xml"/><Relationship Id="rId15" Type="http://schemas.openxmlformats.org/officeDocument/2006/relationships/chart" Target="../charts/chart17.xml"/><Relationship Id="rId14" Type="http://schemas.openxmlformats.org/officeDocument/2006/relationships/chart" Target="../charts/chart16.xml"/><Relationship Id="rId13" Type="http://schemas.openxmlformats.org/officeDocument/2006/relationships/chart" Target="../charts/chart15.xml"/><Relationship Id="rId12" Type="http://schemas.openxmlformats.org/officeDocument/2006/relationships/chart" Target="../charts/chart14.xml"/><Relationship Id="rId11" Type="http://schemas.openxmlformats.org/officeDocument/2006/relationships/chart" Target="../charts/chart13.xml"/><Relationship Id="rId10" Type="http://schemas.openxmlformats.org/officeDocument/2006/relationships/chart" Target="../charts/chart1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63</xdr:row>
      <xdr:rowOff>88900</xdr:rowOff>
    </xdr:from>
    <xdr:to>
      <xdr:col>11</xdr:col>
      <xdr:colOff>15875</xdr:colOff>
      <xdr:row>79</xdr:row>
      <xdr:rowOff>88900</xdr:rowOff>
    </xdr:to>
    <xdr:graphicFrame>
      <xdr:nvGraphicFramePr>
        <xdr:cNvPr id="2" name="图表 1"/>
        <xdr:cNvGraphicFramePr/>
      </xdr:nvGraphicFramePr>
      <xdr:xfrm>
        <a:off x="5962650" y="108902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95885</xdr:colOff>
      <xdr:row>90</xdr:row>
      <xdr:rowOff>60325</xdr:rowOff>
    </xdr:from>
    <xdr:to>
      <xdr:col>11</xdr:col>
      <xdr:colOff>539115</xdr:colOff>
      <xdr:row>110</xdr:row>
      <xdr:rowOff>128270</xdr:rowOff>
    </xdr:to>
    <xdr:graphicFrame>
      <xdr:nvGraphicFramePr>
        <xdr:cNvPr id="3" name="图表 2"/>
        <xdr:cNvGraphicFramePr/>
      </xdr:nvGraphicFramePr>
      <xdr:xfrm>
        <a:off x="4848860" y="15490825"/>
        <a:ext cx="6463030" cy="3496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98425</xdr:colOff>
      <xdr:row>35</xdr:row>
      <xdr:rowOff>3175</xdr:rowOff>
    </xdr:from>
    <xdr:to>
      <xdr:col>4</xdr:col>
      <xdr:colOff>1467485</xdr:colOff>
      <xdr:row>54</xdr:row>
      <xdr:rowOff>50800</xdr:rowOff>
    </xdr:to>
    <xdr:graphicFrame>
      <xdr:nvGraphicFramePr>
        <xdr:cNvPr id="5" name="图表 4"/>
        <xdr:cNvGraphicFramePr/>
      </xdr:nvGraphicFramePr>
      <xdr:xfrm>
        <a:off x="2022475" y="6003925"/>
        <a:ext cx="2940685" cy="3305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98425</xdr:colOff>
      <xdr:row>67</xdr:row>
      <xdr:rowOff>3175</xdr:rowOff>
    </xdr:from>
    <xdr:to>
      <xdr:col>4</xdr:col>
      <xdr:colOff>1485900</xdr:colOff>
      <xdr:row>92</xdr:row>
      <xdr:rowOff>135255</xdr:rowOff>
    </xdr:to>
    <xdr:graphicFrame>
      <xdr:nvGraphicFramePr>
        <xdr:cNvPr id="6" name="图表 5"/>
        <xdr:cNvGraphicFramePr/>
      </xdr:nvGraphicFramePr>
      <xdr:xfrm>
        <a:off x="2022475" y="11490325"/>
        <a:ext cx="2959100" cy="4418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92075</xdr:colOff>
      <xdr:row>67</xdr:row>
      <xdr:rowOff>53975</xdr:rowOff>
    </xdr:from>
    <xdr:to>
      <xdr:col>7</xdr:col>
      <xdr:colOff>2447290</xdr:colOff>
      <xdr:row>91</xdr:row>
      <xdr:rowOff>64135</xdr:rowOff>
    </xdr:to>
    <xdr:graphicFrame>
      <xdr:nvGraphicFramePr>
        <xdr:cNvPr id="2" name="图表 1"/>
        <xdr:cNvGraphicFramePr/>
      </xdr:nvGraphicFramePr>
      <xdr:xfrm>
        <a:off x="6854825" y="11541125"/>
        <a:ext cx="2355215" cy="412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130175</xdr:colOff>
      <xdr:row>67</xdr:row>
      <xdr:rowOff>31750</xdr:rowOff>
    </xdr:from>
    <xdr:to>
      <xdr:col>10</xdr:col>
      <xdr:colOff>2781300</xdr:colOff>
      <xdr:row>91</xdr:row>
      <xdr:rowOff>127000</xdr:rowOff>
    </xdr:to>
    <xdr:graphicFrame>
      <xdr:nvGraphicFramePr>
        <xdr:cNvPr id="3" name="图表 2"/>
        <xdr:cNvGraphicFramePr/>
      </xdr:nvGraphicFramePr>
      <xdr:xfrm>
        <a:off x="11531600" y="11518900"/>
        <a:ext cx="2651125" cy="4210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111125</xdr:colOff>
      <xdr:row>106</xdr:row>
      <xdr:rowOff>139700</xdr:rowOff>
    </xdr:from>
    <xdr:to>
      <xdr:col>4</xdr:col>
      <xdr:colOff>1536700</xdr:colOff>
      <xdr:row>127</xdr:row>
      <xdr:rowOff>6350</xdr:rowOff>
    </xdr:to>
    <xdr:graphicFrame>
      <xdr:nvGraphicFramePr>
        <xdr:cNvPr id="4" name="图表 3"/>
        <xdr:cNvGraphicFramePr/>
      </xdr:nvGraphicFramePr>
      <xdr:xfrm>
        <a:off x="2035175" y="18313400"/>
        <a:ext cx="2997200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149225</xdr:colOff>
      <xdr:row>106</xdr:row>
      <xdr:rowOff>127000</xdr:rowOff>
    </xdr:from>
    <xdr:to>
      <xdr:col>7</xdr:col>
      <xdr:colOff>2457450</xdr:colOff>
      <xdr:row>124</xdr:row>
      <xdr:rowOff>117475</xdr:rowOff>
    </xdr:to>
    <xdr:graphicFrame>
      <xdr:nvGraphicFramePr>
        <xdr:cNvPr id="7" name="图表 6"/>
        <xdr:cNvGraphicFramePr/>
      </xdr:nvGraphicFramePr>
      <xdr:xfrm>
        <a:off x="6911975" y="18300700"/>
        <a:ext cx="2308225" cy="307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139700</xdr:colOff>
      <xdr:row>106</xdr:row>
      <xdr:rowOff>41275</xdr:rowOff>
    </xdr:from>
    <xdr:to>
      <xdr:col>10</xdr:col>
      <xdr:colOff>2752090</xdr:colOff>
      <xdr:row>127</xdr:row>
      <xdr:rowOff>21590</xdr:rowOff>
    </xdr:to>
    <xdr:graphicFrame>
      <xdr:nvGraphicFramePr>
        <xdr:cNvPr id="8" name="图表 7"/>
        <xdr:cNvGraphicFramePr/>
      </xdr:nvGraphicFramePr>
      <xdr:xfrm>
        <a:off x="11541125" y="18214975"/>
        <a:ext cx="2612390" cy="3580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92075</xdr:colOff>
      <xdr:row>106</xdr:row>
      <xdr:rowOff>50800</xdr:rowOff>
    </xdr:from>
    <xdr:to>
      <xdr:col>13</xdr:col>
      <xdr:colOff>3018790</xdr:colOff>
      <xdr:row>127</xdr:row>
      <xdr:rowOff>79375</xdr:rowOff>
    </xdr:to>
    <xdr:graphicFrame>
      <xdr:nvGraphicFramePr>
        <xdr:cNvPr id="9" name="图表 8"/>
        <xdr:cNvGraphicFramePr/>
      </xdr:nvGraphicFramePr>
      <xdr:xfrm>
        <a:off x="15817850" y="18224500"/>
        <a:ext cx="2926715" cy="3629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114300</xdr:colOff>
      <xdr:row>147</xdr:row>
      <xdr:rowOff>6350</xdr:rowOff>
    </xdr:from>
    <xdr:to>
      <xdr:col>4</xdr:col>
      <xdr:colOff>1558925</xdr:colOff>
      <xdr:row>163</xdr:row>
      <xdr:rowOff>92075</xdr:rowOff>
    </xdr:to>
    <xdr:graphicFrame>
      <xdr:nvGraphicFramePr>
        <xdr:cNvPr id="10" name="图表 9"/>
        <xdr:cNvGraphicFramePr/>
      </xdr:nvGraphicFramePr>
      <xdr:xfrm>
        <a:off x="2038350" y="25209500"/>
        <a:ext cx="301625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133350</xdr:colOff>
      <xdr:row>146</xdr:row>
      <xdr:rowOff>63500</xdr:rowOff>
    </xdr:from>
    <xdr:to>
      <xdr:col>7</xdr:col>
      <xdr:colOff>2409190</xdr:colOff>
      <xdr:row>163</xdr:row>
      <xdr:rowOff>102235</xdr:rowOff>
    </xdr:to>
    <xdr:graphicFrame>
      <xdr:nvGraphicFramePr>
        <xdr:cNvPr id="11" name="图表 10"/>
        <xdr:cNvGraphicFramePr/>
      </xdr:nvGraphicFramePr>
      <xdr:xfrm>
        <a:off x="6896100" y="25095200"/>
        <a:ext cx="2275840" cy="2953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104775</xdr:colOff>
      <xdr:row>145</xdr:row>
      <xdr:rowOff>130175</xdr:rowOff>
    </xdr:from>
    <xdr:to>
      <xdr:col>10</xdr:col>
      <xdr:colOff>2800350</xdr:colOff>
      <xdr:row>163</xdr:row>
      <xdr:rowOff>111125</xdr:rowOff>
    </xdr:to>
    <xdr:graphicFrame>
      <xdr:nvGraphicFramePr>
        <xdr:cNvPr id="12" name="图表 11"/>
        <xdr:cNvGraphicFramePr/>
      </xdr:nvGraphicFramePr>
      <xdr:xfrm>
        <a:off x="11506200" y="24990425"/>
        <a:ext cx="2695575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34925</xdr:colOff>
      <xdr:row>145</xdr:row>
      <xdr:rowOff>41275</xdr:rowOff>
    </xdr:from>
    <xdr:to>
      <xdr:col>13</xdr:col>
      <xdr:colOff>2980690</xdr:colOff>
      <xdr:row>164</xdr:row>
      <xdr:rowOff>60325</xdr:rowOff>
    </xdr:to>
    <xdr:graphicFrame>
      <xdr:nvGraphicFramePr>
        <xdr:cNvPr id="13" name="图表 12"/>
        <xdr:cNvGraphicFramePr/>
      </xdr:nvGraphicFramePr>
      <xdr:xfrm>
        <a:off x="15760700" y="24901525"/>
        <a:ext cx="2945765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</xdr:colOff>
      <xdr:row>34</xdr:row>
      <xdr:rowOff>25400</xdr:rowOff>
    </xdr:from>
    <xdr:to>
      <xdr:col>7</xdr:col>
      <xdr:colOff>2437765</xdr:colOff>
      <xdr:row>53</xdr:row>
      <xdr:rowOff>102235</xdr:rowOff>
    </xdr:to>
    <xdr:graphicFrame>
      <xdr:nvGraphicFramePr>
        <xdr:cNvPr id="14" name="图表 13"/>
        <xdr:cNvGraphicFramePr/>
      </xdr:nvGraphicFramePr>
      <xdr:xfrm>
        <a:off x="6800850" y="5854700"/>
        <a:ext cx="2399665" cy="3334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123825</xdr:colOff>
      <xdr:row>181</xdr:row>
      <xdr:rowOff>12700</xdr:rowOff>
    </xdr:from>
    <xdr:to>
      <xdr:col>4</xdr:col>
      <xdr:colOff>1568450</xdr:colOff>
      <xdr:row>201</xdr:row>
      <xdr:rowOff>50800</xdr:rowOff>
    </xdr:to>
    <xdr:graphicFrame>
      <xdr:nvGraphicFramePr>
        <xdr:cNvPr id="15" name="图表 14"/>
        <xdr:cNvGraphicFramePr/>
      </xdr:nvGraphicFramePr>
      <xdr:xfrm>
        <a:off x="2047875" y="31045150"/>
        <a:ext cx="3016250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76200</xdr:colOff>
      <xdr:row>181</xdr:row>
      <xdr:rowOff>88900</xdr:rowOff>
    </xdr:from>
    <xdr:to>
      <xdr:col>7</xdr:col>
      <xdr:colOff>2447925</xdr:colOff>
      <xdr:row>201</xdr:row>
      <xdr:rowOff>12700</xdr:rowOff>
    </xdr:to>
    <xdr:graphicFrame>
      <xdr:nvGraphicFramePr>
        <xdr:cNvPr id="16" name="图表 15"/>
        <xdr:cNvGraphicFramePr/>
      </xdr:nvGraphicFramePr>
      <xdr:xfrm>
        <a:off x="6838950" y="31121350"/>
        <a:ext cx="2371725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180975</xdr:colOff>
      <xdr:row>222</xdr:row>
      <xdr:rowOff>73025</xdr:rowOff>
    </xdr:from>
    <xdr:to>
      <xdr:col>4</xdr:col>
      <xdr:colOff>1558925</xdr:colOff>
      <xdr:row>239</xdr:row>
      <xdr:rowOff>130175</xdr:rowOff>
    </xdr:to>
    <xdr:graphicFrame>
      <xdr:nvGraphicFramePr>
        <xdr:cNvPr id="17" name="图表 16"/>
        <xdr:cNvGraphicFramePr/>
      </xdr:nvGraphicFramePr>
      <xdr:xfrm>
        <a:off x="2105025" y="38134925"/>
        <a:ext cx="29495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82550</xdr:colOff>
      <xdr:row>67</xdr:row>
      <xdr:rowOff>41275</xdr:rowOff>
    </xdr:from>
    <xdr:to>
      <xdr:col>13</xdr:col>
      <xdr:colOff>2990215</xdr:colOff>
      <xdr:row>90</xdr:row>
      <xdr:rowOff>146050</xdr:rowOff>
    </xdr:to>
    <xdr:graphicFrame>
      <xdr:nvGraphicFramePr>
        <xdr:cNvPr id="18" name="图表 17"/>
        <xdr:cNvGraphicFramePr/>
      </xdr:nvGraphicFramePr>
      <xdr:xfrm>
        <a:off x="15808325" y="11528425"/>
        <a:ext cx="2907665" cy="404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92075</xdr:colOff>
      <xdr:row>143</xdr:row>
      <xdr:rowOff>79375</xdr:rowOff>
    </xdr:from>
    <xdr:to>
      <xdr:col>16</xdr:col>
      <xdr:colOff>3047365</xdr:colOff>
      <xdr:row>165</xdr:row>
      <xdr:rowOff>127000</xdr:rowOff>
    </xdr:to>
    <xdr:graphicFrame>
      <xdr:nvGraphicFramePr>
        <xdr:cNvPr id="19" name="图表 18"/>
        <xdr:cNvGraphicFramePr/>
      </xdr:nvGraphicFramePr>
      <xdr:xfrm>
        <a:off x="20237450" y="24596725"/>
        <a:ext cx="2955290" cy="381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82550</xdr:colOff>
      <xdr:row>67</xdr:row>
      <xdr:rowOff>50800</xdr:rowOff>
    </xdr:from>
    <xdr:to>
      <xdr:col>16</xdr:col>
      <xdr:colOff>3028950</xdr:colOff>
      <xdr:row>90</xdr:row>
      <xdr:rowOff>1905</xdr:rowOff>
    </xdr:to>
    <xdr:graphicFrame>
      <xdr:nvGraphicFramePr>
        <xdr:cNvPr id="20" name="图表 19"/>
        <xdr:cNvGraphicFramePr/>
      </xdr:nvGraphicFramePr>
      <xdr:xfrm>
        <a:off x="20227925" y="11537950"/>
        <a:ext cx="2946400" cy="3894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95250</xdr:colOff>
      <xdr:row>32</xdr:row>
      <xdr:rowOff>60325</xdr:rowOff>
    </xdr:from>
    <xdr:to>
      <xdr:col>10</xdr:col>
      <xdr:colOff>2780665</xdr:colOff>
      <xdr:row>54</xdr:row>
      <xdr:rowOff>117475</xdr:rowOff>
    </xdr:to>
    <xdr:graphicFrame>
      <xdr:nvGraphicFramePr>
        <xdr:cNvPr id="21" name="图表 20"/>
        <xdr:cNvGraphicFramePr/>
      </xdr:nvGraphicFramePr>
      <xdr:xfrm>
        <a:off x="11496675" y="5546725"/>
        <a:ext cx="2685415" cy="3829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57150</xdr:colOff>
      <xdr:row>143</xdr:row>
      <xdr:rowOff>34925</xdr:rowOff>
    </xdr:from>
    <xdr:to>
      <xdr:col>19</xdr:col>
      <xdr:colOff>3085465</xdr:colOff>
      <xdr:row>166</xdr:row>
      <xdr:rowOff>5080</xdr:rowOff>
    </xdr:to>
    <xdr:graphicFrame>
      <xdr:nvGraphicFramePr>
        <xdr:cNvPr id="22" name="图表 21"/>
        <xdr:cNvGraphicFramePr/>
      </xdr:nvGraphicFramePr>
      <xdr:xfrm>
        <a:off x="24660225" y="24552275"/>
        <a:ext cx="3028315" cy="3913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41275</xdr:colOff>
      <xdr:row>143</xdr:row>
      <xdr:rowOff>53975</xdr:rowOff>
    </xdr:from>
    <xdr:to>
      <xdr:col>22</xdr:col>
      <xdr:colOff>2847340</xdr:colOff>
      <xdr:row>164</xdr:row>
      <xdr:rowOff>159385</xdr:rowOff>
    </xdr:to>
    <xdr:graphicFrame>
      <xdr:nvGraphicFramePr>
        <xdr:cNvPr id="23" name="图表 22"/>
        <xdr:cNvGraphicFramePr/>
      </xdr:nvGraphicFramePr>
      <xdr:xfrm>
        <a:off x="29149675" y="24571325"/>
        <a:ext cx="2806065" cy="3705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133350</xdr:colOff>
      <xdr:row>222</xdr:row>
      <xdr:rowOff>50800</xdr:rowOff>
    </xdr:from>
    <xdr:to>
      <xdr:col>7</xdr:col>
      <xdr:colOff>2759710</xdr:colOff>
      <xdr:row>239</xdr:row>
      <xdr:rowOff>117475</xdr:rowOff>
    </xdr:to>
    <xdr:graphicFrame>
      <xdr:nvGraphicFramePr>
        <xdr:cNvPr id="24" name="图表 23"/>
        <xdr:cNvGraphicFramePr/>
      </xdr:nvGraphicFramePr>
      <xdr:xfrm>
        <a:off x="6896100" y="38112700"/>
        <a:ext cx="2626360" cy="2981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101600</xdr:colOff>
      <xdr:row>32</xdr:row>
      <xdr:rowOff>60325</xdr:rowOff>
    </xdr:from>
    <xdr:to>
      <xdr:col>13</xdr:col>
      <xdr:colOff>3004185</xdr:colOff>
      <xdr:row>50</xdr:row>
      <xdr:rowOff>146050</xdr:rowOff>
    </xdr:to>
    <xdr:graphicFrame>
      <xdr:nvGraphicFramePr>
        <xdr:cNvPr id="25" name="图表 24"/>
        <xdr:cNvGraphicFramePr/>
      </xdr:nvGraphicFramePr>
      <xdr:xfrm>
        <a:off x="15827375" y="5546725"/>
        <a:ext cx="2902585" cy="317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63500</xdr:colOff>
      <xdr:row>106</xdr:row>
      <xdr:rowOff>31750</xdr:rowOff>
    </xdr:from>
    <xdr:to>
      <xdr:col>16</xdr:col>
      <xdr:colOff>3023235</xdr:colOff>
      <xdr:row>127</xdr:row>
      <xdr:rowOff>78740</xdr:rowOff>
    </xdr:to>
    <xdr:graphicFrame>
      <xdr:nvGraphicFramePr>
        <xdr:cNvPr id="26" name="图表 25"/>
        <xdr:cNvGraphicFramePr/>
      </xdr:nvGraphicFramePr>
      <xdr:xfrm>
        <a:off x="20208875" y="18205450"/>
        <a:ext cx="2959735" cy="364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85725</xdr:colOff>
      <xdr:row>32</xdr:row>
      <xdr:rowOff>60325</xdr:rowOff>
    </xdr:from>
    <xdr:to>
      <xdr:col>16</xdr:col>
      <xdr:colOff>3045460</xdr:colOff>
      <xdr:row>51</xdr:row>
      <xdr:rowOff>31115</xdr:rowOff>
    </xdr:to>
    <xdr:graphicFrame>
      <xdr:nvGraphicFramePr>
        <xdr:cNvPr id="27" name="图表 26"/>
        <xdr:cNvGraphicFramePr/>
      </xdr:nvGraphicFramePr>
      <xdr:xfrm>
        <a:off x="20231100" y="5546725"/>
        <a:ext cx="2959735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F23" sqref="F23"/>
    </sheetView>
  </sheetViews>
  <sheetFormatPr defaultColWidth="9" defaultRowHeight="13.5" outlineLevelCol="2"/>
  <cols>
    <col min="1" max="1" width="19.875" style="1" customWidth="1"/>
    <col min="2" max="2" width="9" style="1"/>
    <col min="3" max="3" width="49.625" style="1" customWidth="1"/>
    <col min="4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10</v>
      </c>
      <c r="C2" s="1" t="s">
        <v>4</v>
      </c>
    </row>
    <row r="3" spans="1:2">
      <c r="A3" s="41" t="s">
        <v>5</v>
      </c>
      <c r="B3" s="41">
        <v>100</v>
      </c>
    </row>
    <row r="4" spans="1:2">
      <c r="A4" s="17" t="s">
        <v>6</v>
      </c>
      <c r="B4" s="17">
        <v>1</v>
      </c>
    </row>
    <row r="5" spans="1:2">
      <c r="A5" s="17" t="s">
        <v>7</v>
      </c>
      <c r="B5" s="17">
        <v>1</v>
      </c>
    </row>
    <row r="6" spans="1:3">
      <c r="A6" s="1" t="s">
        <v>8</v>
      </c>
      <c r="B6" s="1">
        <v>100</v>
      </c>
      <c r="C6" s="1" t="s">
        <v>9</v>
      </c>
    </row>
    <row r="7" spans="1:2">
      <c r="A7" s="1" t="s">
        <v>10</v>
      </c>
      <c r="B7" s="1">
        <v>5</v>
      </c>
    </row>
    <row r="8" spans="1:3">
      <c r="A8" s="1" t="s">
        <v>11</v>
      </c>
      <c r="B8" s="1">
        <v>52</v>
      </c>
      <c r="C8" s="1" t="s">
        <v>12</v>
      </c>
    </row>
    <row r="9" spans="2:3">
      <c r="B9" s="1">
        <v>86</v>
      </c>
      <c r="C9" s="1" t="s">
        <v>13</v>
      </c>
    </row>
    <row r="10" spans="2:3">
      <c r="B10" s="1">
        <v>120</v>
      </c>
      <c r="C10" s="1" t="s">
        <v>14</v>
      </c>
    </row>
    <row r="11" spans="2:3">
      <c r="B11" s="1">
        <v>154</v>
      </c>
      <c r="C11" s="1" t="s">
        <v>15</v>
      </c>
    </row>
    <row r="12" spans="2:3">
      <c r="B12" s="1">
        <v>188</v>
      </c>
      <c r="C12" s="1" t="s">
        <v>16</v>
      </c>
    </row>
    <row r="13" spans="2:3">
      <c r="B13" s="1">
        <v>223</v>
      </c>
      <c r="C13" s="1" t="s">
        <v>17</v>
      </c>
    </row>
    <row r="14" spans="2:3">
      <c r="B14" s="1">
        <v>257</v>
      </c>
      <c r="C14" s="1" t="s">
        <v>18</v>
      </c>
    </row>
    <row r="15" spans="1:2">
      <c r="A15" s="1" t="s">
        <v>19</v>
      </c>
      <c r="B15" s="1">
        <v>100000</v>
      </c>
    </row>
    <row r="16" spans="1:2">
      <c r="A16" s="1" t="s">
        <v>20</v>
      </c>
      <c r="B16" s="1">
        <v>8</v>
      </c>
    </row>
    <row r="17" spans="1:2">
      <c r="A17" s="1" t="s">
        <v>21</v>
      </c>
      <c r="B17" s="1">
        <v>5000</v>
      </c>
    </row>
    <row r="18" spans="1:2">
      <c r="A18" s="1" t="s">
        <v>22</v>
      </c>
      <c r="B18" s="1">
        <v>20000</v>
      </c>
    </row>
  </sheetData>
  <mergeCells count="1">
    <mergeCell ref="A8:A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5"/>
  <sheetViews>
    <sheetView topLeftCell="A22" workbookViewId="0">
      <selection activeCell="I2" sqref="I2"/>
    </sheetView>
  </sheetViews>
  <sheetFormatPr defaultColWidth="9" defaultRowHeight="13.5"/>
  <cols>
    <col min="1" max="1" width="16" style="41" customWidth="1"/>
    <col min="2" max="2" width="8.125" style="41" customWidth="1"/>
    <col min="3" max="3" width="11.625" style="41" customWidth="1"/>
    <col min="4" max="4" width="9.75" style="41" customWidth="1"/>
    <col min="5" max="5" width="12.25" style="41" customWidth="1"/>
    <col min="6" max="6" width="12.75" style="41" customWidth="1"/>
    <col min="7" max="7" width="9" style="41"/>
    <col min="8" max="8" width="9.25" style="41" customWidth="1"/>
    <col min="9" max="9" width="10.375" style="41" customWidth="1"/>
    <col min="10" max="10" width="9" style="41"/>
    <col min="11" max="11" width="13" style="41" customWidth="1"/>
    <col min="12" max="12" width="11.375" style="41" customWidth="1"/>
    <col min="13" max="13" width="10.625" style="41" customWidth="1"/>
    <col min="14" max="14" width="9" style="41"/>
    <col min="15" max="15" width="11.125" style="41" customWidth="1"/>
    <col min="16" max="16" width="9" style="41"/>
    <col min="17" max="17" width="11.875" style="41" customWidth="1"/>
    <col min="18" max="18" width="11.25" style="41" customWidth="1"/>
    <col min="19" max="19" width="10" style="41" customWidth="1"/>
    <col min="20" max="20" width="12.875" style="17" customWidth="1"/>
    <col min="21" max="21" width="13.5" style="41" customWidth="1"/>
    <col min="22" max="16384" width="9" style="41"/>
  </cols>
  <sheetData>
    <row r="1" spans="1:10">
      <c r="A1" s="35" t="s">
        <v>23</v>
      </c>
      <c r="B1" s="35">
        <v>100</v>
      </c>
      <c r="C1" s="35"/>
      <c r="D1" s="35" t="s">
        <v>24</v>
      </c>
      <c r="E1" s="35">
        <v>500</v>
      </c>
      <c r="F1" s="35"/>
      <c r="I1" s="1"/>
      <c r="J1" s="1"/>
    </row>
    <row r="2" spans="1:10">
      <c r="A2" s="35" t="s">
        <v>5</v>
      </c>
      <c r="B2" s="35">
        <v>100</v>
      </c>
      <c r="C2" s="35"/>
      <c r="D2" s="35"/>
      <c r="E2" s="35"/>
      <c r="F2" s="35"/>
      <c r="J2" s="1"/>
    </row>
    <row r="3" spans="1:10">
      <c r="A3" s="35" t="s">
        <v>25</v>
      </c>
      <c r="B3" s="35">
        <v>5</v>
      </c>
      <c r="C3" s="35"/>
      <c r="D3" s="35"/>
      <c r="E3" s="35"/>
      <c r="F3" s="35"/>
      <c r="J3" s="1"/>
    </row>
    <row r="4" spans="7:21">
      <c r="G4" s="42"/>
      <c r="H4" s="43" t="s">
        <v>26</v>
      </c>
      <c r="I4" s="50"/>
      <c r="J4" s="50"/>
      <c r="K4" s="50"/>
      <c r="L4" s="50"/>
      <c r="M4" s="50"/>
      <c r="N4" s="43" t="s">
        <v>27</v>
      </c>
      <c r="O4" s="50"/>
      <c r="P4" s="50"/>
      <c r="Q4" s="50"/>
      <c r="R4" s="50"/>
      <c r="S4" s="50"/>
      <c r="T4" s="50"/>
      <c r="U4" s="62"/>
    </row>
    <row r="5" spans="2:21">
      <c r="B5" s="1" t="s">
        <v>28</v>
      </c>
      <c r="C5" s="1" t="s">
        <v>29</v>
      </c>
      <c r="D5" s="41" t="s">
        <v>30</v>
      </c>
      <c r="E5" s="41" t="s">
        <v>31</v>
      </c>
      <c r="F5" s="41" t="s">
        <v>32</v>
      </c>
      <c r="G5" s="1" t="s">
        <v>33</v>
      </c>
      <c r="H5" s="44" t="s">
        <v>34</v>
      </c>
      <c r="I5" s="39" t="s">
        <v>35</v>
      </c>
      <c r="J5" s="39" t="s">
        <v>36</v>
      </c>
      <c r="K5" s="51" t="s">
        <v>37</v>
      </c>
      <c r="L5" s="44" t="s">
        <v>38</v>
      </c>
      <c r="M5" s="51" t="s">
        <v>39</v>
      </c>
      <c r="N5" s="45" t="s">
        <v>34</v>
      </c>
      <c r="O5" s="17" t="s">
        <v>35</v>
      </c>
      <c r="P5" s="17" t="s">
        <v>36</v>
      </c>
      <c r="Q5" s="53" t="s">
        <v>37</v>
      </c>
      <c r="R5" s="45" t="s">
        <v>38</v>
      </c>
      <c r="S5" s="17" t="s">
        <v>39</v>
      </c>
      <c r="T5" s="17" t="s">
        <v>40</v>
      </c>
      <c r="U5" s="17" t="s">
        <v>41</v>
      </c>
    </row>
    <row r="6" spans="2:21">
      <c r="B6" s="1">
        <v>1</v>
      </c>
      <c r="C6" s="1">
        <v>1</v>
      </c>
      <c r="D6" s="41">
        <f t="shared" ref="D6:D65" si="0">B6*30</f>
        <v>30</v>
      </c>
      <c r="E6" s="41">
        <f t="shared" ref="E6:E65" si="1">$B6*30/60</f>
        <v>0.5</v>
      </c>
      <c r="F6" s="41">
        <f t="shared" ref="F6:F65" si="2">$D6</f>
        <v>30</v>
      </c>
      <c r="G6" s="1">
        <f>100+$B6*30*$B$3</f>
        <v>250</v>
      </c>
      <c r="H6" s="45">
        <f t="shared" ref="H6:H65" si="3">$F6/5</f>
        <v>6</v>
      </c>
      <c r="I6" s="52">
        <v>0.36</v>
      </c>
      <c r="J6" s="41">
        <f>100*$I6*$H6</f>
        <v>216</v>
      </c>
      <c r="K6" s="53">
        <f>$J6+$G6</f>
        <v>466</v>
      </c>
      <c r="L6" s="54">
        <v>0.24</v>
      </c>
      <c r="M6" s="53">
        <f>L6*H6*500</f>
        <v>720</v>
      </c>
      <c r="N6" s="45">
        <f t="shared" ref="N6:N65" si="4">$D6/3</f>
        <v>10</v>
      </c>
      <c r="O6" s="52">
        <v>0.36</v>
      </c>
      <c r="P6" s="41">
        <f>100*$O6*$H6</f>
        <v>216</v>
      </c>
      <c r="Q6" s="53">
        <f>$P6+$G6</f>
        <v>466</v>
      </c>
      <c r="R6" s="54">
        <v>0.24</v>
      </c>
      <c r="S6" s="17">
        <f>R6*N6*500</f>
        <v>1200</v>
      </c>
      <c r="T6" s="44">
        <f>200*$I6*$N6</f>
        <v>720</v>
      </c>
      <c r="U6" s="51">
        <f>R6*N6*1000</f>
        <v>2400</v>
      </c>
    </row>
    <row r="7" s="39" customFormat="1" spans="1:21">
      <c r="A7" s="44"/>
      <c r="B7" s="46">
        <v>2</v>
      </c>
      <c r="C7" s="46">
        <v>2</v>
      </c>
      <c r="D7" s="47">
        <f t="shared" si="0"/>
        <v>60</v>
      </c>
      <c r="E7" s="39">
        <f t="shared" si="1"/>
        <v>1</v>
      </c>
      <c r="F7" s="39">
        <f t="shared" si="2"/>
        <v>60</v>
      </c>
      <c r="G7" s="46">
        <f t="shared" ref="G7:G38" si="5">100+$B7*30*$B$3</f>
        <v>400</v>
      </c>
      <c r="H7" s="44">
        <f t="shared" si="3"/>
        <v>12</v>
      </c>
      <c r="I7" s="55">
        <v>0.36</v>
      </c>
      <c r="J7" s="39">
        <f>100*$I7*(H7-H6)+J6</f>
        <v>432</v>
      </c>
      <c r="K7" s="51">
        <f t="shared" ref="K7:K38" si="6">$J7+$G7</f>
        <v>832</v>
      </c>
      <c r="L7" s="56">
        <v>0.24</v>
      </c>
      <c r="M7" s="51">
        <f>L7*(H7-H6)*500+M6</f>
        <v>1440</v>
      </c>
      <c r="N7" s="44">
        <f t="shared" si="4"/>
        <v>20</v>
      </c>
      <c r="O7" s="55">
        <v>0.28</v>
      </c>
      <c r="P7" s="39">
        <f t="shared" ref="P7:P65" si="7">100*$I7*(N7-N6)+P6</f>
        <v>576</v>
      </c>
      <c r="Q7" s="51">
        <f t="shared" ref="Q7:Q38" si="8">$P7+$G7</f>
        <v>976</v>
      </c>
      <c r="R7" s="56">
        <v>0.28</v>
      </c>
      <c r="S7" s="39">
        <f t="shared" ref="S7:S65" si="9">R7*(N7-N6)*500+S6</f>
        <v>2600</v>
      </c>
      <c r="T7" s="45">
        <f>200*$I7*(N7-N6)+T6</f>
        <v>1440</v>
      </c>
      <c r="U7" s="53">
        <f>R7*(N7-N6)*1000+$U6</f>
        <v>5200</v>
      </c>
    </row>
    <row r="8" spans="1:21">
      <c r="A8" s="45"/>
      <c r="B8" s="1">
        <v>3</v>
      </c>
      <c r="C8" s="1"/>
      <c r="D8" s="41">
        <f t="shared" si="0"/>
        <v>90</v>
      </c>
      <c r="E8" s="41">
        <f t="shared" si="1"/>
        <v>1.5</v>
      </c>
      <c r="F8" s="41">
        <f t="shared" si="2"/>
        <v>90</v>
      </c>
      <c r="G8" s="1">
        <f t="shared" si="5"/>
        <v>550</v>
      </c>
      <c r="H8" s="45">
        <f t="shared" si="3"/>
        <v>18</v>
      </c>
      <c r="I8" s="52">
        <v>0.28</v>
      </c>
      <c r="J8" s="41">
        <f t="shared" ref="J8:J39" si="10">100*$I8*(H8-H7)+J7</f>
        <v>600</v>
      </c>
      <c r="K8" s="53">
        <f t="shared" si="6"/>
        <v>1150</v>
      </c>
      <c r="L8" s="54">
        <v>0.28</v>
      </c>
      <c r="M8" s="53">
        <f>L8*(H8-H7)*500+M7</f>
        <v>2280</v>
      </c>
      <c r="N8" s="45">
        <f t="shared" si="4"/>
        <v>30</v>
      </c>
      <c r="O8" s="52">
        <v>0.24</v>
      </c>
      <c r="P8" s="41">
        <f t="shared" si="7"/>
        <v>856</v>
      </c>
      <c r="Q8" s="53">
        <f t="shared" si="8"/>
        <v>1406</v>
      </c>
      <c r="R8" s="54">
        <v>0.32</v>
      </c>
      <c r="S8" s="17">
        <f t="shared" si="9"/>
        <v>4200</v>
      </c>
      <c r="T8" s="45">
        <f>200*$I8*(N8-N7)+T7</f>
        <v>2000</v>
      </c>
      <c r="U8" s="53">
        <f>R8*(N8-N7)*1000+$U7</f>
        <v>8400</v>
      </c>
    </row>
    <row r="9" s="40" customFormat="1" spans="1:21">
      <c r="A9" s="48"/>
      <c r="B9" s="49">
        <v>4</v>
      </c>
      <c r="C9" s="49"/>
      <c r="D9" s="40">
        <f t="shared" si="0"/>
        <v>120</v>
      </c>
      <c r="E9" s="40">
        <f t="shared" si="1"/>
        <v>2</v>
      </c>
      <c r="F9" s="40">
        <f t="shared" si="2"/>
        <v>120</v>
      </c>
      <c r="G9" s="49">
        <f t="shared" si="5"/>
        <v>700</v>
      </c>
      <c r="H9" s="48">
        <f t="shared" si="3"/>
        <v>24</v>
      </c>
      <c r="I9" s="57">
        <v>0.28</v>
      </c>
      <c r="J9" s="40">
        <f t="shared" si="10"/>
        <v>768</v>
      </c>
      <c r="K9" s="58">
        <f t="shared" si="6"/>
        <v>1468</v>
      </c>
      <c r="L9" s="59">
        <v>0.28</v>
      </c>
      <c r="M9" s="58">
        <f>L9*(H9-H8)*500+M8</f>
        <v>3120</v>
      </c>
      <c r="N9" s="48">
        <f t="shared" si="4"/>
        <v>40</v>
      </c>
      <c r="O9" s="57">
        <v>0.23</v>
      </c>
      <c r="P9" s="40">
        <f t="shared" si="7"/>
        <v>1136</v>
      </c>
      <c r="Q9" s="58">
        <f t="shared" si="8"/>
        <v>1836</v>
      </c>
      <c r="R9" s="59">
        <v>0.36</v>
      </c>
      <c r="S9" s="40">
        <f t="shared" si="9"/>
        <v>6000</v>
      </c>
      <c r="T9" s="45">
        <f t="shared" ref="T9:T30" si="11">200*$I9*(N9-N8)+T8</f>
        <v>2560</v>
      </c>
      <c r="U9" s="53">
        <f>R9*(N9-N8)*1000+$U8</f>
        <v>12000</v>
      </c>
    </row>
    <row r="10" s="39" customFormat="1" spans="1:21">
      <c r="A10" s="44"/>
      <c r="B10" s="46">
        <v>5</v>
      </c>
      <c r="C10" s="46">
        <v>3</v>
      </c>
      <c r="D10" s="47">
        <f t="shared" si="0"/>
        <v>150</v>
      </c>
      <c r="E10" s="39">
        <f t="shared" si="1"/>
        <v>2.5</v>
      </c>
      <c r="F10" s="39">
        <f t="shared" si="2"/>
        <v>150</v>
      </c>
      <c r="G10" s="46">
        <f t="shared" si="5"/>
        <v>850</v>
      </c>
      <c r="H10" s="44">
        <f t="shared" si="3"/>
        <v>30</v>
      </c>
      <c r="I10" s="55">
        <v>0.24</v>
      </c>
      <c r="J10" s="39">
        <f t="shared" si="10"/>
        <v>912</v>
      </c>
      <c r="K10" s="51">
        <f t="shared" si="6"/>
        <v>1762</v>
      </c>
      <c r="L10" s="56">
        <v>0.32</v>
      </c>
      <c r="M10" s="51">
        <f>L10*(H10-H9)*500+M9</f>
        <v>4080</v>
      </c>
      <c r="N10" s="44">
        <f t="shared" si="4"/>
        <v>50</v>
      </c>
      <c r="O10" s="55">
        <v>0.21</v>
      </c>
      <c r="P10" s="39">
        <f t="shared" si="7"/>
        <v>1376</v>
      </c>
      <c r="Q10" s="51">
        <f t="shared" si="8"/>
        <v>2226</v>
      </c>
      <c r="R10" s="56">
        <v>0.39</v>
      </c>
      <c r="S10" s="39">
        <f t="shared" si="9"/>
        <v>7950</v>
      </c>
      <c r="T10" s="45">
        <f t="shared" si="11"/>
        <v>3040</v>
      </c>
      <c r="U10" s="53">
        <f t="shared" ref="U10:U28" si="12">R10*(N10-N9)*1000+$U9</f>
        <v>15900</v>
      </c>
    </row>
    <row r="11" spans="1:21">
      <c r="A11" s="45"/>
      <c r="B11" s="1">
        <v>6</v>
      </c>
      <c r="C11" s="1"/>
      <c r="D11" s="41">
        <f t="shared" si="0"/>
        <v>180</v>
      </c>
      <c r="E11" s="41">
        <f t="shared" si="1"/>
        <v>3</v>
      </c>
      <c r="F11" s="41">
        <f t="shared" si="2"/>
        <v>180</v>
      </c>
      <c r="G11" s="1">
        <f t="shared" si="5"/>
        <v>1000</v>
      </c>
      <c r="H11" s="45">
        <f t="shared" si="3"/>
        <v>36</v>
      </c>
      <c r="I11" s="52">
        <v>0.24</v>
      </c>
      <c r="J11" s="41">
        <f t="shared" si="10"/>
        <v>1056</v>
      </c>
      <c r="K11" s="53">
        <f t="shared" si="6"/>
        <v>2056</v>
      </c>
      <c r="L11" s="54">
        <v>0.32</v>
      </c>
      <c r="M11" s="53">
        <f t="shared" ref="M11:M42" si="13">L11*(H11-H10)*500+M10</f>
        <v>5040</v>
      </c>
      <c r="N11" s="45">
        <f t="shared" si="4"/>
        <v>60</v>
      </c>
      <c r="O11" s="52">
        <v>0.2</v>
      </c>
      <c r="P11" s="41">
        <f t="shared" si="7"/>
        <v>1616</v>
      </c>
      <c r="Q11" s="53">
        <f t="shared" si="8"/>
        <v>2616</v>
      </c>
      <c r="R11" s="54">
        <v>0.41</v>
      </c>
      <c r="S11" s="17">
        <f t="shared" si="9"/>
        <v>10000</v>
      </c>
      <c r="T11" s="45">
        <f t="shared" si="11"/>
        <v>3520</v>
      </c>
      <c r="U11" s="53">
        <f t="shared" si="12"/>
        <v>20000</v>
      </c>
    </row>
    <row r="12" spans="1:21">
      <c r="A12" s="45"/>
      <c r="B12" s="1">
        <v>7</v>
      </c>
      <c r="C12" s="1"/>
      <c r="D12" s="41">
        <f t="shared" si="0"/>
        <v>210</v>
      </c>
      <c r="E12" s="41">
        <f t="shared" si="1"/>
        <v>3.5</v>
      </c>
      <c r="F12" s="41">
        <f t="shared" si="2"/>
        <v>210</v>
      </c>
      <c r="G12" s="1">
        <f t="shared" si="5"/>
        <v>1150</v>
      </c>
      <c r="H12" s="45">
        <f t="shared" si="3"/>
        <v>42</v>
      </c>
      <c r="I12" s="52">
        <v>0.23</v>
      </c>
      <c r="J12" s="41">
        <f t="shared" si="10"/>
        <v>1194</v>
      </c>
      <c r="K12" s="53">
        <f t="shared" si="6"/>
        <v>2344</v>
      </c>
      <c r="L12" s="54">
        <v>0.36</v>
      </c>
      <c r="M12" s="53">
        <f t="shared" si="13"/>
        <v>6120</v>
      </c>
      <c r="N12" s="45">
        <f t="shared" si="4"/>
        <v>70</v>
      </c>
      <c r="O12" s="52">
        <v>0.2</v>
      </c>
      <c r="P12" s="41">
        <f t="shared" si="7"/>
        <v>1846</v>
      </c>
      <c r="Q12" s="53">
        <f t="shared" si="8"/>
        <v>2996</v>
      </c>
      <c r="R12" s="54">
        <v>0.44</v>
      </c>
      <c r="S12" s="17">
        <f t="shared" si="9"/>
        <v>12200</v>
      </c>
      <c r="T12" s="45">
        <f t="shared" si="11"/>
        <v>3980</v>
      </c>
      <c r="U12" s="53">
        <f t="shared" si="12"/>
        <v>24400</v>
      </c>
    </row>
    <row r="13" s="40" customFormat="1" spans="1:21">
      <c r="A13" s="48"/>
      <c r="B13" s="49">
        <v>8</v>
      </c>
      <c r="C13" s="49"/>
      <c r="D13" s="40">
        <f t="shared" si="0"/>
        <v>240</v>
      </c>
      <c r="E13" s="40">
        <f t="shared" si="1"/>
        <v>4</v>
      </c>
      <c r="F13" s="40">
        <f t="shared" si="2"/>
        <v>240</v>
      </c>
      <c r="G13" s="49">
        <f t="shared" si="5"/>
        <v>1300</v>
      </c>
      <c r="H13" s="48">
        <f t="shared" si="3"/>
        <v>48</v>
      </c>
      <c r="I13" s="57">
        <v>0.23</v>
      </c>
      <c r="J13" s="40">
        <f t="shared" si="10"/>
        <v>1332</v>
      </c>
      <c r="K13" s="58">
        <f t="shared" si="6"/>
        <v>2632</v>
      </c>
      <c r="L13" s="59">
        <v>0.39</v>
      </c>
      <c r="M13" s="58">
        <f t="shared" si="13"/>
        <v>7290</v>
      </c>
      <c r="N13" s="48">
        <f t="shared" si="4"/>
        <v>80</v>
      </c>
      <c r="O13" s="57">
        <v>0.19</v>
      </c>
      <c r="P13" s="40">
        <f t="shared" si="7"/>
        <v>2076</v>
      </c>
      <c r="Q13" s="58">
        <f t="shared" si="8"/>
        <v>3376</v>
      </c>
      <c r="R13" s="59">
        <v>0.46</v>
      </c>
      <c r="S13" s="40">
        <f t="shared" si="9"/>
        <v>14500</v>
      </c>
      <c r="T13" s="45">
        <f t="shared" si="11"/>
        <v>4440</v>
      </c>
      <c r="U13" s="53">
        <f t="shared" si="12"/>
        <v>29000</v>
      </c>
    </row>
    <row r="14" s="39" customFormat="1" spans="1:21">
      <c r="A14" s="44"/>
      <c r="B14" s="46">
        <v>9</v>
      </c>
      <c r="C14" s="46">
        <v>4</v>
      </c>
      <c r="D14" s="47">
        <f t="shared" si="0"/>
        <v>270</v>
      </c>
      <c r="E14" s="39">
        <f t="shared" si="1"/>
        <v>4.5</v>
      </c>
      <c r="F14" s="39">
        <f t="shared" si="2"/>
        <v>270</v>
      </c>
      <c r="G14" s="46">
        <f t="shared" si="5"/>
        <v>1450</v>
      </c>
      <c r="H14" s="44">
        <f t="shared" si="3"/>
        <v>54</v>
      </c>
      <c r="I14" s="55">
        <v>0.21</v>
      </c>
      <c r="J14" s="39">
        <f t="shared" si="10"/>
        <v>1458</v>
      </c>
      <c r="K14" s="51">
        <f t="shared" si="6"/>
        <v>2908</v>
      </c>
      <c r="L14" s="56">
        <v>0.39</v>
      </c>
      <c r="M14" s="51">
        <f t="shared" si="13"/>
        <v>8460</v>
      </c>
      <c r="N14" s="44">
        <f t="shared" si="4"/>
        <v>90</v>
      </c>
      <c r="O14" s="55">
        <v>0.18</v>
      </c>
      <c r="P14" s="39">
        <f t="shared" si="7"/>
        <v>2286</v>
      </c>
      <c r="Q14" s="51">
        <f t="shared" si="8"/>
        <v>3736</v>
      </c>
      <c r="R14" s="56">
        <v>0.48</v>
      </c>
      <c r="S14" s="39">
        <f t="shared" si="9"/>
        <v>16900</v>
      </c>
      <c r="T14" s="45">
        <f t="shared" si="11"/>
        <v>4860</v>
      </c>
      <c r="U14" s="53">
        <f t="shared" si="12"/>
        <v>33800</v>
      </c>
    </row>
    <row r="15" spans="1:21">
      <c r="A15" s="45"/>
      <c r="B15" s="1">
        <v>10</v>
      </c>
      <c r="C15" s="1"/>
      <c r="D15" s="41">
        <f t="shared" si="0"/>
        <v>300</v>
      </c>
      <c r="E15" s="41">
        <f t="shared" si="1"/>
        <v>5</v>
      </c>
      <c r="F15" s="41">
        <f t="shared" si="2"/>
        <v>300</v>
      </c>
      <c r="G15" s="1">
        <f t="shared" si="5"/>
        <v>1600</v>
      </c>
      <c r="H15" s="45">
        <f t="shared" si="3"/>
        <v>60</v>
      </c>
      <c r="I15" s="52">
        <v>0.2</v>
      </c>
      <c r="J15" s="41">
        <f t="shared" si="10"/>
        <v>1578</v>
      </c>
      <c r="K15" s="53">
        <f t="shared" si="6"/>
        <v>3178</v>
      </c>
      <c r="L15" s="54">
        <v>0.41</v>
      </c>
      <c r="M15" s="53">
        <f t="shared" si="13"/>
        <v>9690</v>
      </c>
      <c r="N15" s="45">
        <f t="shared" si="4"/>
        <v>100</v>
      </c>
      <c r="O15" s="52">
        <v>0.18</v>
      </c>
      <c r="P15" s="41">
        <f t="shared" si="7"/>
        <v>2486</v>
      </c>
      <c r="Q15" s="53">
        <f t="shared" si="8"/>
        <v>4086</v>
      </c>
      <c r="R15" s="54">
        <v>0.49</v>
      </c>
      <c r="S15" s="17">
        <f t="shared" si="9"/>
        <v>19350</v>
      </c>
      <c r="T15" s="45">
        <f t="shared" si="11"/>
        <v>5260</v>
      </c>
      <c r="U15" s="53">
        <f t="shared" si="12"/>
        <v>38700</v>
      </c>
    </row>
    <row r="16" spans="1:21">
      <c r="A16" s="45"/>
      <c r="B16" s="1">
        <v>11</v>
      </c>
      <c r="C16" s="1"/>
      <c r="D16" s="41">
        <f t="shared" si="0"/>
        <v>330</v>
      </c>
      <c r="E16" s="41">
        <f t="shared" si="1"/>
        <v>5.5</v>
      </c>
      <c r="F16" s="41">
        <f t="shared" si="2"/>
        <v>330</v>
      </c>
      <c r="G16" s="1">
        <f t="shared" si="5"/>
        <v>1750</v>
      </c>
      <c r="H16" s="45">
        <f t="shared" si="3"/>
        <v>66</v>
      </c>
      <c r="I16" s="52">
        <v>0.2</v>
      </c>
      <c r="J16" s="41">
        <f t="shared" si="10"/>
        <v>1698</v>
      </c>
      <c r="K16" s="53">
        <f t="shared" si="6"/>
        <v>3448</v>
      </c>
      <c r="L16" s="54">
        <v>0.41</v>
      </c>
      <c r="M16" s="53">
        <f t="shared" si="13"/>
        <v>10920</v>
      </c>
      <c r="N16" s="45">
        <f t="shared" si="4"/>
        <v>110</v>
      </c>
      <c r="O16" s="52">
        <v>0.18</v>
      </c>
      <c r="P16" s="41">
        <f t="shared" si="7"/>
        <v>2686</v>
      </c>
      <c r="Q16" s="53">
        <f t="shared" si="8"/>
        <v>4436</v>
      </c>
      <c r="R16" s="54">
        <v>0.5</v>
      </c>
      <c r="S16" s="17">
        <f t="shared" si="9"/>
        <v>21850</v>
      </c>
      <c r="T16" s="45">
        <f t="shared" si="11"/>
        <v>5660</v>
      </c>
      <c r="U16" s="53">
        <f t="shared" si="12"/>
        <v>43700</v>
      </c>
    </row>
    <row r="17" spans="1:21">
      <c r="A17" s="45"/>
      <c r="B17" s="1">
        <v>12</v>
      </c>
      <c r="C17" s="1"/>
      <c r="D17" s="41">
        <f t="shared" si="0"/>
        <v>360</v>
      </c>
      <c r="E17" s="41">
        <f t="shared" si="1"/>
        <v>6</v>
      </c>
      <c r="F17" s="41">
        <f t="shared" si="2"/>
        <v>360</v>
      </c>
      <c r="G17" s="1">
        <f t="shared" si="5"/>
        <v>1900</v>
      </c>
      <c r="H17" s="45">
        <f t="shared" si="3"/>
        <v>72</v>
      </c>
      <c r="I17" s="52">
        <v>0.2</v>
      </c>
      <c r="J17" s="41">
        <f t="shared" si="10"/>
        <v>1818</v>
      </c>
      <c r="K17" s="53">
        <f t="shared" si="6"/>
        <v>3718</v>
      </c>
      <c r="L17" s="54">
        <v>0.44</v>
      </c>
      <c r="M17" s="53">
        <f t="shared" si="13"/>
        <v>12240</v>
      </c>
      <c r="N17" s="45">
        <f t="shared" si="4"/>
        <v>120</v>
      </c>
      <c r="O17" s="52">
        <v>0.17</v>
      </c>
      <c r="P17" s="41">
        <f t="shared" si="7"/>
        <v>2886</v>
      </c>
      <c r="Q17" s="53">
        <f t="shared" si="8"/>
        <v>4786</v>
      </c>
      <c r="R17" s="54">
        <v>0.51</v>
      </c>
      <c r="S17" s="17">
        <f t="shared" si="9"/>
        <v>24400</v>
      </c>
      <c r="T17" s="45">
        <f t="shared" si="11"/>
        <v>6060</v>
      </c>
      <c r="U17" s="53">
        <f t="shared" si="12"/>
        <v>48800</v>
      </c>
    </row>
    <row r="18" s="40" customFormat="1" spans="1:21">
      <c r="A18" s="48"/>
      <c r="B18" s="49">
        <v>13</v>
      </c>
      <c r="C18" s="49"/>
      <c r="D18" s="40">
        <f t="shared" si="0"/>
        <v>390</v>
      </c>
      <c r="E18" s="40">
        <f t="shared" si="1"/>
        <v>6.5</v>
      </c>
      <c r="F18" s="40">
        <f t="shared" si="2"/>
        <v>390</v>
      </c>
      <c r="G18" s="49">
        <f t="shared" si="5"/>
        <v>2050</v>
      </c>
      <c r="H18" s="48">
        <f t="shared" si="3"/>
        <v>78</v>
      </c>
      <c r="I18" s="57">
        <v>0.2</v>
      </c>
      <c r="J18" s="40">
        <f t="shared" si="10"/>
        <v>1938</v>
      </c>
      <c r="K18" s="58">
        <f t="shared" si="6"/>
        <v>3988</v>
      </c>
      <c r="L18" s="59">
        <v>0.46</v>
      </c>
      <c r="M18" s="58">
        <f t="shared" si="13"/>
        <v>13620</v>
      </c>
      <c r="N18" s="48">
        <f t="shared" si="4"/>
        <v>130</v>
      </c>
      <c r="O18" s="57">
        <v>0.17</v>
      </c>
      <c r="P18" s="40">
        <f t="shared" si="7"/>
        <v>3086</v>
      </c>
      <c r="Q18" s="58">
        <f t="shared" si="8"/>
        <v>5136</v>
      </c>
      <c r="R18" s="59">
        <v>0.51</v>
      </c>
      <c r="S18" s="40">
        <f t="shared" si="9"/>
        <v>26950</v>
      </c>
      <c r="T18" s="45">
        <f t="shared" si="11"/>
        <v>6460</v>
      </c>
      <c r="U18" s="53">
        <f t="shared" si="12"/>
        <v>53900</v>
      </c>
    </row>
    <row r="19" s="39" customFormat="1" spans="1:21">
      <c r="A19" s="44"/>
      <c r="B19" s="46">
        <v>14</v>
      </c>
      <c r="C19" s="46">
        <v>5</v>
      </c>
      <c r="D19" s="47">
        <f t="shared" si="0"/>
        <v>420</v>
      </c>
      <c r="E19" s="39">
        <f t="shared" si="1"/>
        <v>7</v>
      </c>
      <c r="F19" s="39">
        <f t="shared" si="2"/>
        <v>420</v>
      </c>
      <c r="G19" s="46">
        <f t="shared" si="5"/>
        <v>2200</v>
      </c>
      <c r="H19" s="44">
        <f t="shared" si="3"/>
        <v>84</v>
      </c>
      <c r="I19" s="55">
        <v>0.19</v>
      </c>
      <c r="J19" s="39">
        <f t="shared" si="10"/>
        <v>2052</v>
      </c>
      <c r="K19" s="51">
        <f t="shared" si="6"/>
        <v>4252</v>
      </c>
      <c r="L19" s="56">
        <v>0.46</v>
      </c>
      <c r="M19" s="51">
        <f t="shared" si="13"/>
        <v>15000</v>
      </c>
      <c r="N19" s="44">
        <f t="shared" si="4"/>
        <v>140</v>
      </c>
      <c r="O19" s="55">
        <v>0.17</v>
      </c>
      <c r="P19" s="39">
        <f t="shared" si="7"/>
        <v>3276</v>
      </c>
      <c r="Q19" s="51">
        <f t="shared" si="8"/>
        <v>5476</v>
      </c>
      <c r="R19" s="56">
        <v>0.51</v>
      </c>
      <c r="S19" s="39">
        <f t="shared" si="9"/>
        <v>29500</v>
      </c>
      <c r="T19" s="45">
        <f t="shared" si="11"/>
        <v>6840</v>
      </c>
      <c r="U19" s="53">
        <f t="shared" si="12"/>
        <v>59000</v>
      </c>
    </row>
    <row r="20" spans="1:21">
      <c r="A20" s="45"/>
      <c r="B20" s="1">
        <v>15</v>
      </c>
      <c r="C20" s="1"/>
      <c r="D20" s="41">
        <f t="shared" si="0"/>
        <v>450</v>
      </c>
      <c r="E20" s="41">
        <f t="shared" si="1"/>
        <v>7.5</v>
      </c>
      <c r="F20" s="41">
        <f t="shared" si="2"/>
        <v>450</v>
      </c>
      <c r="G20" s="1">
        <f t="shared" si="5"/>
        <v>2350</v>
      </c>
      <c r="H20" s="45">
        <f t="shared" si="3"/>
        <v>90</v>
      </c>
      <c r="I20" s="52">
        <v>0.18</v>
      </c>
      <c r="J20" s="41">
        <f t="shared" si="10"/>
        <v>2160</v>
      </c>
      <c r="K20" s="53">
        <f t="shared" si="6"/>
        <v>4510</v>
      </c>
      <c r="L20" s="54">
        <v>0.48</v>
      </c>
      <c r="M20" s="53">
        <f t="shared" si="13"/>
        <v>16440</v>
      </c>
      <c r="N20" s="45">
        <f t="shared" si="4"/>
        <v>150</v>
      </c>
      <c r="O20" s="52">
        <v>0.17</v>
      </c>
      <c r="P20" s="41">
        <f t="shared" si="7"/>
        <v>3456</v>
      </c>
      <c r="Q20" s="53">
        <f t="shared" si="8"/>
        <v>5806</v>
      </c>
      <c r="R20" s="54">
        <v>0.51</v>
      </c>
      <c r="S20" s="17">
        <f t="shared" si="9"/>
        <v>32050</v>
      </c>
      <c r="T20" s="45">
        <f t="shared" si="11"/>
        <v>7200</v>
      </c>
      <c r="U20" s="53">
        <f t="shared" si="12"/>
        <v>64100</v>
      </c>
    </row>
    <row r="21" spans="1:21">
      <c r="A21" s="45"/>
      <c r="B21" s="1">
        <v>16</v>
      </c>
      <c r="C21" s="1"/>
      <c r="D21" s="41">
        <f t="shared" si="0"/>
        <v>480</v>
      </c>
      <c r="E21" s="41">
        <f t="shared" si="1"/>
        <v>8</v>
      </c>
      <c r="F21" s="41">
        <f t="shared" si="2"/>
        <v>480</v>
      </c>
      <c r="G21" s="1">
        <f t="shared" si="5"/>
        <v>2500</v>
      </c>
      <c r="H21" s="45">
        <f t="shared" si="3"/>
        <v>96</v>
      </c>
      <c r="I21" s="52">
        <v>0.18</v>
      </c>
      <c r="J21" s="41">
        <f t="shared" si="10"/>
        <v>2268</v>
      </c>
      <c r="K21" s="53">
        <f t="shared" si="6"/>
        <v>4768</v>
      </c>
      <c r="L21" s="54">
        <v>0.48</v>
      </c>
      <c r="M21" s="53">
        <f t="shared" si="13"/>
        <v>17880</v>
      </c>
      <c r="N21" s="45">
        <f t="shared" si="4"/>
        <v>160</v>
      </c>
      <c r="O21" s="52">
        <v>0.16</v>
      </c>
      <c r="P21" s="41">
        <f t="shared" si="7"/>
        <v>3636</v>
      </c>
      <c r="Q21" s="53">
        <f t="shared" si="8"/>
        <v>6136</v>
      </c>
      <c r="R21" s="54">
        <v>0.5</v>
      </c>
      <c r="S21" s="17">
        <f t="shared" si="9"/>
        <v>34550</v>
      </c>
      <c r="T21" s="45">
        <f t="shared" si="11"/>
        <v>7560</v>
      </c>
      <c r="U21" s="53">
        <f t="shared" si="12"/>
        <v>69100</v>
      </c>
    </row>
    <row r="22" spans="1:21">
      <c r="A22" s="45"/>
      <c r="B22" s="1">
        <v>17</v>
      </c>
      <c r="C22" s="1"/>
      <c r="D22" s="41">
        <f t="shared" si="0"/>
        <v>510</v>
      </c>
      <c r="E22" s="41">
        <f t="shared" si="1"/>
        <v>8.5</v>
      </c>
      <c r="F22" s="41">
        <f t="shared" si="2"/>
        <v>510</v>
      </c>
      <c r="G22" s="1">
        <f t="shared" si="5"/>
        <v>2650</v>
      </c>
      <c r="H22" s="45">
        <f t="shared" si="3"/>
        <v>102</v>
      </c>
      <c r="I22" s="52">
        <v>0.18</v>
      </c>
      <c r="J22" s="41">
        <f t="shared" si="10"/>
        <v>2376</v>
      </c>
      <c r="K22" s="53">
        <f t="shared" si="6"/>
        <v>5026</v>
      </c>
      <c r="L22" s="54">
        <v>0.49</v>
      </c>
      <c r="M22" s="53">
        <f t="shared" si="13"/>
        <v>19350</v>
      </c>
      <c r="N22" s="45">
        <f t="shared" si="4"/>
        <v>170</v>
      </c>
      <c r="O22" s="52">
        <v>0.16</v>
      </c>
      <c r="P22" s="41">
        <f t="shared" si="7"/>
        <v>3816</v>
      </c>
      <c r="Q22" s="53">
        <f t="shared" si="8"/>
        <v>6466</v>
      </c>
      <c r="R22" s="54">
        <v>0.5</v>
      </c>
      <c r="S22" s="17">
        <f t="shared" si="9"/>
        <v>37050</v>
      </c>
      <c r="T22" s="45">
        <f t="shared" si="11"/>
        <v>7920</v>
      </c>
      <c r="U22" s="53">
        <f t="shared" si="12"/>
        <v>74100</v>
      </c>
    </row>
    <row r="23" spans="1:21">
      <c r="A23" s="45"/>
      <c r="B23" s="1">
        <v>18</v>
      </c>
      <c r="C23" s="1"/>
      <c r="D23" s="41">
        <f t="shared" si="0"/>
        <v>540</v>
      </c>
      <c r="E23" s="41">
        <f t="shared" si="1"/>
        <v>9</v>
      </c>
      <c r="F23" s="41">
        <f t="shared" si="2"/>
        <v>540</v>
      </c>
      <c r="G23" s="1">
        <f t="shared" si="5"/>
        <v>2800</v>
      </c>
      <c r="H23" s="45">
        <f t="shared" si="3"/>
        <v>108</v>
      </c>
      <c r="I23" s="52">
        <v>0.18</v>
      </c>
      <c r="J23" s="41">
        <f t="shared" si="10"/>
        <v>2484</v>
      </c>
      <c r="K23" s="53">
        <f t="shared" si="6"/>
        <v>5284</v>
      </c>
      <c r="L23" s="54">
        <v>0.5</v>
      </c>
      <c r="M23" s="53">
        <f t="shared" si="13"/>
        <v>20850</v>
      </c>
      <c r="N23" s="45">
        <f t="shared" si="4"/>
        <v>180</v>
      </c>
      <c r="O23" s="52">
        <v>0.16</v>
      </c>
      <c r="P23" s="41">
        <f t="shared" si="7"/>
        <v>3996</v>
      </c>
      <c r="Q23" s="53">
        <f t="shared" si="8"/>
        <v>6796</v>
      </c>
      <c r="R23" s="54">
        <v>0.48</v>
      </c>
      <c r="S23" s="17">
        <f t="shared" si="9"/>
        <v>39450</v>
      </c>
      <c r="T23" s="45">
        <f t="shared" si="11"/>
        <v>8280</v>
      </c>
      <c r="U23" s="53">
        <f t="shared" si="12"/>
        <v>78900</v>
      </c>
    </row>
    <row r="24" s="40" customFormat="1" spans="1:21">
      <c r="A24" s="48"/>
      <c r="B24" s="49">
        <v>19</v>
      </c>
      <c r="C24" s="49"/>
      <c r="D24" s="40">
        <f t="shared" si="0"/>
        <v>570</v>
      </c>
      <c r="E24" s="40">
        <f t="shared" si="1"/>
        <v>9.5</v>
      </c>
      <c r="F24" s="40">
        <f t="shared" si="2"/>
        <v>570</v>
      </c>
      <c r="G24" s="49">
        <f t="shared" si="5"/>
        <v>2950</v>
      </c>
      <c r="H24" s="48">
        <f t="shared" si="3"/>
        <v>114</v>
      </c>
      <c r="I24" s="57">
        <v>0.18</v>
      </c>
      <c r="J24" s="40">
        <f t="shared" si="10"/>
        <v>2592</v>
      </c>
      <c r="K24" s="58">
        <f t="shared" si="6"/>
        <v>5542</v>
      </c>
      <c r="L24" s="59">
        <v>0.5</v>
      </c>
      <c r="M24" s="58">
        <f t="shared" si="13"/>
        <v>22350</v>
      </c>
      <c r="N24" s="48">
        <f t="shared" si="4"/>
        <v>190</v>
      </c>
      <c r="O24" s="57">
        <v>0.16</v>
      </c>
      <c r="P24" s="40">
        <f t="shared" si="7"/>
        <v>4176</v>
      </c>
      <c r="Q24" s="58">
        <f t="shared" si="8"/>
        <v>7126</v>
      </c>
      <c r="R24" s="59">
        <v>0.47</v>
      </c>
      <c r="S24" s="40">
        <f t="shared" si="9"/>
        <v>41800</v>
      </c>
      <c r="T24" s="45">
        <f t="shared" si="11"/>
        <v>8640</v>
      </c>
      <c r="U24" s="53">
        <f t="shared" si="12"/>
        <v>83600</v>
      </c>
    </row>
    <row r="25" s="39" customFormat="1" spans="1:21">
      <c r="A25" s="44"/>
      <c r="B25" s="46">
        <v>20</v>
      </c>
      <c r="C25" s="46">
        <v>6</v>
      </c>
      <c r="D25" s="47">
        <f t="shared" si="0"/>
        <v>600</v>
      </c>
      <c r="E25" s="39">
        <f t="shared" si="1"/>
        <v>10</v>
      </c>
      <c r="F25" s="39">
        <f t="shared" si="2"/>
        <v>600</v>
      </c>
      <c r="G25" s="46">
        <f t="shared" si="5"/>
        <v>3100</v>
      </c>
      <c r="H25" s="44">
        <f t="shared" si="3"/>
        <v>120</v>
      </c>
      <c r="I25" s="55">
        <v>0.17</v>
      </c>
      <c r="J25" s="39">
        <f t="shared" si="10"/>
        <v>2694</v>
      </c>
      <c r="K25" s="51">
        <f t="shared" si="6"/>
        <v>5794</v>
      </c>
      <c r="L25" s="56">
        <v>0.51</v>
      </c>
      <c r="M25" s="51">
        <f t="shared" si="13"/>
        <v>23880</v>
      </c>
      <c r="N25" s="44">
        <f t="shared" si="4"/>
        <v>200</v>
      </c>
      <c r="O25" s="55">
        <v>0.16</v>
      </c>
      <c r="P25" s="39">
        <f t="shared" si="7"/>
        <v>4346</v>
      </c>
      <c r="Q25" s="51">
        <f t="shared" si="8"/>
        <v>7446</v>
      </c>
      <c r="R25" s="56">
        <v>0.45</v>
      </c>
      <c r="S25" s="39">
        <f t="shared" si="9"/>
        <v>44050</v>
      </c>
      <c r="T25" s="45">
        <f t="shared" si="11"/>
        <v>8980</v>
      </c>
      <c r="U25" s="53">
        <f t="shared" si="12"/>
        <v>88100</v>
      </c>
    </row>
    <row r="26" spans="1:21">
      <c r="A26" s="45"/>
      <c r="B26" s="1">
        <v>21</v>
      </c>
      <c r="C26" s="1"/>
      <c r="D26" s="41">
        <f t="shared" si="0"/>
        <v>630</v>
      </c>
      <c r="E26" s="41">
        <f t="shared" si="1"/>
        <v>10.5</v>
      </c>
      <c r="F26" s="41">
        <f t="shared" si="2"/>
        <v>630</v>
      </c>
      <c r="G26" s="1">
        <f t="shared" si="5"/>
        <v>3250</v>
      </c>
      <c r="H26" s="45">
        <f t="shared" si="3"/>
        <v>126</v>
      </c>
      <c r="I26" s="52">
        <v>0.17</v>
      </c>
      <c r="J26" s="41">
        <f t="shared" si="10"/>
        <v>2796</v>
      </c>
      <c r="K26" s="53">
        <f t="shared" si="6"/>
        <v>6046</v>
      </c>
      <c r="L26" s="54">
        <v>0.51</v>
      </c>
      <c r="M26" s="53">
        <f t="shared" si="13"/>
        <v>25410</v>
      </c>
      <c r="N26" s="45">
        <f t="shared" si="4"/>
        <v>210</v>
      </c>
      <c r="O26" s="52">
        <v>0.16</v>
      </c>
      <c r="P26" s="41">
        <f t="shared" si="7"/>
        <v>4516</v>
      </c>
      <c r="Q26" s="53">
        <f t="shared" si="8"/>
        <v>7766</v>
      </c>
      <c r="R26" s="54">
        <v>0.43</v>
      </c>
      <c r="S26" s="17">
        <f t="shared" si="9"/>
        <v>46200</v>
      </c>
      <c r="T26" s="45">
        <f t="shared" si="11"/>
        <v>9320</v>
      </c>
      <c r="U26" s="53">
        <f t="shared" si="12"/>
        <v>92400</v>
      </c>
    </row>
    <row r="27" spans="1:21">
      <c r="A27" s="45"/>
      <c r="B27" s="1">
        <v>22</v>
      </c>
      <c r="C27" s="1"/>
      <c r="D27" s="41">
        <f t="shared" si="0"/>
        <v>660</v>
      </c>
      <c r="E27" s="41">
        <f t="shared" si="1"/>
        <v>11</v>
      </c>
      <c r="F27" s="41">
        <f t="shared" si="2"/>
        <v>660</v>
      </c>
      <c r="G27" s="1">
        <f t="shared" si="5"/>
        <v>3400</v>
      </c>
      <c r="H27" s="45">
        <f t="shared" si="3"/>
        <v>132</v>
      </c>
      <c r="I27" s="52">
        <v>0.17</v>
      </c>
      <c r="J27" s="41">
        <f t="shared" si="10"/>
        <v>2898</v>
      </c>
      <c r="K27" s="53">
        <f t="shared" si="6"/>
        <v>6298</v>
      </c>
      <c r="L27" s="54">
        <v>0.51</v>
      </c>
      <c r="M27" s="53">
        <f t="shared" si="13"/>
        <v>26940</v>
      </c>
      <c r="N27" s="45">
        <f t="shared" si="4"/>
        <v>220</v>
      </c>
      <c r="O27" s="52">
        <v>0.15</v>
      </c>
      <c r="P27" s="41">
        <f t="shared" si="7"/>
        <v>4686</v>
      </c>
      <c r="Q27" s="53">
        <f t="shared" si="8"/>
        <v>8086</v>
      </c>
      <c r="R27" s="54">
        <v>0.4</v>
      </c>
      <c r="S27" s="17">
        <f t="shared" si="9"/>
        <v>48200</v>
      </c>
      <c r="T27" s="45">
        <f t="shared" si="11"/>
        <v>9660</v>
      </c>
      <c r="U27" s="53">
        <f t="shared" si="12"/>
        <v>96400</v>
      </c>
    </row>
    <row r="28" spans="1:21">
      <c r="A28" s="45"/>
      <c r="B28" s="1">
        <v>23</v>
      </c>
      <c r="C28" s="1"/>
      <c r="D28" s="41">
        <f t="shared" si="0"/>
        <v>690</v>
      </c>
      <c r="E28" s="41">
        <f t="shared" si="1"/>
        <v>11.5</v>
      </c>
      <c r="F28" s="41">
        <f t="shared" si="2"/>
        <v>690</v>
      </c>
      <c r="G28" s="1">
        <f t="shared" si="5"/>
        <v>3550</v>
      </c>
      <c r="H28" s="45">
        <f t="shared" si="3"/>
        <v>138</v>
      </c>
      <c r="I28" s="52">
        <v>0.17</v>
      </c>
      <c r="J28" s="41">
        <f t="shared" si="10"/>
        <v>3000</v>
      </c>
      <c r="K28" s="53">
        <f t="shared" si="6"/>
        <v>6550</v>
      </c>
      <c r="L28" s="54">
        <v>0.51</v>
      </c>
      <c r="M28" s="53">
        <f t="shared" si="13"/>
        <v>28470</v>
      </c>
      <c r="N28" s="45">
        <f t="shared" si="4"/>
        <v>230</v>
      </c>
      <c r="O28" s="52">
        <v>0.15</v>
      </c>
      <c r="P28" s="41">
        <f t="shared" si="7"/>
        <v>4856</v>
      </c>
      <c r="Q28" s="53">
        <f t="shared" si="8"/>
        <v>8406</v>
      </c>
      <c r="R28" s="54">
        <v>0.37</v>
      </c>
      <c r="S28" s="17">
        <f t="shared" si="9"/>
        <v>50050</v>
      </c>
      <c r="T28" s="45">
        <f t="shared" si="11"/>
        <v>10000</v>
      </c>
      <c r="U28" s="53">
        <f t="shared" si="12"/>
        <v>100100</v>
      </c>
    </row>
    <row r="29" spans="1:21">
      <c r="A29" s="45"/>
      <c r="B29" s="1">
        <v>24</v>
      </c>
      <c r="C29" s="1"/>
      <c r="D29" s="41">
        <f t="shared" si="0"/>
        <v>720</v>
      </c>
      <c r="E29" s="41">
        <f t="shared" si="1"/>
        <v>12</v>
      </c>
      <c r="F29" s="41">
        <f t="shared" si="2"/>
        <v>720</v>
      </c>
      <c r="G29" s="1">
        <f t="shared" si="5"/>
        <v>3700</v>
      </c>
      <c r="H29" s="45">
        <f t="shared" si="3"/>
        <v>144</v>
      </c>
      <c r="I29" s="52">
        <v>0.17</v>
      </c>
      <c r="J29" s="41">
        <f t="shared" si="10"/>
        <v>3102</v>
      </c>
      <c r="K29" s="53">
        <f t="shared" si="6"/>
        <v>6802</v>
      </c>
      <c r="L29" s="54">
        <v>0.51</v>
      </c>
      <c r="M29" s="53">
        <f t="shared" si="13"/>
        <v>30000</v>
      </c>
      <c r="N29" s="45">
        <f t="shared" si="4"/>
        <v>240</v>
      </c>
      <c r="O29" s="52">
        <v>0.15</v>
      </c>
      <c r="P29" s="41">
        <f t="shared" si="7"/>
        <v>5026</v>
      </c>
      <c r="Q29" s="53">
        <f t="shared" si="8"/>
        <v>8726</v>
      </c>
      <c r="R29" s="54">
        <v>0.34</v>
      </c>
      <c r="S29" s="17">
        <f t="shared" si="9"/>
        <v>51750</v>
      </c>
      <c r="T29" s="45">
        <f t="shared" si="11"/>
        <v>10340</v>
      </c>
      <c r="U29" s="53"/>
    </row>
    <row r="30" spans="1:21">
      <c r="A30" s="45"/>
      <c r="B30" s="1">
        <v>25</v>
      </c>
      <c r="C30" s="1"/>
      <c r="D30" s="41">
        <f t="shared" si="0"/>
        <v>750</v>
      </c>
      <c r="E30" s="41">
        <f t="shared" si="1"/>
        <v>12.5</v>
      </c>
      <c r="F30" s="41">
        <f t="shared" si="2"/>
        <v>750</v>
      </c>
      <c r="G30" s="1">
        <f t="shared" si="5"/>
        <v>3850</v>
      </c>
      <c r="H30" s="45">
        <f t="shared" si="3"/>
        <v>150</v>
      </c>
      <c r="I30" s="52">
        <v>0.17</v>
      </c>
      <c r="J30" s="41">
        <f t="shared" si="10"/>
        <v>3204</v>
      </c>
      <c r="K30" s="53">
        <f t="shared" si="6"/>
        <v>7054</v>
      </c>
      <c r="L30" s="54">
        <v>0.51</v>
      </c>
      <c r="M30" s="53">
        <f t="shared" si="13"/>
        <v>31530</v>
      </c>
      <c r="N30" s="45">
        <f t="shared" si="4"/>
        <v>250</v>
      </c>
      <c r="O30" s="52">
        <v>0.15</v>
      </c>
      <c r="P30" s="41">
        <f t="shared" si="7"/>
        <v>5196</v>
      </c>
      <c r="Q30" s="53">
        <f t="shared" si="8"/>
        <v>9046</v>
      </c>
      <c r="R30" s="54">
        <v>0.31</v>
      </c>
      <c r="S30" s="17">
        <f t="shared" si="9"/>
        <v>53300</v>
      </c>
      <c r="T30" s="45">
        <f t="shared" si="11"/>
        <v>10680</v>
      </c>
      <c r="U30" s="53"/>
    </row>
    <row r="31" s="40" customFormat="1" spans="1:21">
      <c r="A31" s="48"/>
      <c r="B31" s="49">
        <v>26</v>
      </c>
      <c r="C31" s="49"/>
      <c r="D31" s="40">
        <f t="shared" si="0"/>
        <v>780</v>
      </c>
      <c r="E31" s="40">
        <f t="shared" si="1"/>
        <v>13</v>
      </c>
      <c r="F31" s="40">
        <f t="shared" si="2"/>
        <v>780</v>
      </c>
      <c r="G31" s="49">
        <f t="shared" si="5"/>
        <v>4000</v>
      </c>
      <c r="H31" s="48">
        <f t="shared" si="3"/>
        <v>156</v>
      </c>
      <c r="I31" s="57">
        <v>0.17</v>
      </c>
      <c r="J31" s="40">
        <f t="shared" si="10"/>
        <v>3306</v>
      </c>
      <c r="K31" s="58">
        <f t="shared" si="6"/>
        <v>7306</v>
      </c>
      <c r="L31" s="59">
        <v>0.51</v>
      </c>
      <c r="M31" s="58">
        <f t="shared" si="13"/>
        <v>33060</v>
      </c>
      <c r="N31" s="48">
        <f t="shared" si="4"/>
        <v>260</v>
      </c>
      <c r="O31" s="57">
        <v>0.15</v>
      </c>
      <c r="P31" s="40">
        <f t="shared" si="7"/>
        <v>5366</v>
      </c>
      <c r="Q31" s="58">
        <f t="shared" si="8"/>
        <v>9366</v>
      </c>
      <c r="R31" s="59">
        <v>0.27</v>
      </c>
      <c r="S31" s="40">
        <f t="shared" si="9"/>
        <v>54650</v>
      </c>
      <c r="T31" s="45">
        <f t="shared" ref="T31:T66" si="14">200*$I31*(N31-N30)+T30</f>
        <v>11020</v>
      </c>
      <c r="U31" s="53"/>
    </row>
    <row r="32" s="39" customFormat="1" spans="1:21">
      <c r="A32" s="44"/>
      <c r="B32" s="46">
        <v>27</v>
      </c>
      <c r="C32" s="46">
        <v>7</v>
      </c>
      <c r="D32" s="47">
        <f t="shared" si="0"/>
        <v>810</v>
      </c>
      <c r="E32" s="39">
        <f t="shared" si="1"/>
        <v>13.5</v>
      </c>
      <c r="F32" s="39">
        <f t="shared" si="2"/>
        <v>810</v>
      </c>
      <c r="G32" s="46">
        <f t="shared" si="5"/>
        <v>4150</v>
      </c>
      <c r="H32" s="44">
        <f t="shared" si="3"/>
        <v>162</v>
      </c>
      <c r="I32" s="55">
        <v>0.16</v>
      </c>
      <c r="J32" s="39">
        <f t="shared" si="10"/>
        <v>3402</v>
      </c>
      <c r="K32" s="51">
        <f t="shared" si="6"/>
        <v>7552</v>
      </c>
      <c r="L32" s="56">
        <v>0.5</v>
      </c>
      <c r="M32" s="51">
        <f t="shared" si="13"/>
        <v>34560</v>
      </c>
      <c r="N32" s="44">
        <f t="shared" si="4"/>
        <v>270</v>
      </c>
      <c r="O32" s="55">
        <v>0.15</v>
      </c>
      <c r="P32" s="39">
        <f t="shared" si="7"/>
        <v>5526</v>
      </c>
      <c r="Q32" s="51">
        <f t="shared" si="8"/>
        <v>9676</v>
      </c>
      <c r="R32" s="56">
        <v>0.22</v>
      </c>
      <c r="S32" s="39">
        <f t="shared" si="9"/>
        <v>55750</v>
      </c>
      <c r="T32" s="45">
        <f t="shared" si="14"/>
        <v>11340</v>
      </c>
      <c r="U32" s="53"/>
    </row>
    <row r="33" spans="1:21">
      <c r="A33" s="45"/>
      <c r="B33" s="1">
        <v>28</v>
      </c>
      <c r="C33" s="1"/>
      <c r="D33" s="41">
        <f t="shared" si="0"/>
        <v>840</v>
      </c>
      <c r="E33" s="41">
        <f t="shared" si="1"/>
        <v>14</v>
      </c>
      <c r="F33" s="41">
        <f t="shared" si="2"/>
        <v>840</v>
      </c>
      <c r="G33" s="1">
        <f t="shared" si="5"/>
        <v>4300</v>
      </c>
      <c r="H33" s="45">
        <f t="shared" si="3"/>
        <v>168</v>
      </c>
      <c r="I33" s="52">
        <v>0.16</v>
      </c>
      <c r="J33" s="41">
        <f t="shared" si="10"/>
        <v>3498</v>
      </c>
      <c r="K33" s="53">
        <f t="shared" si="6"/>
        <v>7798</v>
      </c>
      <c r="L33" s="54">
        <v>0.5</v>
      </c>
      <c r="M33" s="53">
        <f t="shared" si="13"/>
        <v>36060</v>
      </c>
      <c r="N33" s="45">
        <f t="shared" si="4"/>
        <v>280</v>
      </c>
      <c r="O33" s="52">
        <v>0.15</v>
      </c>
      <c r="P33" s="41">
        <f t="shared" si="7"/>
        <v>5686</v>
      </c>
      <c r="Q33" s="53">
        <f t="shared" si="8"/>
        <v>9986</v>
      </c>
      <c r="R33" s="54">
        <v>0.18</v>
      </c>
      <c r="S33" s="17">
        <f t="shared" si="9"/>
        <v>56650</v>
      </c>
      <c r="T33" s="45">
        <f t="shared" si="14"/>
        <v>11660</v>
      </c>
      <c r="U33" s="53"/>
    </row>
    <row r="34" spans="1:21">
      <c r="A34" s="45"/>
      <c r="B34" s="1">
        <v>29</v>
      </c>
      <c r="C34" s="1"/>
      <c r="D34" s="41">
        <f t="shared" si="0"/>
        <v>870</v>
      </c>
      <c r="E34" s="41">
        <f t="shared" si="1"/>
        <v>14.5</v>
      </c>
      <c r="F34" s="41">
        <f t="shared" si="2"/>
        <v>870</v>
      </c>
      <c r="G34" s="1">
        <f t="shared" si="5"/>
        <v>4450</v>
      </c>
      <c r="H34" s="45">
        <f t="shared" si="3"/>
        <v>174</v>
      </c>
      <c r="I34" s="52">
        <v>0.16</v>
      </c>
      <c r="J34" s="41">
        <f t="shared" si="10"/>
        <v>3594</v>
      </c>
      <c r="K34" s="53">
        <f t="shared" si="6"/>
        <v>8044</v>
      </c>
      <c r="L34" s="54">
        <v>0.5</v>
      </c>
      <c r="M34" s="53">
        <f t="shared" si="13"/>
        <v>37560</v>
      </c>
      <c r="N34" s="45">
        <f t="shared" si="4"/>
        <v>290</v>
      </c>
      <c r="O34" s="52">
        <v>0.15</v>
      </c>
      <c r="P34" s="41">
        <f t="shared" si="7"/>
        <v>5846</v>
      </c>
      <c r="Q34" s="53">
        <f t="shared" si="8"/>
        <v>10296</v>
      </c>
      <c r="R34" s="54">
        <v>0.13</v>
      </c>
      <c r="S34" s="17">
        <f t="shared" si="9"/>
        <v>57300</v>
      </c>
      <c r="T34" s="45">
        <f t="shared" si="14"/>
        <v>11980</v>
      </c>
      <c r="U34" s="53"/>
    </row>
    <row r="35" spans="1:21">
      <c r="A35" s="45"/>
      <c r="B35" s="1">
        <v>30</v>
      </c>
      <c r="C35" s="1"/>
      <c r="D35" s="41">
        <f t="shared" si="0"/>
        <v>900</v>
      </c>
      <c r="E35" s="41">
        <f t="shared" si="1"/>
        <v>15</v>
      </c>
      <c r="F35" s="41">
        <f t="shared" si="2"/>
        <v>900</v>
      </c>
      <c r="G35" s="1">
        <f t="shared" si="5"/>
        <v>4600</v>
      </c>
      <c r="H35" s="45">
        <f t="shared" si="3"/>
        <v>180</v>
      </c>
      <c r="I35" s="52">
        <v>0.16</v>
      </c>
      <c r="J35" s="41">
        <f t="shared" si="10"/>
        <v>3690</v>
      </c>
      <c r="K35" s="53">
        <f t="shared" si="6"/>
        <v>8290</v>
      </c>
      <c r="L35" s="54">
        <v>0.48</v>
      </c>
      <c r="M35" s="53">
        <f t="shared" si="13"/>
        <v>39000</v>
      </c>
      <c r="N35" s="45">
        <f t="shared" si="4"/>
        <v>300</v>
      </c>
      <c r="O35" s="52">
        <v>0.15</v>
      </c>
      <c r="P35" s="41">
        <f t="shared" si="7"/>
        <v>6006</v>
      </c>
      <c r="Q35" s="53">
        <f t="shared" si="8"/>
        <v>10606</v>
      </c>
      <c r="R35" s="54">
        <v>0.08</v>
      </c>
      <c r="S35" s="17">
        <f t="shared" si="9"/>
        <v>57700</v>
      </c>
      <c r="T35" s="45">
        <f t="shared" si="14"/>
        <v>12300</v>
      </c>
      <c r="U35" s="53"/>
    </row>
    <row r="36" spans="1:21">
      <c r="A36" s="45"/>
      <c r="B36" s="1">
        <v>31</v>
      </c>
      <c r="C36" s="1"/>
      <c r="D36" s="41">
        <f t="shared" si="0"/>
        <v>930</v>
      </c>
      <c r="E36" s="41">
        <f t="shared" si="1"/>
        <v>15.5</v>
      </c>
      <c r="F36" s="41">
        <f t="shared" si="2"/>
        <v>930</v>
      </c>
      <c r="G36" s="1">
        <f t="shared" si="5"/>
        <v>4750</v>
      </c>
      <c r="H36" s="45">
        <f t="shared" si="3"/>
        <v>186</v>
      </c>
      <c r="I36" s="52">
        <v>0.16</v>
      </c>
      <c r="J36" s="41">
        <f t="shared" si="10"/>
        <v>3786</v>
      </c>
      <c r="K36" s="53">
        <f t="shared" si="6"/>
        <v>8536</v>
      </c>
      <c r="L36" s="54">
        <v>0.48</v>
      </c>
      <c r="M36" s="53">
        <f t="shared" si="13"/>
        <v>40440</v>
      </c>
      <c r="N36" s="45">
        <f t="shared" si="4"/>
        <v>310</v>
      </c>
      <c r="O36" s="52">
        <v>0.15</v>
      </c>
      <c r="P36" s="41">
        <f t="shared" si="7"/>
        <v>6166</v>
      </c>
      <c r="Q36" s="53">
        <f t="shared" si="8"/>
        <v>10916</v>
      </c>
      <c r="R36" s="54">
        <v>0.08</v>
      </c>
      <c r="S36" s="17">
        <f t="shared" si="9"/>
        <v>58100</v>
      </c>
      <c r="T36" s="45">
        <f t="shared" si="14"/>
        <v>12620</v>
      </c>
      <c r="U36" s="53"/>
    </row>
    <row r="37" spans="1:21">
      <c r="A37" s="45"/>
      <c r="B37" s="1">
        <v>32</v>
      </c>
      <c r="C37" s="1"/>
      <c r="D37" s="41">
        <f t="shared" si="0"/>
        <v>960</v>
      </c>
      <c r="E37" s="41">
        <f t="shared" si="1"/>
        <v>16</v>
      </c>
      <c r="F37" s="41">
        <f t="shared" si="2"/>
        <v>960</v>
      </c>
      <c r="G37" s="1">
        <f t="shared" si="5"/>
        <v>4900</v>
      </c>
      <c r="H37" s="45">
        <f t="shared" si="3"/>
        <v>192</v>
      </c>
      <c r="I37" s="52">
        <v>0.16</v>
      </c>
      <c r="J37" s="41">
        <f t="shared" si="10"/>
        <v>3882</v>
      </c>
      <c r="K37" s="53">
        <f t="shared" si="6"/>
        <v>8782</v>
      </c>
      <c r="L37" s="54">
        <v>0.47</v>
      </c>
      <c r="M37" s="53">
        <f t="shared" si="13"/>
        <v>41850</v>
      </c>
      <c r="N37" s="45">
        <f t="shared" si="4"/>
        <v>320</v>
      </c>
      <c r="O37" s="52">
        <v>0.15</v>
      </c>
      <c r="P37" s="41">
        <f t="shared" si="7"/>
        <v>6326</v>
      </c>
      <c r="Q37" s="53">
        <f t="shared" si="8"/>
        <v>11226</v>
      </c>
      <c r="R37" s="54">
        <v>0.08</v>
      </c>
      <c r="S37" s="17">
        <f t="shared" si="9"/>
        <v>58500</v>
      </c>
      <c r="T37" s="45">
        <f t="shared" si="14"/>
        <v>12940</v>
      </c>
      <c r="U37" s="53"/>
    </row>
    <row r="38" spans="1:21">
      <c r="A38" s="45"/>
      <c r="B38" s="1">
        <v>33</v>
      </c>
      <c r="C38" s="1"/>
      <c r="D38" s="41">
        <f t="shared" si="0"/>
        <v>990</v>
      </c>
      <c r="E38" s="41">
        <f t="shared" si="1"/>
        <v>16.5</v>
      </c>
      <c r="F38" s="41">
        <f t="shared" si="2"/>
        <v>990</v>
      </c>
      <c r="G38" s="1">
        <f t="shared" si="5"/>
        <v>5050</v>
      </c>
      <c r="H38" s="45">
        <f t="shared" si="3"/>
        <v>198</v>
      </c>
      <c r="I38" s="52">
        <v>0.16</v>
      </c>
      <c r="J38" s="41">
        <f t="shared" si="10"/>
        <v>3978</v>
      </c>
      <c r="K38" s="53">
        <f t="shared" si="6"/>
        <v>9028</v>
      </c>
      <c r="L38" s="54">
        <v>0.45</v>
      </c>
      <c r="M38" s="53">
        <f t="shared" si="13"/>
        <v>43200</v>
      </c>
      <c r="N38" s="45">
        <f t="shared" si="4"/>
        <v>330</v>
      </c>
      <c r="O38" s="52">
        <v>0.15</v>
      </c>
      <c r="P38" s="41">
        <f t="shared" si="7"/>
        <v>6486</v>
      </c>
      <c r="Q38" s="53">
        <f t="shared" si="8"/>
        <v>11536</v>
      </c>
      <c r="R38" s="54">
        <v>0.08</v>
      </c>
      <c r="S38" s="17">
        <f t="shared" si="9"/>
        <v>58900</v>
      </c>
      <c r="T38" s="45">
        <f t="shared" si="14"/>
        <v>13260</v>
      </c>
      <c r="U38" s="53"/>
    </row>
    <row r="39" spans="1:21">
      <c r="A39" s="45"/>
      <c r="B39" s="1">
        <v>34</v>
      </c>
      <c r="C39" s="1"/>
      <c r="D39" s="41">
        <f t="shared" si="0"/>
        <v>1020</v>
      </c>
      <c r="E39" s="41">
        <f t="shared" si="1"/>
        <v>17</v>
      </c>
      <c r="F39" s="41">
        <f t="shared" si="2"/>
        <v>1020</v>
      </c>
      <c r="G39" s="1">
        <f t="shared" ref="G39:G65" si="15">100+$B39*30*$B$3</f>
        <v>5200</v>
      </c>
      <c r="H39" s="45">
        <f t="shared" si="3"/>
        <v>204</v>
      </c>
      <c r="I39" s="52">
        <v>0.16</v>
      </c>
      <c r="J39" s="41">
        <f t="shared" si="10"/>
        <v>4074</v>
      </c>
      <c r="K39" s="53">
        <f t="shared" ref="K39:K65" si="16">$J39+$G39</f>
        <v>9274</v>
      </c>
      <c r="L39" s="54">
        <v>0.45</v>
      </c>
      <c r="M39" s="53">
        <f t="shared" si="13"/>
        <v>44550</v>
      </c>
      <c r="N39" s="45">
        <f t="shared" si="4"/>
        <v>340</v>
      </c>
      <c r="O39" s="52">
        <v>0.15</v>
      </c>
      <c r="P39" s="41">
        <f t="shared" si="7"/>
        <v>6646</v>
      </c>
      <c r="Q39" s="53">
        <f t="shared" ref="Q39:Q65" si="17">$P39+$G39</f>
        <v>11846</v>
      </c>
      <c r="R39" s="54">
        <v>0.08</v>
      </c>
      <c r="S39" s="17">
        <f t="shared" si="9"/>
        <v>59300</v>
      </c>
      <c r="T39" s="45">
        <f t="shared" si="14"/>
        <v>13580</v>
      </c>
      <c r="U39" s="53"/>
    </row>
    <row r="40" s="40" customFormat="1" spans="1:21">
      <c r="A40" s="48"/>
      <c r="B40" s="49">
        <v>35</v>
      </c>
      <c r="C40" s="49"/>
      <c r="D40" s="40">
        <f t="shared" si="0"/>
        <v>1050</v>
      </c>
      <c r="E40" s="40">
        <f t="shared" si="1"/>
        <v>17.5</v>
      </c>
      <c r="F40" s="40">
        <f t="shared" si="2"/>
        <v>1050</v>
      </c>
      <c r="G40" s="49">
        <f t="shared" si="15"/>
        <v>5350</v>
      </c>
      <c r="H40" s="48">
        <f t="shared" si="3"/>
        <v>210</v>
      </c>
      <c r="I40" s="57">
        <v>0.16</v>
      </c>
      <c r="J40" s="40">
        <f t="shared" ref="J40:J65" si="18">100*$I40*(H40-H39)+J39</f>
        <v>4170</v>
      </c>
      <c r="K40" s="58">
        <f t="shared" si="16"/>
        <v>9520</v>
      </c>
      <c r="L40" s="59">
        <v>0.43</v>
      </c>
      <c r="M40" s="58">
        <f t="shared" si="13"/>
        <v>45840</v>
      </c>
      <c r="N40" s="48">
        <f t="shared" si="4"/>
        <v>350</v>
      </c>
      <c r="O40" s="57">
        <v>0.15</v>
      </c>
      <c r="P40" s="40">
        <f t="shared" si="7"/>
        <v>6806</v>
      </c>
      <c r="Q40" s="58">
        <f t="shared" si="17"/>
        <v>12156</v>
      </c>
      <c r="R40" s="59">
        <v>0.08</v>
      </c>
      <c r="S40" s="40">
        <f t="shared" si="9"/>
        <v>59700</v>
      </c>
      <c r="T40" s="45">
        <f t="shared" si="14"/>
        <v>13900</v>
      </c>
      <c r="U40" s="53"/>
    </row>
    <row r="41" s="39" customFormat="1" spans="1:21">
      <c r="A41" s="44"/>
      <c r="B41" s="46">
        <v>36</v>
      </c>
      <c r="C41" s="46">
        <v>8</v>
      </c>
      <c r="D41" s="47">
        <f t="shared" si="0"/>
        <v>1080</v>
      </c>
      <c r="E41" s="39">
        <f t="shared" si="1"/>
        <v>18</v>
      </c>
      <c r="F41" s="39">
        <f t="shared" si="2"/>
        <v>1080</v>
      </c>
      <c r="G41" s="46">
        <f t="shared" si="15"/>
        <v>5500</v>
      </c>
      <c r="H41" s="44">
        <f t="shared" si="3"/>
        <v>216</v>
      </c>
      <c r="I41" s="55">
        <v>0.15</v>
      </c>
      <c r="J41" s="39">
        <f t="shared" si="18"/>
        <v>4260</v>
      </c>
      <c r="K41" s="51">
        <f t="shared" si="16"/>
        <v>9760</v>
      </c>
      <c r="L41" s="56">
        <v>0.43</v>
      </c>
      <c r="M41" s="51">
        <f t="shared" si="13"/>
        <v>47130</v>
      </c>
      <c r="N41" s="60">
        <f t="shared" si="4"/>
        <v>360</v>
      </c>
      <c r="O41" s="55">
        <v>0.15</v>
      </c>
      <c r="P41" s="39">
        <f t="shared" si="7"/>
        <v>6956</v>
      </c>
      <c r="Q41" s="51">
        <f t="shared" si="17"/>
        <v>12456</v>
      </c>
      <c r="R41" s="56">
        <v>0.08</v>
      </c>
      <c r="S41" s="39">
        <f t="shared" si="9"/>
        <v>60100</v>
      </c>
      <c r="T41" s="45">
        <f t="shared" si="14"/>
        <v>14200</v>
      </c>
      <c r="U41" s="53"/>
    </row>
    <row r="42" spans="1:21">
      <c r="A42" s="45"/>
      <c r="B42" s="1">
        <v>37</v>
      </c>
      <c r="C42" s="1"/>
      <c r="D42" s="41">
        <f t="shared" si="0"/>
        <v>1110</v>
      </c>
      <c r="E42" s="41">
        <f t="shared" si="1"/>
        <v>18.5</v>
      </c>
      <c r="F42" s="41">
        <f t="shared" si="2"/>
        <v>1110</v>
      </c>
      <c r="G42" s="1">
        <f t="shared" si="15"/>
        <v>5650</v>
      </c>
      <c r="H42" s="45">
        <f t="shared" si="3"/>
        <v>222</v>
      </c>
      <c r="I42" s="52">
        <v>0.15</v>
      </c>
      <c r="J42" s="41">
        <f t="shared" si="18"/>
        <v>4350</v>
      </c>
      <c r="K42" s="53">
        <f t="shared" si="16"/>
        <v>10000</v>
      </c>
      <c r="L42" s="54">
        <v>0.4</v>
      </c>
      <c r="M42" s="53">
        <f t="shared" si="13"/>
        <v>48330</v>
      </c>
      <c r="N42" s="61">
        <f t="shared" si="4"/>
        <v>370</v>
      </c>
      <c r="O42" s="52">
        <v>0.15</v>
      </c>
      <c r="P42" s="41">
        <f t="shared" si="7"/>
        <v>7106</v>
      </c>
      <c r="Q42" s="53">
        <f t="shared" si="17"/>
        <v>12756</v>
      </c>
      <c r="R42" s="54">
        <v>0.08</v>
      </c>
      <c r="S42" s="17">
        <f t="shared" si="9"/>
        <v>60500</v>
      </c>
      <c r="T42" s="45">
        <f t="shared" si="14"/>
        <v>14500</v>
      </c>
      <c r="U42" s="53"/>
    </row>
    <row r="43" spans="1:21">
      <c r="A43" s="45"/>
      <c r="B43" s="1">
        <v>38</v>
      </c>
      <c r="C43" s="1"/>
      <c r="D43" s="41">
        <f t="shared" si="0"/>
        <v>1140</v>
      </c>
      <c r="E43" s="41">
        <f t="shared" si="1"/>
        <v>19</v>
      </c>
      <c r="F43" s="41">
        <f t="shared" si="2"/>
        <v>1140</v>
      </c>
      <c r="G43" s="1">
        <f t="shared" si="15"/>
        <v>5800</v>
      </c>
      <c r="H43" s="45">
        <f t="shared" si="3"/>
        <v>228</v>
      </c>
      <c r="I43" s="52">
        <v>0.15</v>
      </c>
      <c r="J43" s="41">
        <f t="shared" si="18"/>
        <v>4440</v>
      </c>
      <c r="K43" s="53">
        <f t="shared" si="16"/>
        <v>10240</v>
      </c>
      <c r="L43" s="54">
        <v>0.37</v>
      </c>
      <c r="M43" s="53">
        <f t="shared" ref="M43:M65" si="19">L43*(H43-H42)*500+M42</f>
        <v>49440</v>
      </c>
      <c r="N43" s="61">
        <f t="shared" si="4"/>
        <v>380</v>
      </c>
      <c r="O43" s="52">
        <v>0.15</v>
      </c>
      <c r="P43" s="41">
        <f t="shared" si="7"/>
        <v>7256</v>
      </c>
      <c r="Q43" s="53">
        <f t="shared" si="17"/>
        <v>13056</v>
      </c>
      <c r="R43" s="54">
        <v>0.08</v>
      </c>
      <c r="S43" s="17">
        <f t="shared" si="9"/>
        <v>60900</v>
      </c>
      <c r="T43" s="45">
        <f t="shared" si="14"/>
        <v>14800</v>
      </c>
      <c r="U43" s="53"/>
    </row>
    <row r="44" spans="1:21">
      <c r="A44" s="45"/>
      <c r="B44" s="1">
        <v>39</v>
      </c>
      <c r="C44" s="1"/>
      <c r="D44" s="41">
        <f t="shared" si="0"/>
        <v>1170</v>
      </c>
      <c r="E44" s="41">
        <f t="shared" si="1"/>
        <v>19.5</v>
      </c>
      <c r="F44" s="41">
        <f t="shared" si="2"/>
        <v>1170</v>
      </c>
      <c r="G44" s="1">
        <f t="shared" si="15"/>
        <v>5950</v>
      </c>
      <c r="H44" s="45">
        <f t="shared" si="3"/>
        <v>234</v>
      </c>
      <c r="I44" s="52">
        <v>0.15</v>
      </c>
      <c r="J44" s="41">
        <f t="shared" si="18"/>
        <v>4530</v>
      </c>
      <c r="K44" s="53">
        <f t="shared" si="16"/>
        <v>10480</v>
      </c>
      <c r="L44" s="54">
        <v>0.37</v>
      </c>
      <c r="M44" s="53">
        <f t="shared" si="19"/>
        <v>50550</v>
      </c>
      <c r="N44" s="61">
        <f t="shared" si="4"/>
        <v>390</v>
      </c>
      <c r="O44" s="52">
        <v>0.15</v>
      </c>
      <c r="P44" s="41">
        <f t="shared" si="7"/>
        <v>7406</v>
      </c>
      <c r="Q44" s="53">
        <f t="shared" si="17"/>
        <v>13356</v>
      </c>
      <c r="R44" s="54">
        <v>0.08</v>
      </c>
      <c r="S44" s="17">
        <f t="shared" si="9"/>
        <v>61300</v>
      </c>
      <c r="T44" s="45">
        <f t="shared" si="14"/>
        <v>15100</v>
      </c>
      <c r="U44" s="53"/>
    </row>
    <row r="45" spans="1:21">
      <c r="A45" s="45"/>
      <c r="B45" s="1">
        <v>40</v>
      </c>
      <c r="C45" s="1"/>
      <c r="D45" s="41">
        <f t="shared" si="0"/>
        <v>1200</v>
      </c>
      <c r="E45" s="41">
        <f t="shared" si="1"/>
        <v>20</v>
      </c>
      <c r="F45" s="41">
        <f t="shared" si="2"/>
        <v>1200</v>
      </c>
      <c r="G45" s="1">
        <f t="shared" si="15"/>
        <v>6100</v>
      </c>
      <c r="H45" s="45">
        <f t="shared" si="3"/>
        <v>240</v>
      </c>
      <c r="I45" s="52">
        <v>0.15</v>
      </c>
      <c r="J45" s="41">
        <f t="shared" si="18"/>
        <v>4620</v>
      </c>
      <c r="K45" s="53">
        <f t="shared" si="16"/>
        <v>10720</v>
      </c>
      <c r="L45" s="54">
        <v>0.34</v>
      </c>
      <c r="M45" s="53">
        <f t="shared" si="19"/>
        <v>51570</v>
      </c>
      <c r="N45" s="61">
        <f t="shared" si="4"/>
        <v>400</v>
      </c>
      <c r="O45" s="52">
        <v>0.15</v>
      </c>
      <c r="P45" s="41">
        <f t="shared" si="7"/>
        <v>7556</v>
      </c>
      <c r="Q45" s="53">
        <f t="shared" si="17"/>
        <v>13656</v>
      </c>
      <c r="R45" s="54">
        <v>0.08</v>
      </c>
      <c r="S45" s="17">
        <f t="shared" si="9"/>
        <v>61700</v>
      </c>
      <c r="T45" s="45">
        <f t="shared" si="14"/>
        <v>15400</v>
      </c>
      <c r="U45" s="53"/>
    </row>
    <row r="46" spans="1:21">
      <c r="A46" s="45"/>
      <c r="B46" s="1">
        <v>41</v>
      </c>
      <c r="C46" s="1"/>
      <c r="D46" s="41">
        <f t="shared" si="0"/>
        <v>1230</v>
      </c>
      <c r="E46" s="41">
        <f t="shared" si="1"/>
        <v>20.5</v>
      </c>
      <c r="F46" s="41">
        <f t="shared" si="2"/>
        <v>1230</v>
      </c>
      <c r="G46" s="1">
        <f t="shared" si="15"/>
        <v>6250</v>
      </c>
      <c r="H46" s="45">
        <f t="shared" si="3"/>
        <v>246</v>
      </c>
      <c r="I46" s="52">
        <v>0.15</v>
      </c>
      <c r="J46" s="41">
        <f t="shared" si="18"/>
        <v>4710</v>
      </c>
      <c r="K46" s="53">
        <f t="shared" si="16"/>
        <v>10960</v>
      </c>
      <c r="L46" s="54">
        <v>0.34</v>
      </c>
      <c r="M46" s="53">
        <f t="shared" si="19"/>
        <v>52590</v>
      </c>
      <c r="N46" s="61">
        <f t="shared" si="4"/>
        <v>410</v>
      </c>
      <c r="O46" s="52">
        <v>0.15</v>
      </c>
      <c r="P46" s="41">
        <f t="shared" si="7"/>
        <v>7706</v>
      </c>
      <c r="Q46" s="53">
        <f t="shared" si="17"/>
        <v>13956</v>
      </c>
      <c r="R46" s="54">
        <v>0.08</v>
      </c>
      <c r="S46" s="17">
        <f t="shared" si="9"/>
        <v>62100</v>
      </c>
      <c r="T46" s="45">
        <f t="shared" si="14"/>
        <v>15700</v>
      </c>
      <c r="U46" s="53"/>
    </row>
    <row r="47" spans="1:21">
      <c r="A47" s="45"/>
      <c r="B47" s="1">
        <v>42</v>
      </c>
      <c r="C47" s="1"/>
      <c r="D47" s="41">
        <f t="shared" si="0"/>
        <v>1260</v>
      </c>
      <c r="E47" s="41">
        <f t="shared" si="1"/>
        <v>21</v>
      </c>
      <c r="F47" s="41">
        <f t="shared" si="2"/>
        <v>1260</v>
      </c>
      <c r="G47" s="1">
        <f t="shared" si="15"/>
        <v>6400</v>
      </c>
      <c r="H47" s="45">
        <f t="shared" si="3"/>
        <v>252</v>
      </c>
      <c r="I47" s="52">
        <v>0.15</v>
      </c>
      <c r="J47" s="41">
        <f t="shared" si="18"/>
        <v>4800</v>
      </c>
      <c r="K47" s="53">
        <f t="shared" si="16"/>
        <v>11200</v>
      </c>
      <c r="L47" s="54">
        <v>0.31</v>
      </c>
      <c r="M47" s="53">
        <f t="shared" si="19"/>
        <v>53520</v>
      </c>
      <c r="N47" s="61">
        <f t="shared" si="4"/>
        <v>420</v>
      </c>
      <c r="O47" s="52">
        <v>0.15</v>
      </c>
      <c r="P47" s="41">
        <f t="shared" si="7"/>
        <v>7856</v>
      </c>
      <c r="Q47" s="53">
        <f t="shared" si="17"/>
        <v>14256</v>
      </c>
      <c r="R47" s="54">
        <v>0.08</v>
      </c>
      <c r="S47" s="17">
        <f t="shared" si="9"/>
        <v>62500</v>
      </c>
      <c r="T47" s="45">
        <f t="shared" si="14"/>
        <v>16000</v>
      </c>
      <c r="U47" s="53"/>
    </row>
    <row r="48" spans="1:21">
      <c r="A48" s="45"/>
      <c r="B48" s="1">
        <v>43</v>
      </c>
      <c r="C48" s="1"/>
      <c r="D48" s="41">
        <f t="shared" si="0"/>
        <v>1290</v>
      </c>
      <c r="E48" s="41">
        <f t="shared" si="1"/>
        <v>21.5</v>
      </c>
      <c r="F48" s="41">
        <f t="shared" si="2"/>
        <v>1290</v>
      </c>
      <c r="G48" s="1">
        <f t="shared" si="15"/>
        <v>6550</v>
      </c>
      <c r="H48" s="45">
        <f t="shared" si="3"/>
        <v>258</v>
      </c>
      <c r="I48" s="52">
        <v>0.15</v>
      </c>
      <c r="J48" s="41">
        <f t="shared" si="18"/>
        <v>4890</v>
      </c>
      <c r="K48" s="53">
        <f t="shared" si="16"/>
        <v>11440</v>
      </c>
      <c r="L48" s="54">
        <v>0.27</v>
      </c>
      <c r="M48" s="53">
        <f t="shared" si="19"/>
        <v>54330</v>
      </c>
      <c r="N48" s="61">
        <f t="shared" si="4"/>
        <v>430</v>
      </c>
      <c r="O48" s="52">
        <v>0.15</v>
      </c>
      <c r="P48" s="41">
        <f t="shared" si="7"/>
        <v>8006</v>
      </c>
      <c r="Q48" s="53">
        <f t="shared" si="17"/>
        <v>14556</v>
      </c>
      <c r="R48" s="54">
        <v>0.08</v>
      </c>
      <c r="S48" s="17">
        <f t="shared" si="9"/>
        <v>62900</v>
      </c>
      <c r="T48" s="45">
        <f t="shared" si="14"/>
        <v>16300</v>
      </c>
      <c r="U48" s="53"/>
    </row>
    <row r="49" spans="1:21">
      <c r="A49" s="45"/>
      <c r="B49" s="1">
        <v>44</v>
      </c>
      <c r="C49" s="1"/>
      <c r="D49" s="41">
        <f t="shared" si="0"/>
        <v>1320</v>
      </c>
      <c r="E49" s="41">
        <f t="shared" si="1"/>
        <v>22</v>
      </c>
      <c r="F49" s="41">
        <f t="shared" si="2"/>
        <v>1320</v>
      </c>
      <c r="G49" s="1">
        <f t="shared" si="15"/>
        <v>6700</v>
      </c>
      <c r="H49" s="45">
        <f t="shared" si="3"/>
        <v>264</v>
      </c>
      <c r="I49" s="52">
        <v>0.15</v>
      </c>
      <c r="J49" s="41">
        <f t="shared" si="18"/>
        <v>4980</v>
      </c>
      <c r="K49" s="53">
        <f t="shared" si="16"/>
        <v>11680</v>
      </c>
      <c r="L49" s="54">
        <v>0.27</v>
      </c>
      <c r="M49" s="53">
        <f t="shared" si="19"/>
        <v>55140</v>
      </c>
      <c r="N49" s="61">
        <f t="shared" si="4"/>
        <v>440</v>
      </c>
      <c r="O49" s="52">
        <v>0.15</v>
      </c>
      <c r="P49" s="41">
        <f t="shared" si="7"/>
        <v>8156</v>
      </c>
      <c r="Q49" s="53">
        <f t="shared" si="17"/>
        <v>14856</v>
      </c>
      <c r="R49" s="54">
        <v>0.08</v>
      </c>
      <c r="S49" s="17">
        <f t="shared" si="9"/>
        <v>63300</v>
      </c>
      <c r="T49" s="45">
        <f t="shared" si="14"/>
        <v>16600</v>
      </c>
      <c r="U49" s="53"/>
    </row>
    <row r="50" spans="1:21">
      <c r="A50" s="45"/>
      <c r="B50" s="1">
        <v>45</v>
      </c>
      <c r="C50" s="1"/>
      <c r="D50" s="41">
        <f t="shared" si="0"/>
        <v>1350</v>
      </c>
      <c r="E50" s="41">
        <f t="shared" si="1"/>
        <v>22.5</v>
      </c>
      <c r="F50" s="41">
        <f t="shared" si="2"/>
        <v>1350</v>
      </c>
      <c r="G50" s="1">
        <f t="shared" si="15"/>
        <v>6850</v>
      </c>
      <c r="H50" s="45">
        <f t="shared" si="3"/>
        <v>270</v>
      </c>
      <c r="I50" s="52">
        <v>0.15</v>
      </c>
      <c r="J50" s="41">
        <f t="shared" si="18"/>
        <v>5070</v>
      </c>
      <c r="K50" s="53">
        <f t="shared" si="16"/>
        <v>11920</v>
      </c>
      <c r="L50" s="54">
        <v>0.22</v>
      </c>
      <c r="M50" s="53">
        <f t="shared" si="19"/>
        <v>55800</v>
      </c>
      <c r="N50" s="61">
        <f t="shared" si="4"/>
        <v>450</v>
      </c>
      <c r="O50" s="52">
        <v>0.15</v>
      </c>
      <c r="P50" s="41">
        <f t="shared" si="7"/>
        <v>8306</v>
      </c>
      <c r="Q50" s="53">
        <f t="shared" si="17"/>
        <v>15156</v>
      </c>
      <c r="R50" s="54">
        <v>0.08</v>
      </c>
      <c r="S50" s="17">
        <f t="shared" si="9"/>
        <v>63700</v>
      </c>
      <c r="T50" s="45">
        <f t="shared" si="14"/>
        <v>16900</v>
      </c>
      <c r="U50" s="53"/>
    </row>
    <row r="51" spans="1:21">
      <c r="A51" s="45"/>
      <c r="B51" s="1">
        <v>46</v>
      </c>
      <c r="C51" s="1"/>
      <c r="D51" s="41">
        <f t="shared" si="0"/>
        <v>1380</v>
      </c>
      <c r="E51" s="41">
        <f t="shared" si="1"/>
        <v>23</v>
      </c>
      <c r="F51" s="41">
        <f t="shared" si="2"/>
        <v>1380</v>
      </c>
      <c r="G51" s="1">
        <f t="shared" si="15"/>
        <v>7000</v>
      </c>
      <c r="H51" s="45">
        <f t="shared" si="3"/>
        <v>276</v>
      </c>
      <c r="I51" s="52">
        <v>0.15</v>
      </c>
      <c r="J51" s="41">
        <f t="shared" si="18"/>
        <v>5160</v>
      </c>
      <c r="K51" s="53">
        <f t="shared" si="16"/>
        <v>12160</v>
      </c>
      <c r="L51" s="54">
        <v>0.22</v>
      </c>
      <c r="M51" s="53">
        <f t="shared" si="19"/>
        <v>56460</v>
      </c>
      <c r="N51" s="61">
        <f t="shared" si="4"/>
        <v>460</v>
      </c>
      <c r="O51" s="52">
        <v>0.15</v>
      </c>
      <c r="P51" s="41">
        <f t="shared" si="7"/>
        <v>8456</v>
      </c>
      <c r="Q51" s="53">
        <f t="shared" si="17"/>
        <v>15456</v>
      </c>
      <c r="R51" s="54">
        <v>0.08</v>
      </c>
      <c r="S51" s="17">
        <f t="shared" si="9"/>
        <v>64100</v>
      </c>
      <c r="T51" s="45">
        <f t="shared" si="14"/>
        <v>17200</v>
      </c>
      <c r="U51" s="53"/>
    </row>
    <row r="52" spans="1:21">
      <c r="A52" s="45"/>
      <c r="B52" s="1">
        <v>47</v>
      </c>
      <c r="C52" s="1"/>
      <c r="D52" s="41">
        <f t="shared" si="0"/>
        <v>1410</v>
      </c>
      <c r="E52" s="41">
        <f t="shared" si="1"/>
        <v>23.5</v>
      </c>
      <c r="F52" s="41">
        <f t="shared" si="2"/>
        <v>1410</v>
      </c>
      <c r="G52" s="1">
        <f t="shared" si="15"/>
        <v>7150</v>
      </c>
      <c r="H52" s="45">
        <f t="shared" si="3"/>
        <v>282</v>
      </c>
      <c r="I52" s="52">
        <v>0.15</v>
      </c>
      <c r="J52" s="41">
        <f t="shared" si="18"/>
        <v>5250</v>
      </c>
      <c r="K52" s="53">
        <f t="shared" si="16"/>
        <v>12400</v>
      </c>
      <c r="L52" s="54">
        <v>0.18</v>
      </c>
      <c r="M52" s="53">
        <f t="shared" si="19"/>
        <v>57000</v>
      </c>
      <c r="N52" s="61">
        <f t="shared" si="4"/>
        <v>470</v>
      </c>
      <c r="O52" s="52">
        <v>0.15</v>
      </c>
      <c r="P52" s="41">
        <f t="shared" si="7"/>
        <v>8606</v>
      </c>
      <c r="Q52" s="53">
        <f t="shared" si="17"/>
        <v>15756</v>
      </c>
      <c r="R52" s="54">
        <v>0.08</v>
      </c>
      <c r="S52" s="17">
        <f t="shared" si="9"/>
        <v>64500</v>
      </c>
      <c r="T52" s="45">
        <f t="shared" si="14"/>
        <v>17500</v>
      </c>
      <c r="U52" s="53"/>
    </row>
    <row r="53" spans="1:21">
      <c r="A53" s="45"/>
      <c r="B53" s="1">
        <v>48</v>
      </c>
      <c r="C53" s="1"/>
      <c r="D53" s="41">
        <f t="shared" si="0"/>
        <v>1440</v>
      </c>
      <c r="E53" s="41">
        <f t="shared" si="1"/>
        <v>24</v>
      </c>
      <c r="F53" s="41">
        <f t="shared" si="2"/>
        <v>1440</v>
      </c>
      <c r="G53" s="1">
        <f t="shared" si="15"/>
        <v>7300</v>
      </c>
      <c r="H53" s="45">
        <f t="shared" si="3"/>
        <v>288</v>
      </c>
      <c r="I53" s="52">
        <v>0.15</v>
      </c>
      <c r="J53" s="41">
        <f t="shared" si="18"/>
        <v>5340</v>
      </c>
      <c r="K53" s="53">
        <f t="shared" si="16"/>
        <v>12640</v>
      </c>
      <c r="L53" s="54">
        <v>0.13</v>
      </c>
      <c r="M53" s="53">
        <f t="shared" si="19"/>
        <v>57390</v>
      </c>
      <c r="N53" s="61">
        <f t="shared" si="4"/>
        <v>480</v>
      </c>
      <c r="O53" s="52">
        <v>0.15</v>
      </c>
      <c r="P53" s="41">
        <f t="shared" si="7"/>
        <v>8756</v>
      </c>
      <c r="Q53" s="53">
        <f t="shared" si="17"/>
        <v>16056</v>
      </c>
      <c r="R53" s="54">
        <v>0.08</v>
      </c>
      <c r="S53" s="17">
        <f t="shared" si="9"/>
        <v>64900</v>
      </c>
      <c r="T53" s="45">
        <f t="shared" si="14"/>
        <v>17800</v>
      </c>
      <c r="U53" s="53"/>
    </row>
    <row r="54" spans="1:21">
      <c r="A54" s="45"/>
      <c r="B54" s="1">
        <v>49</v>
      </c>
      <c r="C54" s="1"/>
      <c r="D54" s="41">
        <f t="shared" si="0"/>
        <v>1470</v>
      </c>
      <c r="E54" s="41">
        <f t="shared" si="1"/>
        <v>24.5</v>
      </c>
      <c r="F54" s="41">
        <f t="shared" si="2"/>
        <v>1470</v>
      </c>
      <c r="G54" s="1">
        <f t="shared" si="15"/>
        <v>7450</v>
      </c>
      <c r="H54" s="45">
        <f t="shared" si="3"/>
        <v>294</v>
      </c>
      <c r="I54" s="52">
        <v>0.15</v>
      </c>
      <c r="J54" s="41">
        <f t="shared" si="18"/>
        <v>5430</v>
      </c>
      <c r="K54" s="53">
        <f t="shared" si="16"/>
        <v>12880</v>
      </c>
      <c r="L54" s="54">
        <v>0.13</v>
      </c>
      <c r="M54" s="53">
        <f t="shared" si="19"/>
        <v>57780</v>
      </c>
      <c r="N54" s="61">
        <f t="shared" si="4"/>
        <v>490</v>
      </c>
      <c r="O54" s="52">
        <v>0.15</v>
      </c>
      <c r="P54" s="41">
        <f t="shared" si="7"/>
        <v>8906</v>
      </c>
      <c r="Q54" s="53">
        <f t="shared" si="17"/>
        <v>16356</v>
      </c>
      <c r="R54" s="54">
        <v>0.08</v>
      </c>
      <c r="S54" s="17">
        <f t="shared" si="9"/>
        <v>65300</v>
      </c>
      <c r="T54" s="45">
        <f t="shared" si="14"/>
        <v>18100</v>
      </c>
      <c r="U54" s="53"/>
    </row>
    <row r="55" spans="1:21">
      <c r="A55" s="45"/>
      <c r="B55" s="1">
        <v>50</v>
      </c>
      <c r="C55" s="1"/>
      <c r="D55" s="41">
        <f t="shared" si="0"/>
        <v>1500</v>
      </c>
      <c r="E55" s="41">
        <f t="shared" si="1"/>
        <v>25</v>
      </c>
      <c r="F55" s="41">
        <f t="shared" si="2"/>
        <v>1500</v>
      </c>
      <c r="G55" s="1">
        <f t="shared" si="15"/>
        <v>7600</v>
      </c>
      <c r="H55" s="45">
        <f t="shared" si="3"/>
        <v>300</v>
      </c>
      <c r="I55" s="52">
        <v>0.15</v>
      </c>
      <c r="J55" s="41">
        <f t="shared" si="18"/>
        <v>5520</v>
      </c>
      <c r="K55" s="53">
        <f t="shared" si="16"/>
        <v>13120</v>
      </c>
      <c r="L55" s="54">
        <v>0.08</v>
      </c>
      <c r="M55" s="53">
        <f t="shared" si="19"/>
        <v>58020</v>
      </c>
      <c r="N55" s="61">
        <f t="shared" si="4"/>
        <v>500</v>
      </c>
      <c r="O55" s="52">
        <v>0.15</v>
      </c>
      <c r="P55" s="41">
        <f t="shared" si="7"/>
        <v>9056</v>
      </c>
      <c r="Q55" s="53">
        <f t="shared" si="17"/>
        <v>16656</v>
      </c>
      <c r="R55" s="54">
        <v>0.08</v>
      </c>
      <c r="S55" s="17">
        <f t="shared" si="9"/>
        <v>65700</v>
      </c>
      <c r="T55" s="45">
        <f t="shared" si="14"/>
        <v>18400</v>
      </c>
      <c r="U55" s="53"/>
    </row>
    <row r="56" spans="1:21">
      <c r="A56" s="45"/>
      <c r="B56" s="1">
        <v>51</v>
      </c>
      <c r="C56" s="1"/>
      <c r="D56" s="41">
        <f t="shared" si="0"/>
        <v>1530</v>
      </c>
      <c r="E56" s="41">
        <f t="shared" si="1"/>
        <v>25.5</v>
      </c>
      <c r="F56" s="41">
        <f t="shared" si="2"/>
        <v>1530</v>
      </c>
      <c r="G56" s="1">
        <f t="shared" si="15"/>
        <v>7750</v>
      </c>
      <c r="H56" s="45">
        <f t="shared" si="3"/>
        <v>306</v>
      </c>
      <c r="I56" s="52">
        <v>0.15</v>
      </c>
      <c r="J56" s="41">
        <f t="shared" si="18"/>
        <v>5610</v>
      </c>
      <c r="K56" s="53">
        <f t="shared" si="16"/>
        <v>13360</v>
      </c>
      <c r="L56" s="54">
        <v>0.08</v>
      </c>
      <c r="M56" s="53">
        <f t="shared" si="19"/>
        <v>58260</v>
      </c>
      <c r="N56" s="61">
        <f t="shared" si="4"/>
        <v>510</v>
      </c>
      <c r="O56" s="52">
        <v>0.15</v>
      </c>
      <c r="P56" s="41">
        <f t="shared" si="7"/>
        <v>9206</v>
      </c>
      <c r="Q56" s="53">
        <f t="shared" si="17"/>
        <v>16956</v>
      </c>
      <c r="R56" s="54">
        <v>0.08</v>
      </c>
      <c r="S56" s="17">
        <f t="shared" si="9"/>
        <v>66100</v>
      </c>
      <c r="T56" s="45">
        <f t="shared" si="14"/>
        <v>18700</v>
      </c>
      <c r="U56" s="53"/>
    </row>
    <row r="57" spans="1:21">
      <c r="A57" s="45"/>
      <c r="B57" s="1">
        <v>52</v>
      </c>
      <c r="C57" s="1"/>
      <c r="D57" s="41">
        <f t="shared" si="0"/>
        <v>1560</v>
      </c>
      <c r="E57" s="41">
        <f t="shared" si="1"/>
        <v>26</v>
      </c>
      <c r="F57" s="41">
        <f t="shared" si="2"/>
        <v>1560</v>
      </c>
      <c r="G57" s="1">
        <f t="shared" si="15"/>
        <v>7900</v>
      </c>
      <c r="H57" s="45">
        <f t="shared" si="3"/>
        <v>312</v>
      </c>
      <c r="I57" s="52">
        <v>0.15</v>
      </c>
      <c r="J57" s="41">
        <f t="shared" si="18"/>
        <v>5700</v>
      </c>
      <c r="K57" s="53">
        <f t="shared" si="16"/>
        <v>13600</v>
      </c>
      <c r="L57" s="54">
        <v>0.08</v>
      </c>
      <c r="M57" s="53">
        <f t="shared" si="19"/>
        <v>58500</v>
      </c>
      <c r="N57" s="61">
        <f t="shared" si="4"/>
        <v>520</v>
      </c>
      <c r="O57" s="52">
        <v>0.15</v>
      </c>
      <c r="P57" s="41">
        <f t="shared" si="7"/>
        <v>9356</v>
      </c>
      <c r="Q57" s="53">
        <f t="shared" si="17"/>
        <v>17256</v>
      </c>
      <c r="R57" s="54">
        <v>0.08</v>
      </c>
      <c r="S57" s="17">
        <f t="shared" si="9"/>
        <v>66500</v>
      </c>
      <c r="T57" s="45">
        <f t="shared" si="14"/>
        <v>19000</v>
      </c>
      <c r="U57" s="53"/>
    </row>
    <row r="58" spans="1:21">
      <c r="A58" s="45"/>
      <c r="B58" s="1">
        <v>53</v>
      </c>
      <c r="C58" s="1"/>
      <c r="D58" s="41">
        <f t="shared" si="0"/>
        <v>1590</v>
      </c>
      <c r="E58" s="41">
        <f t="shared" si="1"/>
        <v>26.5</v>
      </c>
      <c r="F58" s="41">
        <f t="shared" si="2"/>
        <v>1590</v>
      </c>
      <c r="G58" s="1">
        <f t="shared" si="15"/>
        <v>8050</v>
      </c>
      <c r="H58" s="45">
        <f t="shared" si="3"/>
        <v>318</v>
      </c>
      <c r="I58" s="52">
        <v>0.15</v>
      </c>
      <c r="J58" s="41">
        <f t="shared" si="18"/>
        <v>5790</v>
      </c>
      <c r="K58" s="53">
        <f t="shared" si="16"/>
        <v>13840</v>
      </c>
      <c r="L58" s="54">
        <v>0.08</v>
      </c>
      <c r="M58" s="53">
        <f t="shared" si="19"/>
        <v>58740</v>
      </c>
      <c r="N58" s="61">
        <f t="shared" si="4"/>
        <v>530</v>
      </c>
      <c r="O58" s="52">
        <v>0.15</v>
      </c>
      <c r="P58" s="41">
        <f t="shared" si="7"/>
        <v>9506</v>
      </c>
      <c r="Q58" s="53">
        <f t="shared" si="17"/>
        <v>17556</v>
      </c>
      <c r="R58" s="54">
        <v>0.08</v>
      </c>
      <c r="S58" s="17">
        <f t="shared" si="9"/>
        <v>66900</v>
      </c>
      <c r="T58" s="45">
        <f t="shared" si="14"/>
        <v>19300</v>
      </c>
      <c r="U58" s="53"/>
    </row>
    <row r="59" spans="1:21">
      <c r="A59" s="45"/>
      <c r="B59" s="1">
        <v>54</v>
      </c>
      <c r="C59" s="1"/>
      <c r="D59" s="41">
        <f t="shared" si="0"/>
        <v>1620</v>
      </c>
      <c r="E59" s="41">
        <f t="shared" si="1"/>
        <v>27</v>
      </c>
      <c r="F59" s="41">
        <f t="shared" si="2"/>
        <v>1620</v>
      </c>
      <c r="G59" s="1">
        <f t="shared" si="15"/>
        <v>8200</v>
      </c>
      <c r="H59" s="45">
        <f t="shared" si="3"/>
        <v>324</v>
      </c>
      <c r="I59" s="52">
        <v>0.15</v>
      </c>
      <c r="J59" s="41">
        <f t="shared" si="18"/>
        <v>5880</v>
      </c>
      <c r="K59" s="53">
        <f t="shared" si="16"/>
        <v>14080</v>
      </c>
      <c r="L59" s="54">
        <v>0.08</v>
      </c>
      <c r="M59" s="53">
        <f t="shared" si="19"/>
        <v>58980</v>
      </c>
      <c r="N59" s="61">
        <f t="shared" si="4"/>
        <v>540</v>
      </c>
      <c r="O59" s="52">
        <v>0.15</v>
      </c>
      <c r="P59" s="41">
        <f t="shared" si="7"/>
        <v>9656</v>
      </c>
      <c r="Q59" s="53">
        <f t="shared" si="17"/>
        <v>17856</v>
      </c>
      <c r="R59" s="54">
        <v>0.08</v>
      </c>
      <c r="S59" s="17">
        <f t="shared" si="9"/>
        <v>67300</v>
      </c>
      <c r="T59" s="45">
        <f t="shared" si="14"/>
        <v>19600</v>
      </c>
      <c r="U59" s="53"/>
    </row>
    <row r="60" spans="1:21">
      <c r="A60" s="45"/>
      <c r="B60" s="1">
        <v>55</v>
      </c>
      <c r="C60" s="1"/>
      <c r="D60" s="41">
        <f t="shared" si="0"/>
        <v>1650</v>
      </c>
      <c r="E60" s="41">
        <f t="shared" si="1"/>
        <v>27.5</v>
      </c>
      <c r="F60" s="41">
        <f t="shared" si="2"/>
        <v>1650</v>
      </c>
      <c r="G60" s="1">
        <f t="shared" si="15"/>
        <v>8350</v>
      </c>
      <c r="H60" s="45">
        <f t="shared" si="3"/>
        <v>330</v>
      </c>
      <c r="I60" s="52">
        <v>0.15</v>
      </c>
      <c r="J60" s="41">
        <f t="shared" si="18"/>
        <v>5970</v>
      </c>
      <c r="K60" s="53">
        <f t="shared" si="16"/>
        <v>14320</v>
      </c>
      <c r="L60" s="54">
        <v>0.08</v>
      </c>
      <c r="M60" s="53">
        <f t="shared" si="19"/>
        <v>59220</v>
      </c>
      <c r="N60" s="61">
        <f t="shared" si="4"/>
        <v>550</v>
      </c>
      <c r="O60" s="52">
        <v>0.15</v>
      </c>
      <c r="P60" s="41">
        <f t="shared" si="7"/>
        <v>9806</v>
      </c>
      <c r="Q60" s="53">
        <f t="shared" si="17"/>
        <v>18156</v>
      </c>
      <c r="R60" s="54">
        <v>0.08</v>
      </c>
      <c r="S60" s="17">
        <f t="shared" si="9"/>
        <v>67700</v>
      </c>
      <c r="T60" s="45">
        <f t="shared" si="14"/>
        <v>19900</v>
      </c>
      <c r="U60" s="53"/>
    </row>
    <row r="61" spans="1:21">
      <c r="A61" s="45"/>
      <c r="B61" s="1">
        <v>56</v>
      </c>
      <c r="C61" s="1"/>
      <c r="D61" s="41">
        <f t="shared" si="0"/>
        <v>1680</v>
      </c>
      <c r="E61" s="41">
        <f t="shared" si="1"/>
        <v>28</v>
      </c>
      <c r="F61" s="41">
        <f t="shared" si="2"/>
        <v>1680</v>
      </c>
      <c r="G61" s="1">
        <f t="shared" si="15"/>
        <v>8500</v>
      </c>
      <c r="H61" s="45">
        <f t="shared" si="3"/>
        <v>336</v>
      </c>
      <c r="I61" s="52">
        <v>0.15</v>
      </c>
      <c r="J61" s="41">
        <f t="shared" si="18"/>
        <v>6060</v>
      </c>
      <c r="K61" s="53">
        <f t="shared" si="16"/>
        <v>14560</v>
      </c>
      <c r="L61" s="54">
        <v>0.08</v>
      </c>
      <c r="M61" s="53">
        <f t="shared" si="19"/>
        <v>59460</v>
      </c>
      <c r="N61" s="61">
        <f t="shared" si="4"/>
        <v>560</v>
      </c>
      <c r="O61" s="52">
        <v>0.15</v>
      </c>
      <c r="P61" s="41">
        <f t="shared" si="7"/>
        <v>9956</v>
      </c>
      <c r="Q61" s="53">
        <f t="shared" si="17"/>
        <v>18456</v>
      </c>
      <c r="R61" s="54">
        <v>0.08</v>
      </c>
      <c r="S61" s="17">
        <f t="shared" si="9"/>
        <v>68100</v>
      </c>
      <c r="T61" s="45">
        <f t="shared" si="14"/>
        <v>20200</v>
      </c>
      <c r="U61" s="53"/>
    </row>
    <row r="62" spans="1:21">
      <c r="A62" s="45"/>
      <c r="B62" s="1">
        <v>57</v>
      </c>
      <c r="C62" s="1"/>
      <c r="D62" s="41">
        <f t="shared" si="0"/>
        <v>1710</v>
      </c>
      <c r="E62" s="41">
        <f t="shared" si="1"/>
        <v>28.5</v>
      </c>
      <c r="F62" s="41">
        <f t="shared" si="2"/>
        <v>1710</v>
      </c>
      <c r="G62" s="1">
        <f t="shared" si="15"/>
        <v>8650</v>
      </c>
      <c r="H62" s="45">
        <f t="shared" si="3"/>
        <v>342</v>
      </c>
      <c r="I62" s="52">
        <v>0.15</v>
      </c>
      <c r="J62" s="41">
        <f t="shared" si="18"/>
        <v>6150</v>
      </c>
      <c r="K62" s="53">
        <f t="shared" si="16"/>
        <v>14800</v>
      </c>
      <c r="L62" s="54">
        <v>0.08</v>
      </c>
      <c r="M62" s="53">
        <f t="shared" si="19"/>
        <v>59700</v>
      </c>
      <c r="N62" s="61">
        <f t="shared" si="4"/>
        <v>570</v>
      </c>
      <c r="O62" s="52">
        <v>0.15</v>
      </c>
      <c r="P62" s="41">
        <f t="shared" si="7"/>
        <v>10106</v>
      </c>
      <c r="Q62" s="53">
        <f t="shared" si="17"/>
        <v>18756</v>
      </c>
      <c r="R62" s="54">
        <v>0.08</v>
      </c>
      <c r="S62" s="17">
        <f t="shared" si="9"/>
        <v>68500</v>
      </c>
      <c r="T62" s="45">
        <f t="shared" si="14"/>
        <v>20500</v>
      </c>
      <c r="U62" s="53"/>
    </row>
    <row r="63" spans="1:21">
      <c r="A63" s="45"/>
      <c r="B63" s="1">
        <v>58</v>
      </c>
      <c r="C63" s="1"/>
      <c r="D63" s="41">
        <f t="shared" si="0"/>
        <v>1740</v>
      </c>
      <c r="E63" s="41">
        <f t="shared" si="1"/>
        <v>29</v>
      </c>
      <c r="F63" s="41">
        <f t="shared" si="2"/>
        <v>1740</v>
      </c>
      <c r="G63" s="1">
        <f t="shared" si="15"/>
        <v>8800</v>
      </c>
      <c r="H63" s="45">
        <f t="shared" si="3"/>
        <v>348</v>
      </c>
      <c r="I63" s="52">
        <v>0.15</v>
      </c>
      <c r="J63" s="41">
        <f t="shared" si="18"/>
        <v>6240</v>
      </c>
      <c r="K63" s="53">
        <f t="shared" si="16"/>
        <v>15040</v>
      </c>
      <c r="L63" s="54">
        <v>0.08</v>
      </c>
      <c r="M63" s="53">
        <f t="shared" si="19"/>
        <v>59940</v>
      </c>
      <c r="N63" s="61">
        <f t="shared" si="4"/>
        <v>580</v>
      </c>
      <c r="O63" s="52">
        <v>0.15</v>
      </c>
      <c r="P63" s="41">
        <f t="shared" si="7"/>
        <v>10256</v>
      </c>
      <c r="Q63" s="53">
        <f t="shared" si="17"/>
        <v>19056</v>
      </c>
      <c r="R63" s="54">
        <v>0.08</v>
      </c>
      <c r="S63" s="17">
        <f t="shared" si="9"/>
        <v>68900</v>
      </c>
      <c r="T63" s="45">
        <f t="shared" si="14"/>
        <v>20800</v>
      </c>
      <c r="U63" s="53"/>
    </row>
    <row r="64" spans="1:21">
      <c r="A64" s="45"/>
      <c r="B64" s="1">
        <v>59</v>
      </c>
      <c r="C64" s="1"/>
      <c r="D64" s="41">
        <f t="shared" si="0"/>
        <v>1770</v>
      </c>
      <c r="E64" s="41">
        <f t="shared" si="1"/>
        <v>29.5</v>
      </c>
      <c r="F64" s="41">
        <f t="shared" si="2"/>
        <v>1770</v>
      </c>
      <c r="G64" s="1">
        <f t="shared" si="15"/>
        <v>8950</v>
      </c>
      <c r="H64" s="45">
        <f t="shared" si="3"/>
        <v>354</v>
      </c>
      <c r="I64" s="52">
        <v>0.15</v>
      </c>
      <c r="J64" s="41">
        <f t="shared" si="18"/>
        <v>6330</v>
      </c>
      <c r="K64" s="53">
        <f t="shared" si="16"/>
        <v>15280</v>
      </c>
      <c r="L64" s="54">
        <v>0.08</v>
      </c>
      <c r="M64" s="53">
        <f t="shared" si="19"/>
        <v>60180</v>
      </c>
      <c r="N64" s="61">
        <f t="shared" si="4"/>
        <v>590</v>
      </c>
      <c r="O64" s="52">
        <v>0.15</v>
      </c>
      <c r="P64" s="41">
        <f t="shared" si="7"/>
        <v>10406</v>
      </c>
      <c r="Q64" s="53">
        <f t="shared" si="17"/>
        <v>19356</v>
      </c>
      <c r="R64" s="54">
        <v>0.08</v>
      </c>
      <c r="S64" s="17">
        <f t="shared" si="9"/>
        <v>69300</v>
      </c>
      <c r="T64" s="45">
        <f t="shared" si="14"/>
        <v>21100</v>
      </c>
      <c r="U64" s="53"/>
    </row>
    <row r="65" s="40" customFormat="1" spans="1:21">
      <c r="A65" s="48"/>
      <c r="B65" s="49">
        <v>60</v>
      </c>
      <c r="C65" s="49"/>
      <c r="D65" s="40">
        <f t="shared" si="0"/>
        <v>1800</v>
      </c>
      <c r="E65" s="40">
        <f t="shared" si="1"/>
        <v>30</v>
      </c>
      <c r="F65" s="40">
        <f t="shared" si="2"/>
        <v>1800</v>
      </c>
      <c r="G65" s="63">
        <f t="shared" si="15"/>
        <v>9100</v>
      </c>
      <c r="H65" s="64">
        <f t="shared" si="3"/>
        <v>360</v>
      </c>
      <c r="I65" s="57">
        <v>0.15</v>
      </c>
      <c r="J65" s="40">
        <f t="shared" si="18"/>
        <v>6420</v>
      </c>
      <c r="K65" s="66">
        <f t="shared" si="16"/>
        <v>15520</v>
      </c>
      <c r="L65" s="59">
        <v>0.08</v>
      </c>
      <c r="M65" s="58">
        <f t="shared" si="19"/>
        <v>60420</v>
      </c>
      <c r="N65" s="64">
        <f t="shared" si="4"/>
        <v>600</v>
      </c>
      <c r="O65" s="57">
        <v>0.15</v>
      </c>
      <c r="P65" s="40">
        <f t="shared" si="7"/>
        <v>10556</v>
      </c>
      <c r="Q65" s="66">
        <f t="shared" si="17"/>
        <v>19656</v>
      </c>
      <c r="R65" s="59">
        <v>0.08</v>
      </c>
      <c r="S65" s="63">
        <f t="shared" si="9"/>
        <v>69700</v>
      </c>
      <c r="T65" s="48">
        <f t="shared" si="14"/>
        <v>21400</v>
      </c>
      <c r="U65" s="58"/>
    </row>
    <row r="66" spans="8:19">
      <c r="H66" s="41" t="s">
        <v>42</v>
      </c>
      <c r="I66" s="41">
        <f>ROUND(20000/360,0)</f>
        <v>56</v>
      </c>
      <c r="N66" s="41" t="s">
        <v>42</v>
      </c>
      <c r="O66" s="41">
        <f>ROUND(20000/600,0)</f>
        <v>33</v>
      </c>
      <c r="Q66" s="41" t="s">
        <v>43</v>
      </c>
      <c r="S66" s="41" t="s">
        <v>44</v>
      </c>
    </row>
    <row r="68" spans="1:7">
      <c r="A68" s="35" t="s">
        <v>45</v>
      </c>
      <c r="B68" s="35"/>
      <c r="C68" s="35"/>
      <c r="D68" s="35"/>
      <c r="E68" s="35"/>
      <c r="F68" s="35"/>
      <c r="G68" s="35"/>
    </row>
    <row r="69" spans="1:7">
      <c r="A69" s="35" t="s">
        <v>46</v>
      </c>
      <c r="B69" s="35"/>
      <c r="C69" s="35"/>
      <c r="D69" s="35"/>
      <c r="E69" s="35"/>
      <c r="F69" s="35"/>
      <c r="G69" s="35"/>
    </row>
    <row r="70" spans="1:7">
      <c r="A70" s="35">
        <f>ROUND(9100/600,0)</f>
        <v>15</v>
      </c>
      <c r="B70" s="35"/>
      <c r="C70" s="35"/>
      <c r="D70" s="35"/>
      <c r="E70" s="35"/>
      <c r="F70" s="35"/>
      <c r="G70" s="35"/>
    </row>
    <row r="71" spans="1:7">
      <c r="A71" s="35" t="s">
        <v>47</v>
      </c>
      <c r="B71" s="35"/>
      <c r="C71" s="35"/>
      <c r="D71" s="35"/>
      <c r="E71" s="35"/>
      <c r="F71" s="35"/>
      <c r="G71" s="35"/>
    </row>
    <row r="72" spans="1:7">
      <c r="A72" s="35">
        <f>ROUND(9100/360,0)</f>
        <v>25</v>
      </c>
      <c r="B72" s="35"/>
      <c r="C72" s="35"/>
      <c r="D72" s="35"/>
      <c r="E72" s="35"/>
      <c r="F72" s="35"/>
      <c r="G72" s="35"/>
    </row>
    <row r="73" spans="1:7">
      <c r="A73" s="35" t="s">
        <v>48</v>
      </c>
      <c r="B73" s="35"/>
      <c r="C73" s="35"/>
      <c r="D73" s="35"/>
      <c r="E73" s="35"/>
      <c r="F73" s="35"/>
      <c r="G73" s="35"/>
    </row>
    <row r="74" spans="1:7">
      <c r="A74" s="35">
        <f>20000/10*500</f>
        <v>1000000</v>
      </c>
      <c r="B74" s="35"/>
      <c r="C74" s="35"/>
      <c r="D74" s="35"/>
      <c r="E74" s="35"/>
      <c r="F74" s="35"/>
      <c r="G74" s="35"/>
    </row>
    <row r="75" spans="1:7">
      <c r="A75" s="35" t="s">
        <v>49</v>
      </c>
      <c r="B75" s="35"/>
      <c r="C75" s="35"/>
      <c r="D75" s="35"/>
      <c r="E75" s="35"/>
      <c r="F75" s="35"/>
      <c r="G75" s="35"/>
    </row>
    <row r="76" spans="1:7">
      <c r="A76" s="35" t="s">
        <v>50</v>
      </c>
      <c r="B76" s="35"/>
      <c r="C76" s="35"/>
      <c r="D76" s="35"/>
      <c r="E76" s="35"/>
      <c r="F76" s="35"/>
      <c r="G76" s="35"/>
    </row>
    <row r="77" spans="1:7">
      <c r="A77" s="35" t="s">
        <v>51</v>
      </c>
      <c r="B77" s="35"/>
      <c r="C77" s="35"/>
      <c r="D77" s="35"/>
      <c r="E77" s="35"/>
      <c r="F77" s="35"/>
      <c r="G77" s="35"/>
    </row>
    <row r="78" spans="1:7">
      <c r="A78" s="35" t="s">
        <v>52</v>
      </c>
      <c r="B78" s="35"/>
      <c r="C78" s="35"/>
      <c r="D78" s="35"/>
      <c r="E78" s="35"/>
      <c r="F78" s="35"/>
      <c r="G78" s="35"/>
    </row>
    <row r="79" spans="1:7">
      <c r="A79" s="35"/>
      <c r="B79" s="35"/>
      <c r="C79" s="35"/>
      <c r="D79" s="35"/>
      <c r="E79" s="35"/>
      <c r="F79" s="35"/>
      <c r="G79" s="35"/>
    </row>
    <row r="80" spans="1:7">
      <c r="A80" s="35" t="s">
        <v>53</v>
      </c>
      <c r="B80" s="35"/>
      <c r="C80" s="35"/>
      <c r="D80" s="35"/>
      <c r="E80" s="35"/>
      <c r="F80" s="35"/>
      <c r="G80" s="35"/>
    </row>
    <row r="81" spans="1:7">
      <c r="A81" s="35" t="s">
        <v>54</v>
      </c>
      <c r="B81" s="35" t="s">
        <v>55</v>
      </c>
      <c r="C81" s="35"/>
      <c r="D81" s="35"/>
      <c r="E81" s="35"/>
      <c r="F81" s="35"/>
      <c r="G81" s="35"/>
    </row>
    <row r="82" spans="1:7">
      <c r="A82" s="35" t="s">
        <v>56</v>
      </c>
      <c r="B82" s="35" t="s">
        <v>57</v>
      </c>
      <c r="C82" s="35"/>
      <c r="D82" s="35"/>
      <c r="E82" s="35"/>
      <c r="F82" s="35"/>
      <c r="G82" s="35"/>
    </row>
    <row r="83" spans="1:7">
      <c r="A83" s="35" t="s">
        <v>58</v>
      </c>
      <c r="B83" s="35" t="s">
        <v>59</v>
      </c>
      <c r="C83" s="35"/>
      <c r="D83" s="35"/>
      <c r="E83" s="35"/>
      <c r="F83" s="35"/>
      <c r="G83" s="35"/>
    </row>
    <row r="84" spans="1:7">
      <c r="A84" s="35"/>
      <c r="B84" s="35"/>
      <c r="C84" s="35"/>
      <c r="D84" s="35"/>
      <c r="E84" s="35"/>
      <c r="F84" s="35"/>
      <c r="G84" s="35"/>
    </row>
    <row r="85" spans="1:7">
      <c r="A85" s="35"/>
      <c r="B85" s="35" t="s">
        <v>53</v>
      </c>
      <c r="C85" s="35" t="s">
        <v>60</v>
      </c>
      <c r="D85" s="35" t="s">
        <v>61</v>
      </c>
      <c r="E85" s="35"/>
      <c r="F85" s="35"/>
      <c r="G85" s="35"/>
    </row>
    <row r="86" spans="1:7">
      <c r="A86" s="35" t="s">
        <v>62</v>
      </c>
      <c r="B86" s="35">
        <v>500</v>
      </c>
      <c r="C86" s="35">
        <v>1000</v>
      </c>
      <c r="D86" s="35">
        <v>1500</v>
      </c>
      <c r="E86" s="35"/>
      <c r="F86" s="35"/>
      <c r="G86" s="35"/>
    </row>
    <row r="87" spans="1:7">
      <c r="A87" s="35" t="s">
        <v>42</v>
      </c>
      <c r="B87" s="35">
        <v>50</v>
      </c>
      <c r="C87" s="35">
        <v>120</v>
      </c>
      <c r="D87" s="35">
        <v>200</v>
      </c>
      <c r="E87" s="35"/>
      <c r="F87" s="35"/>
      <c r="G87" s="35"/>
    </row>
    <row r="88" spans="1:7">
      <c r="A88" s="35" t="s">
        <v>63</v>
      </c>
      <c r="B88" s="35" t="s">
        <v>64</v>
      </c>
      <c r="C88" s="35">
        <f>100000/1000*120</f>
        <v>12000</v>
      </c>
      <c r="D88" s="35">
        <f>ROUND(100000/1500*200,0)</f>
        <v>13333</v>
      </c>
      <c r="E88" s="35"/>
      <c r="F88" s="35"/>
      <c r="G88" s="35"/>
    </row>
    <row r="89" spans="1:7">
      <c r="A89" s="35" t="s">
        <v>65</v>
      </c>
      <c r="B89" s="35"/>
      <c r="C89" s="35">
        <f>ROUND(100000/1000*5/60,0)</f>
        <v>8</v>
      </c>
      <c r="D89" s="35">
        <f>ROUND(100000/1500*5/60,0)</f>
        <v>6</v>
      </c>
      <c r="E89" s="35"/>
      <c r="F89" s="35"/>
      <c r="G89" s="35"/>
    </row>
    <row r="90" spans="1:7">
      <c r="A90" s="35" t="s">
        <v>66</v>
      </c>
      <c r="B90" s="35"/>
      <c r="C90" s="35">
        <f>ROUND(100000/1000*3/60,0)</f>
        <v>5</v>
      </c>
      <c r="D90" s="35">
        <f>ROUND(100000/1500*3/60,0)</f>
        <v>3</v>
      </c>
      <c r="E90" s="35"/>
      <c r="F90" s="35"/>
      <c r="G90" s="35"/>
    </row>
    <row r="92" spans="1:1">
      <c r="A92" s="41" t="s">
        <v>67</v>
      </c>
    </row>
    <row r="93" spans="1:1">
      <c r="A93" s="65" t="s">
        <v>68</v>
      </c>
    </row>
    <row r="94" spans="1:1">
      <c r="A94" s="41" t="s">
        <v>69</v>
      </c>
    </row>
    <row r="95" spans="1:1">
      <c r="A95" s="41" t="s">
        <v>70</v>
      </c>
    </row>
  </sheetData>
  <mergeCells count="9">
    <mergeCell ref="H4:M4"/>
    <mergeCell ref="N4:U4"/>
    <mergeCell ref="C7:C9"/>
    <mergeCell ref="C10:C13"/>
    <mergeCell ref="C14:C18"/>
    <mergeCell ref="C19:C24"/>
    <mergeCell ref="C25:C31"/>
    <mergeCell ref="C32:C40"/>
    <mergeCell ref="C41:C6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36"/>
  <sheetViews>
    <sheetView topLeftCell="A73" workbookViewId="0">
      <selection activeCell="C123" sqref="C123:F123"/>
    </sheetView>
  </sheetViews>
  <sheetFormatPr defaultColWidth="9" defaultRowHeight="13.5" outlineLevelCol="5"/>
  <cols>
    <col min="1" max="1" width="15" customWidth="1"/>
    <col min="2" max="2" width="17.375" customWidth="1"/>
    <col min="3" max="3" width="15.625" customWidth="1"/>
    <col min="4" max="4" width="14.375" customWidth="1"/>
    <col min="5" max="5" width="13.875" customWidth="1"/>
    <col min="6" max="6" width="12.75" customWidth="1"/>
    <col min="7" max="7" width="16.375" customWidth="1"/>
  </cols>
  <sheetData>
    <row r="2" spans="2:5">
      <c r="B2" s="16" t="s">
        <v>28</v>
      </c>
      <c r="C2" s="16" t="s">
        <v>71</v>
      </c>
      <c r="D2" s="17" t="s">
        <v>30</v>
      </c>
      <c r="E2" s="17" t="s">
        <v>32</v>
      </c>
    </row>
    <row r="3" spans="2:5">
      <c r="B3" s="16">
        <v>1</v>
      </c>
      <c r="C3" s="16">
        <v>1</v>
      </c>
      <c r="D3" s="17">
        <f t="shared" ref="D3:D62" si="0">B3*30</f>
        <v>30</v>
      </c>
      <c r="E3" s="17">
        <f ca="1" t="shared" ref="E3:E62" si="1">$E3</f>
        <v>30</v>
      </c>
    </row>
    <row r="4" spans="2:5">
      <c r="B4" s="16">
        <v>2</v>
      </c>
      <c r="C4" s="16">
        <v>2</v>
      </c>
      <c r="D4" s="19">
        <f t="shared" si="0"/>
        <v>60</v>
      </c>
      <c r="E4" s="17">
        <f ca="1" t="shared" si="1"/>
        <v>60</v>
      </c>
    </row>
    <row r="5" spans="2:5">
      <c r="B5" s="16">
        <v>3</v>
      </c>
      <c r="C5" s="16"/>
      <c r="D5" s="17">
        <f t="shared" si="0"/>
        <v>90</v>
      </c>
      <c r="E5" s="17">
        <f ca="1" t="shared" si="1"/>
        <v>90</v>
      </c>
    </row>
    <row r="6" spans="2:5">
      <c r="B6" s="16">
        <v>4</v>
      </c>
      <c r="C6" s="16"/>
      <c r="D6" s="17">
        <f t="shared" si="0"/>
        <v>120</v>
      </c>
      <c r="E6" s="17">
        <f ca="1" t="shared" si="1"/>
        <v>120</v>
      </c>
    </row>
    <row r="7" spans="2:5">
      <c r="B7" s="16">
        <v>5</v>
      </c>
      <c r="C7" s="16">
        <v>3</v>
      </c>
      <c r="D7" s="19">
        <f t="shared" si="0"/>
        <v>150</v>
      </c>
      <c r="E7" s="17">
        <f ca="1" t="shared" si="1"/>
        <v>150</v>
      </c>
    </row>
    <row r="8" spans="2:5">
      <c r="B8" s="16">
        <v>6</v>
      </c>
      <c r="C8" s="16"/>
      <c r="D8" s="17">
        <f t="shared" si="0"/>
        <v>180</v>
      </c>
      <c r="E8" s="17">
        <f ca="1" t="shared" si="1"/>
        <v>180</v>
      </c>
    </row>
    <row r="9" spans="2:5">
      <c r="B9" s="16">
        <v>7</v>
      </c>
      <c r="C9" s="16"/>
      <c r="D9" s="17">
        <f t="shared" si="0"/>
        <v>210</v>
      </c>
      <c r="E9" s="17">
        <f ca="1" t="shared" si="1"/>
        <v>210</v>
      </c>
    </row>
    <row r="10" spans="2:5">
      <c r="B10" s="16">
        <v>8</v>
      </c>
      <c r="C10" s="16"/>
      <c r="D10" s="17">
        <f t="shared" si="0"/>
        <v>240</v>
      </c>
      <c r="E10" s="17">
        <f ca="1" t="shared" si="1"/>
        <v>240</v>
      </c>
    </row>
    <row r="11" spans="2:5">
      <c r="B11" s="16">
        <v>9</v>
      </c>
      <c r="C11" s="16">
        <v>4</v>
      </c>
      <c r="D11" s="19">
        <f t="shared" si="0"/>
        <v>270</v>
      </c>
      <c r="E11" s="17">
        <f ca="1" t="shared" si="1"/>
        <v>270</v>
      </c>
    </row>
    <row r="12" spans="2:5">
      <c r="B12" s="16">
        <v>10</v>
      </c>
      <c r="C12" s="16"/>
      <c r="D12" s="17">
        <f t="shared" si="0"/>
        <v>300</v>
      </c>
      <c r="E12" s="17">
        <f ca="1" t="shared" si="1"/>
        <v>300</v>
      </c>
    </row>
    <row r="13" spans="2:5">
      <c r="B13" s="16">
        <v>11</v>
      </c>
      <c r="C13" s="16"/>
      <c r="D13" s="17">
        <f t="shared" si="0"/>
        <v>330</v>
      </c>
      <c r="E13" s="17">
        <f ca="1" t="shared" si="1"/>
        <v>330</v>
      </c>
    </row>
    <row r="14" spans="2:5">
      <c r="B14" s="16">
        <v>12</v>
      </c>
      <c r="C14" s="16"/>
      <c r="D14" s="17">
        <f t="shared" si="0"/>
        <v>360</v>
      </c>
      <c r="E14" s="17">
        <f ca="1" t="shared" si="1"/>
        <v>360</v>
      </c>
    </row>
    <row r="15" spans="2:5">
      <c r="B15" s="16">
        <v>13</v>
      </c>
      <c r="C15" s="16"/>
      <c r="D15" s="17">
        <f t="shared" si="0"/>
        <v>390</v>
      </c>
      <c r="E15" s="17">
        <f ca="1" t="shared" si="1"/>
        <v>390</v>
      </c>
    </row>
    <row r="16" spans="2:5">
      <c r="B16" s="16">
        <v>14</v>
      </c>
      <c r="C16" s="16">
        <v>5</v>
      </c>
      <c r="D16" s="19">
        <f t="shared" si="0"/>
        <v>420</v>
      </c>
      <c r="E16" s="17">
        <f ca="1" t="shared" si="1"/>
        <v>420</v>
      </c>
    </row>
    <row r="17" spans="2:5">
      <c r="B17" s="16">
        <v>15</v>
      </c>
      <c r="C17" s="16"/>
      <c r="D17" s="17">
        <f t="shared" si="0"/>
        <v>450</v>
      </c>
      <c r="E17" s="17">
        <f ca="1" t="shared" si="1"/>
        <v>450</v>
      </c>
    </row>
    <row r="18" spans="2:5">
      <c r="B18" s="16">
        <v>16</v>
      </c>
      <c r="C18" s="16"/>
      <c r="D18" s="17">
        <f t="shared" si="0"/>
        <v>480</v>
      </c>
      <c r="E18" s="17">
        <f ca="1" t="shared" si="1"/>
        <v>480</v>
      </c>
    </row>
    <row r="19" spans="2:5">
      <c r="B19" s="16">
        <v>17</v>
      </c>
      <c r="C19" s="16"/>
      <c r="D19" s="17">
        <f t="shared" si="0"/>
        <v>510</v>
      </c>
      <c r="E19" s="17">
        <f ca="1" t="shared" si="1"/>
        <v>510</v>
      </c>
    </row>
    <row r="20" spans="2:5">
      <c r="B20" s="16">
        <v>18</v>
      </c>
      <c r="C20" s="16"/>
      <c r="D20" s="17">
        <f t="shared" si="0"/>
        <v>540</v>
      </c>
      <c r="E20" s="17">
        <f ca="1" t="shared" si="1"/>
        <v>540</v>
      </c>
    </row>
    <row r="21" spans="2:5">
      <c r="B21" s="16">
        <v>19</v>
      </c>
      <c r="C21" s="16"/>
      <c r="D21" s="17">
        <f t="shared" si="0"/>
        <v>570</v>
      </c>
      <c r="E21" s="17">
        <f ca="1" t="shared" si="1"/>
        <v>570</v>
      </c>
    </row>
    <row r="22" spans="2:5">
      <c r="B22" s="16">
        <v>20</v>
      </c>
      <c r="C22" s="16">
        <v>6</v>
      </c>
      <c r="D22" s="19">
        <f t="shared" si="0"/>
        <v>600</v>
      </c>
      <c r="E22" s="17">
        <f ca="1" t="shared" si="1"/>
        <v>600</v>
      </c>
    </row>
    <row r="23" spans="2:5">
      <c r="B23" s="16">
        <v>21</v>
      </c>
      <c r="C23" s="16"/>
      <c r="D23" s="17">
        <f t="shared" si="0"/>
        <v>630</v>
      </c>
      <c r="E23" s="17">
        <f ca="1" t="shared" si="1"/>
        <v>630</v>
      </c>
    </row>
    <row r="24" spans="2:5">
      <c r="B24" s="16">
        <v>22</v>
      </c>
      <c r="C24" s="16"/>
      <c r="D24" s="17">
        <f t="shared" si="0"/>
        <v>660</v>
      </c>
      <c r="E24" s="17">
        <f ca="1" t="shared" si="1"/>
        <v>660</v>
      </c>
    </row>
    <row r="25" spans="2:5">
      <c r="B25" s="16">
        <v>23</v>
      </c>
      <c r="C25" s="16"/>
      <c r="D25" s="17">
        <f t="shared" si="0"/>
        <v>690</v>
      </c>
      <c r="E25" s="17">
        <f ca="1" t="shared" si="1"/>
        <v>690</v>
      </c>
    </row>
    <row r="26" spans="2:5">
      <c r="B26" s="16">
        <v>24</v>
      </c>
      <c r="C26" s="16"/>
      <c r="D26" s="17">
        <f t="shared" si="0"/>
        <v>720</v>
      </c>
      <c r="E26" s="17">
        <f ca="1" t="shared" si="1"/>
        <v>720</v>
      </c>
    </row>
    <row r="27" spans="2:5">
      <c r="B27" s="16">
        <v>25</v>
      </c>
      <c r="C27" s="16"/>
      <c r="D27" s="17">
        <f t="shared" si="0"/>
        <v>750</v>
      </c>
      <c r="E27" s="17">
        <f ca="1" t="shared" si="1"/>
        <v>750</v>
      </c>
    </row>
    <row r="28" spans="2:5">
      <c r="B28" s="16">
        <v>26</v>
      </c>
      <c r="C28" s="16"/>
      <c r="D28" s="17">
        <f t="shared" si="0"/>
        <v>780</v>
      </c>
      <c r="E28" s="17">
        <f ca="1" t="shared" si="1"/>
        <v>780</v>
      </c>
    </row>
    <row r="29" spans="2:5">
      <c r="B29" s="16">
        <v>27</v>
      </c>
      <c r="C29" s="16">
        <v>7</v>
      </c>
      <c r="D29" s="19">
        <f t="shared" si="0"/>
        <v>810</v>
      </c>
      <c r="E29" s="17">
        <f ca="1" t="shared" si="1"/>
        <v>810</v>
      </c>
    </row>
    <row r="30" spans="2:5">
      <c r="B30" s="16">
        <v>28</v>
      </c>
      <c r="C30" s="16"/>
      <c r="D30" s="17">
        <f t="shared" si="0"/>
        <v>840</v>
      </c>
      <c r="E30" s="17">
        <f ca="1" t="shared" si="1"/>
        <v>840</v>
      </c>
    </row>
    <row r="31" spans="2:5">
      <c r="B31" s="16">
        <v>29</v>
      </c>
      <c r="C31" s="16"/>
      <c r="D31" s="17">
        <f t="shared" si="0"/>
        <v>870</v>
      </c>
      <c r="E31" s="17">
        <f ca="1" t="shared" si="1"/>
        <v>870</v>
      </c>
    </row>
    <row r="32" spans="2:5">
      <c r="B32" s="16">
        <v>30</v>
      </c>
      <c r="C32" s="16"/>
      <c r="D32" s="17">
        <f t="shared" si="0"/>
        <v>900</v>
      </c>
      <c r="E32" s="17">
        <f ca="1" t="shared" si="1"/>
        <v>900</v>
      </c>
    </row>
    <row r="33" spans="2:5">
      <c r="B33" s="16">
        <v>31</v>
      </c>
      <c r="C33" s="16"/>
      <c r="D33" s="17">
        <f t="shared" si="0"/>
        <v>930</v>
      </c>
      <c r="E33" s="17">
        <f ca="1" t="shared" si="1"/>
        <v>930</v>
      </c>
    </row>
    <row r="34" spans="2:5">
      <c r="B34" s="16">
        <v>32</v>
      </c>
      <c r="C34" s="16"/>
      <c r="D34" s="17">
        <f t="shared" si="0"/>
        <v>960</v>
      </c>
      <c r="E34" s="17">
        <f ca="1" t="shared" si="1"/>
        <v>960</v>
      </c>
    </row>
    <row r="35" spans="2:5">
      <c r="B35" s="16">
        <v>33</v>
      </c>
      <c r="C35" s="16"/>
      <c r="D35" s="17">
        <f t="shared" si="0"/>
        <v>990</v>
      </c>
      <c r="E35" s="17">
        <f ca="1" t="shared" si="1"/>
        <v>990</v>
      </c>
    </row>
    <row r="36" spans="2:5">
      <c r="B36" s="16">
        <v>34</v>
      </c>
      <c r="C36" s="16"/>
      <c r="D36" s="17">
        <f t="shared" si="0"/>
        <v>1020</v>
      </c>
      <c r="E36" s="17">
        <f ca="1" t="shared" si="1"/>
        <v>1020</v>
      </c>
    </row>
    <row r="37" spans="2:5">
      <c r="B37" s="16">
        <v>35</v>
      </c>
      <c r="C37" s="16"/>
      <c r="D37" s="17">
        <f t="shared" si="0"/>
        <v>1050</v>
      </c>
      <c r="E37" s="17">
        <f ca="1" t="shared" si="1"/>
        <v>1050</v>
      </c>
    </row>
    <row r="38" spans="2:5">
      <c r="B38" s="16">
        <v>36</v>
      </c>
      <c r="C38" s="16">
        <v>8</v>
      </c>
      <c r="D38" s="19">
        <f t="shared" si="0"/>
        <v>1080</v>
      </c>
      <c r="E38" s="17">
        <f ca="1" t="shared" si="1"/>
        <v>1080</v>
      </c>
    </row>
    <row r="39" spans="2:5">
      <c r="B39" s="16">
        <v>37</v>
      </c>
      <c r="C39" s="16"/>
      <c r="D39" s="17">
        <f t="shared" si="0"/>
        <v>1110</v>
      </c>
      <c r="E39" s="17">
        <f ca="1" t="shared" si="1"/>
        <v>1110</v>
      </c>
    </row>
    <row r="40" spans="2:5">
      <c r="B40" s="16">
        <v>38</v>
      </c>
      <c r="C40" s="16"/>
      <c r="D40" s="17">
        <f t="shared" si="0"/>
        <v>1140</v>
      </c>
      <c r="E40" s="17">
        <f ca="1" t="shared" si="1"/>
        <v>1140</v>
      </c>
    </row>
    <row r="41" spans="2:5">
      <c r="B41" s="16">
        <v>39</v>
      </c>
      <c r="C41" s="16"/>
      <c r="D41" s="17">
        <f t="shared" si="0"/>
        <v>1170</v>
      </c>
      <c r="E41" s="17">
        <f ca="1" t="shared" si="1"/>
        <v>1170</v>
      </c>
    </row>
    <row r="42" spans="2:5">
      <c r="B42" s="16">
        <v>40</v>
      </c>
      <c r="C42" s="16"/>
      <c r="D42" s="17">
        <f t="shared" si="0"/>
        <v>1200</v>
      </c>
      <c r="E42" s="17">
        <f ca="1" t="shared" si="1"/>
        <v>1200</v>
      </c>
    </row>
    <row r="43" spans="2:5">
      <c r="B43" s="16">
        <v>41</v>
      </c>
      <c r="C43" s="16"/>
      <c r="D43" s="17">
        <f t="shared" si="0"/>
        <v>1230</v>
      </c>
      <c r="E43" s="17">
        <f ca="1" t="shared" si="1"/>
        <v>1230</v>
      </c>
    </row>
    <row r="44" spans="2:5">
      <c r="B44" s="16">
        <v>42</v>
      </c>
      <c r="C44" s="16"/>
      <c r="D44" s="17">
        <f t="shared" si="0"/>
        <v>1260</v>
      </c>
      <c r="E44" s="17">
        <f ca="1" t="shared" si="1"/>
        <v>1260</v>
      </c>
    </row>
    <row r="45" spans="2:5">
      <c r="B45" s="16">
        <v>43</v>
      </c>
      <c r="C45" s="16"/>
      <c r="D45" s="17">
        <f t="shared" si="0"/>
        <v>1290</v>
      </c>
      <c r="E45" s="17">
        <f ca="1" t="shared" si="1"/>
        <v>1290</v>
      </c>
    </row>
    <row r="46" spans="2:5">
      <c r="B46" s="16">
        <v>44</v>
      </c>
      <c r="C46" s="16"/>
      <c r="D46" s="17">
        <f t="shared" si="0"/>
        <v>1320</v>
      </c>
      <c r="E46" s="17">
        <f ca="1" t="shared" si="1"/>
        <v>1320</v>
      </c>
    </row>
    <row r="47" spans="2:5">
      <c r="B47" s="16">
        <v>45</v>
      </c>
      <c r="C47" s="16"/>
      <c r="D47" s="17">
        <f t="shared" si="0"/>
        <v>1350</v>
      </c>
      <c r="E47" s="17">
        <f ca="1" t="shared" si="1"/>
        <v>1350</v>
      </c>
    </row>
    <row r="48" spans="2:5">
      <c r="B48" s="16">
        <v>46</v>
      </c>
      <c r="C48" s="16"/>
      <c r="D48" s="17">
        <f t="shared" si="0"/>
        <v>1380</v>
      </c>
      <c r="E48" s="17">
        <f ca="1" t="shared" si="1"/>
        <v>1380</v>
      </c>
    </row>
    <row r="49" spans="2:5">
      <c r="B49" s="16">
        <v>47</v>
      </c>
      <c r="C49" s="16"/>
      <c r="D49" s="17">
        <f t="shared" si="0"/>
        <v>1410</v>
      </c>
      <c r="E49" s="17">
        <f ca="1" t="shared" si="1"/>
        <v>1410</v>
      </c>
    </row>
    <row r="50" spans="2:5">
      <c r="B50" s="16">
        <v>48</v>
      </c>
      <c r="C50" s="16"/>
      <c r="D50" s="17">
        <f t="shared" si="0"/>
        <v>1440</v>
      </c>
      <c r="E50" s="17">
        <f ca="1" t="shared" si="1"/>
        <v>1440</v>
      </c>
    </row>
    <row r="51" spans="2:5">
      <c r="B51" s="16">
        <v>49</v>
      </c>
      <c r="C51" s="16"/>
      <c r="D51" s="17">
        <f t="shared" si="0"/>
        <v>1470</v>
      </c>
      <c r="E51" s="17">
        <f ca="1" t="shared" si="1"/>
        <v>1470</v>
      </c>
    </row>
    <row r="52" spans="2:5">
      <c r="B52" s="16">
        <v>50</v>
      </c>
      <c r="C52" s="16"/>
      <c r="D52" s="17">
        <f t="shared" si="0"/>
        <v>1500</v>
      </c>
      <c r="E52" s="17">
        <f ca="1" t="shared" si="1"/>
        <v>1500</v>
      </c>
    </row>
    <row r="53" spans="2:5">
      <c r="B53" s="16">
        <v>51</v>
      </c>
      <c r="C53" s="16"/>
      <c r="D53" s="17">
        <f t="shared" si="0"/>
        <v>1530</v>
      </c>
      <c r="E53" s="17">
        <f ca="1" t="shared" si="1"/>
        <v>1530</v>
      </c>
    </row>
    <row r="54" spans="2:5">
      <c r="B54" s="16">
        <v>52</v>
      </c>
      <c r="C54" s="16"/>
      <c r="D54" s="17">
        <f t="shared" si="0"/>
        <v>1560</v>
      </c>
      <c r="E54" s="17">
        <f ca="1" t="shared" si="1"/>
        <v>1560</v>
      </c>
    </row>
    <row r="55" spans="2:5">
      <c r="B55" s="16">
        <v>53</v>
      </c>
      <c r="C55" s="16"/>
      <c r="D55" s="17">
        <f t="shared" si="0"/>
        <v>1590</v>
      </c>
      <c r="E55" s="17">
        <f ca="1" t="shared" si="1"/>
        <v>1590</v>
      </c>
    </row>
    <row r="56" spans="2:5">
      <c r="B56" s="16">
        <v>54</v>
      </c>
      <c r="C56" s="16"/>
      <c r="D56" s="17">
        <f t="shared" si="0"/>
        <v>1620</v>
      </c>
      <c r="E56" s="17">
        <f ca="1" t="shared" si="1"/>
        <v>1620</v>
      </c>
    </row>
    <row r="57" spans="2:5">
      <c r="B57" s="16">
        <v>55</v>
      </c>
      <c r="C57" s="16"/>
      <c r="D57" s="17">
        <f t="shared" si="0"/>
        <v>1650</v>
      </c>
      <c r="E57" s="17">
        <f ca="1" t="shared" si="1"/>
        <v>1650</v>
      </c>
    </row>
    <row r="58" spans="2:5">
      <c r="B58" s="16">
        <v>56</v>
      </c>
      <c r="C58" s="16"/>
      <c r="D58" s="17">
        <f t="shared" si="0"/>
        <v>1680</v>
      </c>
      <c r="E58" s="17">
        <f ca="1" t="shared" si="1"/>
        <v>1680</v>
      </c>
    </row>
    <row r="59" spans="2:5">
      <c r="B59" s="16">
        <v>57</v>
      </c>
      <c r="C59" s="16"/>
      <c r="D59" s="17">
        <f t="shared" si="0"/>
        <v>1710</v>
      </c>
      <c r="E59" s="17">
        <f ca="1" t="shared" si="1"/>
        <v>1710</v>
      </c>
    </row>
    <row r="60" spans="2:5">
      <c r="B60" s="16">
        <v>58</v>
      </c>
      <c r="C60" s="16"/>
      <c r="D60" s="17">
        <f t="shared" si="0"/>
        <v>1740</v>
      </c>
      <c r="E60" s="17">
        <f ca="1" t="shared" si="1"/>
        <v>1740</v>
      </c>
    </row>
    <row r="61" spans="2:5">
      <c r="B61" s="16">
        <v>59</v>
      </c>
      <c r="C61" s="16"/>
      <c r="D61" s="17">
        <f t="shared" si="0"/>
        <v>1770</v>
      </c>
      <c r="E61" s="17">
        <f ca="1" t="shared" si="1"/>
        <v>1770</v>
      </c>
    </row>
    <row r="62" spans="2:5">
      <c r="B62" s="16">
        <v>60</v>
      </c>
      <c r="C62" s="16"/>
      <c r="D62" s="17">
        <f t="shared" si="0"/>
        <v>1800</v>
      </c>
      <c r="E62" s="17">
        <f ca="1" t="shared" si="1"/>
        <v>1800</v>
      </c>
    </row>
    <row r="64" spans="1:5">
      <c r="A64" s="35" t="s">
        <v>72</v>
      </c>
      <c r="B64" s="35"/>
      <c r="C64" s="36"/>
      <c r="D64" s="36"/>
      <c r="E64" s="36"/>
    </row>
    <row r="65" spans="1:5">
      <c r="A65" s="35" t="s">
        <v>73</v>
      </c>
      <c r="B65" s="35"/>
      <c r="C65" s="36"/>
      <c r="D65" s="36"/>
      <c r="E65" s="36"/>
    </row>
    <row r="66" spans="1:5">
      <c r="A66" s="35" t="s">
        <v>74</v>
      </c>
      <c r="B66" s="35"/>
      <c r="C66" s="36"/>
      <c r="D66" s="36"/>
      <c r="E66" s="36"/>
    </row>
    <row r="67" spans="1:5">
      <c r="A67" s="35" t="s">
        <v>75</v>
      </c>
      <c r="B67" s="35"/>
      <c r="C67" s="36"/>
      <c r="D67" s="36"/>
      <c r="E67" s="36"/>
    </row>
    <row r="68" spans="1:5">
      <c r="A68" s="35" t="s">
        <v>76</v>
      </c>
      <c r="B68" s="35"/>
      <c r="C68" s="36"/>
      <c r="D68" s="36"/>
      <c r="E68" s="36"/>
    </row>
    <row r="69" spans="1:5">
      <c r="A69" s="35" t="s">
        <v>77</v>
      </c>
      <c r="B69" s="35">
        <v>-0.6</v>
      </c>
      <c r="C69" s="36"/>
      <c r="D69" s="36"/>
      <c r="E69" s="36"/>
    </row>
    <row r="70" spans="1:5">
      <c r="A70" s="35" t="s">
        <v>78</v>
      </c>
      <c r="B70" s="35">
        <v>0.8</v>
      </c>
      <c r="C70" s="36"/>
      <c r="D70" s="36"/>
      <c r="E70" s="36"/>
    </row>
    <row r="71" spans="1:5">
      <c r="A71" s="35" t="s">
        <v>79</v>
      </c>
      <c r="B71" s="35">
        <v>1</v>
      </c>
      <c r="C71" s="36"/>
      <c r="D71" s="36"/>
      <c r="E71" s="36"/>
    </row>
    <row r="72" spans="1:5">
      <c r="A72" s="35" t="s">
        <v>80</v>
      </c>
      <c r="B72" s="35" t="s">
        <v>81</v>
      </c>
      <c r="C72" s="36" t="s">
        <v>82</v>
      </c>
      <c r="D72" s="36"/>
      <c r="E72" s="36"/>
    </row>
    <row r="73" spans="1:5">
      <c r="A73" s="35">
        <v>0.1</v>
      </c>
      <c r="B73" s="35">
        <f>$B$69*(A73*2)^+$B$70*(A73)+$B$71</f>
        <v>0.983443244062465</v>
      </c>
      <c r="C73" s="36"/>
      <c r="D73" s="36"/>
      <c r="E73" s="36"/>
    </row>
    <row r="74" spans="1:5">
      <c r="A74" s="35">
        <v>0.2</v>
      </c>
      <c r="B74" s="35">
        <f t="shared" ref="B74:B82" si="2">$B$69*(A74*2)^+$B$70*(A74)+$B$71</f>
        <v>0.942346027168891</v>
      </c>
      <c r="C74" s="36"/>
      <c r="D74" s="36"/>
      <c r="E74" s="36"/>
    </row>
    <row r="75" spans="1:5">
      <c r="A75" s="35">
        <v>0.3</v>
      </c>
      <c r="B75" s="35">
        <f t="shared" si="2"/>
        <v>0.880382834929185</v>
      </c>
      <c r="C75" s="36"/>
      <c r="D75" s="36"/>
      <c r="E75" s="36"/>
    </row>
    <row r="76" spans="1:5">
      <c r="A76" s="35">
        <v>0.4</v>
      </c>
      <c r="B76" s="35">
        <f t="shared" si="2"/>
        <v>0.799237205902475</v>
      </c>
      <c r="C76" s="36"/>
      <c r="D76" s="36"/>
      <c r="E76" s="36"/>
    </row>
    <row r="77" spans="1:5">
      <c r="A77" s="35">
        <v>0.5</v>
      </c>
      <c r="B77" s="35">
        <f t="shared" si="2"/>
        <v>0.7</v>
      </c>
      <c r="C77" s="36"/>
      <c r="D77" s="36"/>
      <c r="E77" s="36"/>
    </row>
    <row r="78" spans="1:5">
      <c r="A78" s="35">
        <v>0.6</v>
      </c>
      <c r="B78" s="35">
        <f t="shared" si="2"/>
        <v>0.583468838270865</v>
      </c>
      <c r="C78" s="36"/>
      <c r="D78" s="36"/>
      <c r="E78" s="36"/>
    </row>
    <row r="79" spans="1:5">
      <c r="A79" s="35">
        <v>0.7</v>
      </c>
      <c r="B79" s="35">
        <f t="shared" si="2"/>
        <v>0.450267112824699</v>
      </c>
      <c r="C79" s="36"/>
      <c r="D79" s="36"/>
      <c r="E79" s="36"/>
    </row>
    <row r="80" spans="1:5">
      <c r="A80" s="35">
        <v>0.8</v>
      </c>
      <c r="B80" s="35">
        <f t="shared" si="2"/>
        <v>0.300903346037985</v>
      </c>
      <c r="C80" s="36"/>
      <c r="D80" s="36"/>
      <c r="E80" s="36"/>
    </row>
    <row r="81" spans="1:5">
      <c r="A81" s="35">
        <v>0.9</v>
      </c>
      <c r="B81" s="35">
        <f t="shared" si="2"/>
        <v>0.135804970879501</v>
      </c>
      <c r="C81" s="36"/>
      <c r="D81" s="36"/>
      <c r="E81" s="36"/>
    </row>
    <row r="82" spans="1:5">
      <c r="A82" s="35">
        <v>1</v>
      </c>
      <c r="B82" s="35">
        <f t="shared" si="2"/>
        <v>-0.0446606759553489</v>
      </c>
      <c r="C82" s="36"/>
      <c r="D82" s="36"/>
      <c r="E82" s="36"/>
    </row>
    <row r="83" spans="1:2">
      <c r="A83" s="1"/>
      <c r="B83" s="1"/>
    </row>
    <row r="84" spans="1:2">
      <c r="A84" s="1"/>
      <c r="B84" s="1"/>
    </row>
    <row r="85" spans="1:2">
      <c r="A85" s="1" t="s">
        <v>83</v>
      </c>
      <c r="B85" s="1"/>
    </row>
    <row r="86" spans="1:2">
      <c r="A86" s="1"/>
      <c r="B86" s="1"/>
    </row>
    <row r="87" spans="1:3">
      <c r="A87" s="1" t="s">
        <v>77</v>
      </c>
      <c r="B87" s="1">
        <v>-0.98</v>
      </c>
      <c r="C87" s="1"/>
    </row>
    <row r="88" spans="1:3">
      <c r="A88" s="1" t="s">
        <v>78</v>
      </c>
      <c r="B88" s="1">
        <v>20</v>
      </c>
      <c r="C88" s="1"/>
    </row>
    <row r="89" spans="1:3">
      <c r="A89" s="1" t="s">
        <v>79</v>
      </c>
      <c r="B89" s="1">
        <v>-19</v>
      </c>
      <c r="C89" s="1"/>
    </row>
    <row r="90" spans="1:4">
      <c r="A90" s="35" t="s">
        <v>84</v>
      </c>
      <c r="B90" s="35" t="s">
        <v>85</v>
      </c>
      <c r="C90" s="5" t="s">
        <v>86</v>
      </c>
      <c r="D90" s="5" t="s">
        <v>87</v>
      </c>
    </row>
    <row r="91" spans="1:4">
      <c r="A91" s="35">
        <v>5</v>
      </c>
      <c r="B91" s="37">
        <f>ROUND(($B$87*(A91/5)^2+$B$88*(A91/5)+$B$89)/100,2)</f>
        <v>0</v>
      </c>
      <c r="C91" s="5">
        <v>5</v>
      </c>
      <c r="D91" s="38">
        <f t="shared" ref="D91:D109" si="3">ROUND(($B$87*(C91/5)^2+$B$88*(C91/5)+$B$89)/100,2)</f>
        <v>0</v>
      </c>
    </row>
    <row r="92" spans="1:4">
      <c r="A92" s="35">
        <v>7</v>
      </c>
      <c r="B92" s="37">
        <f t="shared" ref="B92:B136" si="4">ROUND(($B$87*(A92/5)^2+$B$88*(A92/5)+$B$89)/100,2)</f>
        <v>0.07</v>
      </c>
      <c r="C92" s="5">
        <v>10</v>
      </c>
      <c r="D92" s="38">
        <f t="shared" si="3"/>
        <v>0.17</v>
      </c>
    </row>
    <row r="93" spans="1:4">
      <c r="A93" s="35">
        <v>9</v>
      </c>
      <c r="B93" s="37">
        <f t="shared" si="4"/>
        <v>0.14</v>
      </c>
      <c r="C93" s="5">
        <v>15</v>
      </c>
      <c r="D93" s="38">
        <f t="shared" si="3"/>
        <v>0.32</v>
      </c>
    </row>
    <row r="94" spans="1:4">
      <c r="A94" s="35">
        <v>11</v>
      </c>
      <c r="B94" s="37">
        <f t="shared" si="4"/>
        <v>0.2</v>
      </c>
      <c r="C94" s="5">
        <v>20</v>
      </c>
      <c r="D94" s="38">
        <f t="shared" si="3"/>
        <v>0.45</v>
      </c>
    </row>
    <row r="95" spans="1:4">
      <c r="A95" s="35">
        <v>13</v>
      </c>
      <c r="B95" s="37">
        <f t="shared" si="4"/>
        <v>0.26</v>
      </c>
      <c r="C95" s="5">
        <v>25</v>
      </c>
      <c r="D95" s="38">
        <f t="shared" si="3"/>
        <v>0.57</v>
      </c>
    </row>
    <row r="96" spans="1:4">
      <c r="A96" s="35">
        <v>15</v>
      </c>
      <c r="B96" s="37">
        <f t="shared" si="4"/>
        <v>0.32</v>
      </c>
      <c r="C96" s="5">
        <v>30</v>
      </c>
      <c r="D96" s="38">
        <f t="shared" si="3"/>
        <v>0.66</v>
      </c>
    </row>
    <row r="97" spans="1:4">
      <c r="A97" s="35">
        <v>17</v>
      </c>
      <c r="B97" s="37">
        <f t="shared" si="4"/>
        <v>0.38</v>
      </c>
      <c r="C97" s="5">
        <v>35</v>
      </c>
      <c r="D97" s="38">
        <f t="shared" si="3"/>
        <v>0.73</v>
      </c>
    </row>
    <row r="98" spans="1:4">
      <c r="A98" s="35">
        <v>19</v>
      </c>
      <c r="B98" s="37">
        <f t="shared" si="4"/>
        <v>0.43</v>
      </c>
      <c r="C98" s="5">
        <v>40</v>
      </c>
      <c r="D98" s="38">
        <f t="shared" si="3"/>
        <v>0.78</v>
      </c>
    </row>
    <row r="99" spans="1:4">
      <c r="A99" s="35">
        <v>21</v>
      </c>
      <c r="B99" s="37">
        <f t="shared" si="4"/>
        <v>0.48</v>
      </c>
      <c r="C99" s="5">
        <v>45</v>
      </c>
      <c r="D99" s="38">
        <f t="shared" si="3"/>
        <v>0.82</v>
      </c>
    </row>
    <row r="100" spans="1:4">
      <c r="A100" s="35">
        <v>23</v>
      </c>
      <c r="B100" s="37">
        <f t="shared" si="4"/>
        <v>0.52</v>
      </c>
      <c r="C100" s="5">
        <v>50</v>
      </c>
      <c r="D100" s="38">
        <f t="shared" si="3"/>
        <v>0.83</v>
      </c>
    </row>
    <row r="101" spans="1:4">
      <c r="A101" s="35">
        <v>25</v>
      </c>
      <c r="B101" s="37">
        <f t="shared" si="4"/>
        <v>0.57</v>
      </c>
      <c r="C101" s="5">
        <v>55</v>
      </c>
      <c r="D101" s="38">
        <f t="shared" si="3"/>
        <v>0.82</v>
      </c>
    </row>
    <row r="102" spans="1:4">
      <c r="A102" s="35">
        <v>27</v>
      </c>
      <c r="B102" s="37">
        <f t="shared" si="4"/>
        <v>0.6</v>
      </c>
      <c r="C102" s="5">
        <v>60</v>
      </c>
      <c r="D102" s="38">
        <f t="shared" si="3"/>
        <v>0.8</v>
      </c>
    </row>
    <row r="103" spans="1:4">
      <c r="A103" s="35">
        <v>29</v>
      </c>
      <c r="B103" s="37">
        <f t="shared" si="4"/>
        <v>0.64</v>
      </c>
      <c r="C103" s="5">
        <v>65</v>
      </c>
      <c r="D103" s="38">
        <f t="shared" si="3"/>
        <v>0.75</v>
      </c>
    </row>
    <row r="104" spans="1:4">
      <c r="A104" s="35">
        <v>31</v>
      </c>
      <c r="B104" s="37">
        <f t="shared" si="4"/>
        <v>0.67</v>
      </c>
      <c r="C104" s="5">
        <v>70</v>
      </c>
      <c r="D104" s="38">
        <f t="shared" si="3"/>
        <v>0.69</v>
      </c>
    </row>
    <row r="105" spans="1:4">
      <c r="A105" s="35">
        <v>33</v>
      </c>
      <c r="B105" s="37">
        <f t="shared" si="4"/>
        <v>0.7</v>
      </c>
      <c r="C105" s="5">
        <v>75</v>
      </c>
      <c r="D105" s="38">
        <f t="shared" si="3"/>
        <v>0.61</v>
      </c>
    </row>
    <row r="106" spans="1:4">
      <c r="A106" s="35">
        <v>35</v>
      </c>
      <c r="B106" s="37">
        <f t="shared" si="4"/>
        <v>0.73</v>
      </c>
      <c r="C106" s="5">
        <v>80</v>
      </c>
      <c r="D106" s="38">
        <f t="shared" si="3"/>
        <v>0.5</v>
      </c>
    </row>
    <row r="107" spans="1:4">
      <c r="A107" s="35">
        <v>37</v>
      </c>
      <c r="B107" s="37">
        <f t="shared" si="4"/>
        <v>0.75</v>
      </c>
      <c r="C107" s="5">
        <v>85</v>
      </c>
      <c r="D107" s="38">
        <f t="shared" si="3"/>
        <v>0.38</v>
      </c>
    </row>
    <row r="108" spans="1:4">
      <c r="A108" s="35">
        <v>39</v>
      </c>
      <c r="B108" s="37">
        <f t="shared" si="4"/>
        <v>0.77</v>
      </c>
      <c r="C108" s="5">
        <v>90</v>
      </c>
      <c r="D108" s="38">
        <f t="shared" si="3"/>
        <v>0.23</v>
      </c>
    </row>
    <row r="109" spans="1:4">
      <c r="A109" s="35">
        <v>41</v>
      </c>
      <c r="B109" s="37">
        <f t="shared" si="4"/>
        <v>0.79</v>
      </c>
      <c r="C109" s="5">
        <v>95</v>
      </c>
      <c r="D109" s="38">
        <f t="shared" si="3"/>
        <v>0.07</v>
      </c>
    </row>
    <row r="110" spans="1:4">
      <c r="A110" s="35">
        <v>43</v>
      </c>
      <c r="B110" s="37">
        <f t="shared" si="4"/>
        <v>0.81</v>
      </c>
      <c r="C110" s="1"/>
      <c r="D110" s="6"/>
    </row>
    <row r="111" spans="1:4">
      <c r="A111" s="35">
        <v>45</v>
      </c>
      <c r="B111" s="37">
        <f t="shared" si="4"/>
        <v>0.82</v>
      </c>
      <c r="C111" s="1"/>
      <c r="D111" s="6"/>
    </row>
    <row r="112" spans="1:4">
      <c r="A112" s="35">
        <v>47</v>
      </c>
      <c r="B112" s="37">
        <f t="shared" si="4"/>
        <v>0.82</v>
      </c>
      <c r="C112" s="1"/>
      <c r="D112" s="6"/>
    </row>
    <row r="113" spans="1:4">
      <c r="A113" s="35">
        <v>49</v>
      </c>
      <c r="B113" s="37">
        <f t="shared" si="4"/>
        <v>0.83</v>
      </c>
      <c r="C113" s="1"/>
      <c r="D113" s="6"/>
    </row>
    <row r="114" spans="1:4">
      <c r="A114" s="35">
        <v>51</v>
      </c>
      <c r="B114" s="37">
        <f t="shared" si="4"/>
        <v>0.83</v>
      </c>
      <c r="C114" s="1"/>
      <c r="D114" s="6"/>
    </row>
    <row r="115" spans="1:4">
      <c r="A115" s="35">
        <v>53</v>
      </c>
      <c r="B115" s="37">
        <f t="shared" si="4"/>
        <v>0.83</v>
      </c>
      <c r="C115" s="1" t="s">
        <v>88</v>
      </c>
      <c r="D115" s="6"/>
    </row>
    <row r="116" spans="1:4">
      <c r="A116" s="35">
        <v>55</v>
      </c>
      <c r="B116" s="37">
        <f t="shared" si="4"/>
        <v>0.82</v>
      </c>
      <c r="C116" t="s">
        <v>89</v>
      </c>
      <c r="D116" s="1" t="s">
        <v>90</v>
      </c>
    </row>
    <row r="117" spans="1:4">
      <c r="A117" s="35">
        <v>57</v>
      </c>
      <c r="B117" s="37">
        <f t="shared" si="4"/>
        <v>0.82</v>
      </c>
      <c r="C117" s="8" t="s">
        <v>91</v>
      </c>
      <c r="D117" s="6"/>
    </row>
    <row r="118" spans="1:4">
      <c r="A118" s="35">
        <v>59</v>
      </c>
      <c r="B118" s="37">
        <f t="shared" si="4"/>
        <v>0.81</v>
      </c>
      <c r="C118" s="1" t="s">
        <v>92</v>
      </c>
      <c r="D118" s="6"/>
    </row>
    <row r="119" spans="1:4">
      <c r="A119" s="35">
        <v>61</v>
      </c>
      <c r="B119" s="37">
        <f t="shared" si="4"/>
        <v>0.79</v>
      </c>
      <c r="C119" s="1"/>
      <c r="D119" s="6"/>
    </row>
    <row r="120" spans="1:4">
      <c r="A120" s="35">
        <v>63</v>
      </c>
      <c r="B120" s="37">
        <f t="shared" si="4"/>
        <v>0.77</v>
      </c>
      <c r="C120" s="1" t="s">
        <v>93</v>
      </c>
      <c r="D120" s="6"/>
    </row>
    <row r="121" spans="1:4">
      <c r="A121" s="35">
        <v>65</v>
      </c>
      <c r="B121" s="37">
        <f t="shared" si="4"/>
        <v>0.75</v>
      </c>
      <c r="C121" s="1" t="s">
        <v>94</v>
      </c>
      <c r="D121" s="6"/>
    </row>
    <row r="122" spans="1:6">
      <c r="A122" s="35">
        <v>67</v>
      </c>
      <c r="B122" s="37">
        <f t="shared" si="4"/>
        <v>0.73</v>
      </c>
      <c r="C122" s="1" t="s">
        <v>95</v>
      </c>
      <c r="D122" s="6"/>
      <c r="F122">
        <f>10000/8</f>
        <v>1250</v>
      </c>
    </row>
    <row r="123" spans="1:5">
      <c r="A123" s="35">
        <v>69</v>
      </c>
      <c r="B123" s="37">
        <f t="shared" si="4"/>
        <v>0.7</v>
      </c>
      <c r="C123" s="1" t="s">
        <v>96</v>
      </c>
      <c r="E123">
        <f>F122/50</f>
        <v>25</v>
      </c>
    </row>
    <row r="124" spans="1:4">
      <c r="A124" s="35">
        <v>71</v>
      </c>
      <c r="B124" s="37">
        <f t="shared" si="4"/>
        <v>0.67</v>
      </c>
      <c r="C124" s="1"/>
      <c r="D124" s="6"/>
    </row>
    <row r="125" spans="1:6">
      <c r="A125" s="35">
        <v>73</v>
      </c>
      <c r="B125" s="37">
        <f t="shared" si="4"/>
        <v>0.64</v>
      </c>
      <c r="C125" s="1" t="s">
        <v>97</v>
      </c>
      <c r="D125" s="6"/>
      <c r="F125">
        <f>50000/8</f>
        <v>6250</v>
      </c>
    </row>
    <row r="126" spans="1:5">
      <c r="A126" s="35">
        <v>75</v>
      </c>
      <c r="B126" s="37">
        <f t="shared" si="4"/>
        <v>0.61</v>
      </c>
      <c r="C126" s="1" t="s">
        <v>98</v>
      </c>
      <c r="D126" s="6"/>
      <c r="E126">
        <f>6250/50</f>
        <v>125</v>
      </c>
    </row>
    <row r="127" spans="1:4">
      <c r="A127" s="35">
        <v>77</v>
      </c>
      <c r="B127" s="37">
        <f t="shared" si="4"/>
        <v>0.57</v>
      </c>
      <c r="C127" s="1"/>
      <c r="D127" s="6"/>
    </row>
    <row r="128" spans="1:4">
      <c r="A128" s="35">
        <v>79</v>
      </c>
      <c r="B128" s="37">
        <f t="shared" si="4"/>
        <v>0.52</v>
      </c>
      <c r="C128" s="1"/>
      <c r="D128" s="6"/>
    </row>
    <row r="129" spans="1:4">
      <c r="A129" s="35">
        <v>81</v>
      </c>
      <c r="B129" s="37">
        <f t="shared" si="4"/>
        <v>0.48</v>
      </c>
      <c r="C129" s="1"/>
      <c r="D129" s="6"/>
    </row>
    <row r="130" spans="1:4">
      <c r="A130" s="35">
        <v>83</v>
      </c>
      <c r="B130" s="37">
        <f t="shared" si="4"/>
        <v>0.43</v>
      </c>
      <c r="C130" s="1"/>
      <c r="D130" s="6"/>
    </row>
    <row r="131" spans="1:4">
      <c r="A131" s="35">
        <v>85</v>
      </c>
      <c r="B131" s="37">
        <f t="shared" si="4"/>
        <v>0.38</v>
      </c>
      <c r="C131" s="1"/>
      <c r="D131" s="6"/>
    </row>
    <row r="132" spans="1:4">
      <c r="A132" s="35">
        <v>87</v>
      </c>
      <c r="B132" s="37">
        <f t="shared" si="4"/>
        <v>0.32</v>
      </c>
      <c r="C132" s="1"/>
      <c r="D132" s="6"/>
    </row>
    <row r="133" spans="1:4">
      <c r="A133" s="35">
        <v>89</v>
      </c>
      <c r="B133" s="37">
        <f t="shared" si="4"/>
        <v>0.26</v>
      </c>
      <c r="C133" s="1"/>
      <c r="D133" s="6"/>
    </row>
    <row r="134" spans="1:4">
      <c r="A134" s="35">
        <v>91</v>
      </c>
      <c r="B134" s="37">
        <f t="shared" si="4"/>
        <v>0.2</v>
      </c>
      <c r="C134" s="1"/>
      <c r="D134" s="6"/>
    </row>
    <row r="135" spans="1:4">
      <c r="A135" s="35">
        <v>93</v>
      </c>
      <c r="B135" s="37">
        <f t="shared" si="4"/>
        <v>0.14</v>
      </c>
      <c r="C135" s="1"/>
      <c r="D135" s="6"/>
    </row>
    <row r="136" spans="1:4">
      <c r="A136" s="35">
        <v>95</v>
      </c>
      <c r="B136" s="37">
        <f t="shared" si="4"/>
        <v>0.07</v>
      </c>
      <c r="C136" s="1"/>
      <c r="D136" s="6"/>
    </row>
  </sheetData>
  <mergeCells count="7">
    <mergeCell ref="C4:C6"/>
    <mergeCell ref="C7:C10"/>
    <mergeCell ref="C11:C15"/>
    <mergeCell ref="C16:C21"/>
    <mergeCell ref="C22:C28"/>
    <mergeCell ref="C29:C37"/>
    <mergeCell ref="C38:C62"/>
  </mergeCell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3"/>
  <sheetViews>
    <sheetView topLeftCell="A25" workbookViewId="0">
      <selection activeCell="E65" sqref="E65:F73"/>
    </sheetView>
  </sheetViews>
  <sheetFormatPr defaultColWidth="9" defaultRowHeight="13.5"/>
  <cols>
    <col min="1" max="1" width="15.25" customWidth="1"/>
    <col min="2" max="2" width="12.625"/>
    <col min="3" max="3" width="10.75" customWidth="1"/>
    <col min="4" max="4" width="9.5" customWidth="1"/>
    <col min="6" max="6" width="11.5" customWidth="1"/>
    <col min="7" max="7" width="13" customWidth="1"/>
    <col min="8" max="8" width="12.5" customWidth="1"/>
    <col min="9" max="9" width="12.625"/>
    <col min="10" max="10" width="15.375" customWidth="1"/>
    <col min="11" max="11" width="18.25" customWidth="1"/>
    <col min="12" max="12" width="28.125" customWidth="1"/>
    <col min="13" max="13" width="22.625" customWidth="1"/>
    <col min="14" max="14" width="25" customWidth="1"/>
    <col min="15" max="15" width="22.625" customWidth="1"/>
  </cols>
  <sheetData>
    <row r="1" spans="1:1">
      <c r="A1" s="8" t="s">
        <v>99</v>
      </c>
    </row>
    <row r="2" spans="1:1">
      <c r="A2" t="s">
        <v>100</v>
      </c>
    </row>
    <row r="3" spans="2:2">
      <c r="B3" t="s">
        <v>101</v>
      </c>
    </row>
    <row r="4" spans="2:2">
      <c r="B4" s="9" t="s">
        <v>102</v>
      </c>
    </row>
    <row r="5" spans="1:1">
      <c r="A5" t="s">
        <v>103</v>
      </c>
    </row>
    <row r="6" spans="1:2">
      <c r="A6" s="10" t="s">
        <v>104</v>
      </c>
      <c r="B6" s="11">
        <f>ROUND(100000/30/60,0)</f>
        <v>56</v>
      </c>
    </row>
    <row r="7" spans="1:1">
      <c r="A7" t="s">
        <v>105</v>
      </c>
    </row>
    <row r="8" spans="1:2">
      <c r="A8" s="12" t="s">
        <v>106</v>
      </c>
      <c r="B8" s="10">
        <v>0.2</v>
      </c>
    </row>
    <row r="9" spans="1:1">
      <c r="A9" t="s">
        <v>107</v>
      </c>
    </row>
    <row r="10" spans="2:2">
      <c r="B10" s="10">
        <f>100000*B8</f>
        <v>20000</v>
      </c>
    </row>
    <row r="11" spans="1:1">
      <c r="A11" t="s">
        <v>108</v>
      </c>
    </row>
    <row r="12" spans="2:2">
      <c r="B12" s="10">
        <f>1/B8</f>
        <v>5</v>
      </c>
    </row>
    <row r="15" spans="1:1">
      <c r="A15" s="8" t="s">
        <v>109</v>
      </c>
    </row>
    <row r="16" spans="1:1">
      <c r="A16" t="s">
        <v>110</v>
      </c>
    </row>
    <row r="17" spans="1:1">
      <c r="A17" t="s">
        <v>111</v>
      </c>
    </row>
    <row r="18" spans="1:1">
      <c r="A18" t="s">
        <v>112</v>
      </c>
    </row>
    <row r="20" spans="1:2">
      <c r="A20" t="s">
        <v>113</v>
      </c>
      <c r="B20">
        <f>56*30*60</f>
        <v>100800</v>
      </c>
    </row>
    <row r="21" spans="1:2">
      <c r="A21" t="s">
        <v>114</v>
      </c>
      <c r="B21">
        <f>56*5</f>
        <v>280</v>
      </c>
    </row>
    <row r="22" spans="1:1">
      <c r="A22" t="s">
        <v>115</v>
      </c>
    </row>
    <row r="23" spans="1:4">
      <c r="A23" t="s">
        <v>116</v>
      </c>
      <c r="B23">
        <f>56*8</f>
        <v>448</v>
      </c>
      <c r="C23" t="s">
        <v>117</v>
      </c>
      <c r="D23">
        <v>450</v>
      </c>
    </row>
    <row r="24" spans="1:1">
      <c r="A24" t="s">
        <v>118</v>
      </c>
    </row>
    <row r="25" spans="1:1">
      <c r="A25" t="s">
        <v>119</v>
      </c>
    </row>
    <row r="26" spans="1:2">
      <c r="A26" s="13" t="s">
        <v>120</v>
      </c>
      <c r="B26" s="13"/>
    </row>
    <row r="27" spans="1:2">
      <c r="A27" s="13" t="s">
        <v>121</v>
      </c>
      <c r="B27" s="13"/>
    </row>
    <row r="28" spans="1:2">
      <c r="A28" s="13" t="s">
        <v>122</v>
      </c>
      <c r="B28" s="13"/>
    </row>
    <row r="29" spans="1:2">
      <c r="A29" s="13" t="s">
        <v>123</v>
      </c>
      <c r="B29" s="13">
        <f>450*B8</f>
        <v>90</v>
      </c>
    </row>
    <row r="30" spans="1:3">
      <c r="A30" s="13" t="s">
        <v>124</v>
      </c>
      <c r="B30" s="13">
        <v>100</v>
      </c>
      <c r="C30" t="s">
        <v>125</v>
      </c>
    </row>
    <row r="31" spans="1:1">
      <c r="A31" t="s">
        <v>126</v>
      </c>
    </row>
    <row r="35" spans="8:9">
      <c r="H35" t="s">
        <v>5</v>
      </c>
      <c r="I35">
        <v>100</v>
      </c>
    </row>
    <row r="36" spans="4:10">
      <c r="D36" s="14"/>
      <c r="E36" s="14"/>
      <c r="F36" s="14"/>
      <c r="G36" s="14"/>
      <c r="H36" s="15" t="s">
        <v>6</v>
      </c>
      <c r="I36" s="15">
        <v>1</v>
      </c>
      <c r="J36" s="14"/>
    </row>
    <row r="37" spans="4:10">
      <c r="D37" s="14"/>
      <c r="E37" s="14"/>
      <c r="F37" s="14"/>
      <c r="G37" s="14"/>
      <c r="H37" s="15" t="s">
        <v>7</v>
      </c>
      <c r="I37" s="15">
        <v>1</v>
      </c>
      <c r="J37" s="14"/>
    </row>
    <row r="38" ht="27" spans="4:12">
      <c r="D38" s="16" t="s">
        <v>28</v>
      </c>
      <c r="E38" s="16" t="s">
        <v>71</v>
      </c>
      <c r="F38" s="17" t="s">
        <v>30</v>
      </c>
      <c r="G38" s="17" t="s">
        <v>31</v>
      </c>
      <c r="H38" s="18" t="s">
        <v>32</v>
      </c>
      <c r="I38" s="18" t="s">
        <v>33</v>
      </c>
      <c r="J38" s="14" t="s">
        <v>127</v>
      </c>
      <c r="K38" t="s">
        <v>128</v>
      </c>
      <c r="L38" s="20" t="s">
        <v>129</v>
      </c>
    </row>
    <row r="39" spans="4:10">
      <c r="D39" s="16">
        <v>1</v>
      </c>
      <c r="E39" s="16">
        <v>1</v>
      </c>
      <c r="F39" s="17">
        <f t="shared" ref="F39:F98" si="0">D39*30</f>
        <v>30</v>
      </c>
      <c r="G39" s="17">
        <f>$F39/60</f>
        <v>0.5</v>
      </c>
      <c r="H39" s="18">
        <f>$F39</f>
        <v>30</v>
      </c>
      <c r="I39" s="18">
        <f>100+F39/$I$37*$I$36</f>
        <v>130</v>
      </c>
      <c r="J39" s="14"/>
    </row>
    <row r="40" spans="4:10">
      <c r="D40" s="16">
        <v>2</v>
      </c>
      <c r="E40" s="16">
        <v>2</v>
      </c>
      <c r="F40" s="19">
        <f t="shared" si="0"/>
        <v>60</v>
      </c>
      <c r="G40" s="17">
        <f t="shared" ref="G40:G71" si="1">$F40/60</f>
        <v>1</v>
      </c>
      <c r="H40" s="18">
        <f t="shared" ref="H40:H71" si="2">$F40</f>
        <v>60</v>
      </c>
      <c r="I40" s="18">
        <f>100+F40/$I$37*$I$36</f>
        <v>160</v>
      </c>
      <c r="J40" s="14"/>
    </row>
    <row r="41" spans="4:10">
      <c r="D41" s="16">
        <v>3</v>
      </c>
      <c r="E41" s="16"/>
      <c r="F41" s="17">
        <f t="shared" si="0"/>
        <v>90</v>
      </c>
      <c r="G41" s="17">
        <f t="shared" si="1"/>
        <v>1.5</v>
      </c>
      <c r="H41" s="18">
        <f t="shared" si="2"/>
        <v>90</v>
      </c>
      <c r="I41" s="18">
        <f t="shared" ref="I41:I72" si="3">100+F41/$I$37*$I$36</f>
        <v>190</v>
      </c>
      <c r="J41" s="14"/>
    </row>
    <row r="42" spans="4:10">
      <c r="D42" s="16">
        <v>4</v>
      </c>
      <c r="E42" s="16"/>
      <c r="F42" s="17">
        <f t="shared" si="0"/>
        <v>120</v>
      </c>
      <c r="G42" s="17">
        <f t="shared" si="1"/>
        <v>2</v>
      </c>
      <c r="H42" s="18">
        <f t="shared" si="2"/>
        <v>120</v>
      </c>
      <c r="I42" s="18">
        <f t="shared" si="3"/>
        <v>220</v>
      </c>
      <c r="J42" s="14"/>
    </row>
    <row r="43" spans="4:10">
      <c r="D43" s="16">
        <v>5</v>
      </c>
      <c r="E43" s="16">
        <v>3</v>
      </c>
      <c r="F43" s="19">
        <f t="shared" si="0"/>
        <v>150</v>
      </c>
      <c r="G43" s="17">
        <f t="shared" si="1"/>
        <v>2.5</v>
      </c>
      <c r="H43" s="18">
        <f t="shared" si="2"/>
        <v>150</v>
      </c>
      <c r="I43" s="18">
        <f t="shared" si="3"/>
        <v>250</v>
      </c>
      <c r="J43" s="14"/>
    </row>
    <row r="44" spans="4:10">
      <c r="D44" s="16">
        <v>6</v>
      </c>
      <c r="E44" s="16"/>
      <c r="F44" s="17">
        <f t="shared" si="0"/>
        <v>180</v>
      </c>
      <c r="G44" s="17">
        <f t="shared" si="1"/>
        <v>3</v>
      </c>
      <c r="H44" s="18">
        <f t="shared" si="2"/>
        <v>180</v>
      </c>
      <c r="I44" s="18">
        <f t="shared" si="3"/>
        <v>280</v>
      </c>
      <c r="J44" s="14"/>
    </row>
    <row r="45" spans="4:10">
      <c r="D45" s="16">
        <v>7</v>
      </c>
      <c r="E45" s="16"/>
      <c r="F45" s="17">
        <f t="shared" si="0"/>
        <v>210</v>
      </c>
      <c r="G45" s="17">
        <f t="shared" si="1"/>
        <v>3.5</v>
      </c>
      <c r="H45" s="18">
        <f t="shared" si="2"/>
        <v>210</v>
      </c>
      <c r="I45" s="18">
        <f t="shared" si="3"/>
        <v>310</v>
      </c>
      <c r="J45" s="14"/>
    </row>
    <row r="46" spans="4:10">
      <c r="D46" s="16">
        <v>8</v>
      </c>
      <c r="E46" s="16"/>
      <c r="F46" s="17">
        <f t="shared" si="0"/>
        <v>240</v>
      </c>
      <c r="G46" s="17">
        <f t="shared" si="1"/>
        <v>4</v>
      </c>
      <c r="H46" s="18">
        <f t="shared" si="2"/>
        <v>240</v>
      </c>
      <c r="I46" s="18">
        <f t="shared" si="3"/>
        <v>340</v>
      </c>
      <c r="J46" s="14"/>
    </row>
    <row r="47" spans="4:10">
      <c r="D47" s="16">
        <v>9</v>
      </c>
      <c r="E47" s="16">
        <v>4</v>
      </c>
      <c r="F47" s="19">
        <f t="shared" si="0"/>
        <v>270</v>
      </c>
      <c r="G47" s="17">
        <f t="shared" si="1"/>
        <v>4.5</v>
      </c>
      <c r="H47" s="18">
        <f t="shared" si="2"/>
        <v>270</v>
      </c>
      <c r="I47" s="18">
        <f t="shared" si="3"/>
        <v>370</v>
      </c>
      <c r="J47" s="14"/>
    </row>
    <row r="48" spans="4:10">
      <c r="D48" s="16">
        <v>10</v>
      </c>
      <c r="E48" s="16"/>
      <c r="F48" s="17">
        <f t="shared" si="0"/>
        <v>300</v>
      </c>
      <c r="G48" s="17">
        <f t="shared" si="1"/>
        <v>5</v>
      </c>
      <c r="H48" s="18">
        <f t="shared" si="2"/>
        <v>300</v>
      </c>
      <c r="I48" s="18">
        <f t="shared" si="3"/>
        <v>400</v>
      </c>
      <c r="J48" s="14"/>
    </row>
    <row r="49" spans="4:10">
      <c r="D49" s="16">
        <v>11</v>
      </c>
      <c r="E49" s="16"/>
      <c r="F49" s="17">
        <f t="shared" si="0"/>
        <v>330</v>
      </c>
      <c r="G49" s="17">
        <f t="shared" si="1"/>
        <v>5.5</v>
      </c>
      <c r="H49" s="18">
        <f t="shared" si="2"/>
        <v>330</v>
      </c>
      <c r="I49" s="18">
        <f t="shared" si="3"/>
        <v>430</v>
      </c>
      <c r="J49" s="14"/>
    </row>
    <row r="50" spans="4:10">
      <c r="D50" s="16">
        <v>12</v>
      </c>
      <c r="E50" s="16"/>
      <c r="F50" s="17">
        <f t="shared" si="0"/>
        <v>360</v>
      </c>
      <c r="G50" s="17">
        <f t="shared" si="1"/>
        <v>6</v>
      </c>
      <c r="H50" s="18">
        <f t="shared" si="2"/>
        <v>360</v>
      </c>
      <c r="I50" s="18">
        <f t="shared" si="3"/>
        <v>460</v>
      </c>
      <c r="J50" s="14"/>
    </row>
    <row r="51" spans="4:10">
      <c r="D51" s="16">
        <v>13</v>
      </c>
      <c r="E51" s="16"/>
      <c r="F51" s="17">
        <f t="shared" si="0"/>
        <v>390</v>
      </c>
      <c r="G51" s="17">
        <f t="shared" si="1"/>
        <v>6.5</v>
      </c>
      <c r="H51" s="18">
        <f t="shared" si="2"/>
        <v>390</v>
      </c>
      <c r="I51" s="18">
        <f t="shared" si="3"/>
        <v>490</v>
      </c>
      <c r="J51" s="14"/>
    </row>
    <row r="52" spans="4:10">
      <c r="D52" s="16">
        <v>14</v>
      </c>
      <c r="E52" s="16">
        <v>5</v>
      </c>
      <c r="F52" s="19">
        <f t="shared" si="0"/>
        <v>420</v>
      </c>
      <c r="G52" s="17">
        <f t="shared" si="1"/>
        <v>7</v>
      </c>
      <c r="H52" s="18">
        <f t="shared" si="2"/>
        <v>420</v>
      </c>
      <c r="I52" s="18">
        <f t="shared" si="3"/>
        <v>520</v>
      </c>
      <c r="J52" s="14"/>
    </row>
    <row r="53" spans="4:10">
      <c r="D53" s="16">
        <v>15</v>
      </c>
      <c r="E53" s="16"/>
      <c r="F53" s="17">
        <f t="shared" si="0"/>
        <v>450</v>
      </c>
      <c r="G53" s="17">
        <f t="shared" si="1"/>
        <v>7.5</v>
      </c>
      <c r="H53" s="18">
        <f t="shared" si="2"/>
        <v>450</v>
      </c>
      <c r="I53" s="18">
        <f t="shared" si="3"/>
        <v>550</v>
      </c>
      <c r="J53" s="14"/>
    </row>
    <row r="54" spans="4:10">
      <c r="D54" s="16">
        <v>16</v>
      </c>
      <c r="E54" s="16"/>
      <c r="F54" s="17">
        <f t="shared" si="0"/>
        <v>480</v>
      </c>
      <c r="G54" s="17">
        <f t="shared" si="1"/>
        <v>8</v>
      </c>
      <c r="H54" s="18">
        <f t="shared" si="2"/>
        <v>480</v>
      </c>
      <c r="I54" s="18">
        <f t="shared" si="3"/>
        <v>580</v>
      </c>
      <c r="J54" s="14"/>
    </row>
    <row r="55" spans="4:10">
      <c r="D55" s="16">
        <v>17</v>
      </c>
      <c r="E55" s="16"/>
      <c r="F55" s="17">
        <f t="shared" si="0"/>
        <v>510</v>
      </c>
      <c r="G55" s="17">
        <f t="shared" si="1"/>
        <v>8.5</v>
      </c>
      <c r="H55" s="18">
        <f t="shared" si="2"/>
        <v>510</v>
      </c>
      <c r="I55" s="18">
        <f t="shared" si="3"/>
        <v>610</v>
      </c>
      <c r="J55" s="14"/>
    </row>
    <row r="56" spans="4:10">
      <c r="D56" s="16">
        <v>18</v>
      </c>
      <c r="E56" s="16"/>
      <c r="F56" s="17">
        <f t="shared" si="0"/>
        <v>540</v>
      </c>
      <c r="G56" s="17">
        <f t="shared" si="1"/>
        <v>9</v>
      </c>
      <c r="H56" s="18">
        <f t="shared" si="2"/>
        <v>540</v>
      </c>
      <c r="I56" s="18">
        <f t="shared" si="3"/>
        <v>640</v>
      </c>
      <c r="J56" s="14"/>
    </row>
    <row r="57" spans="4:10">
      <c r="D57" s="16">
        <v>19</v>
      </c>
      <c r="E57" s="16"/>
      <c r="F57" s="17">
        <f t="shared" si="0"/>
        <v>570</v>
      </c>
      <c r="G57" s="17">
        <f t="shared" si="1"/>
        <v>9.5</v>
      </c>
      <c r="H57" s="18">
        <f t="shared" si="2"/>
        <v>570</v>
      </c>
      <c r="I57" s="18">
        <f t="shared" si="3"/>
        <v>670</v>
      </c>
      <c r="J57" s="14"/>
    </row>
    <row r="58" spans="4:10">
      <c r="D58" s="16">
        <v>20</v>
      </c>
      <c r="E58" s="16">
        <v>6</v>
      </c>
      <c r="F58" s="19">
        <f t="shared" si="0"/>
        <v>600</v>
      </c>
      <c r="G58" s="17">
        <f t="shared" si="1"/>
        <v>10</v>
      </c>
      <c r="H58" s="18">
        <f t="shared" si="2"/>
        <v>600</v>
      </c>
      <c r="I58" s="18">
        <f t="shared" si="3"/>
        <v>700</v>
      </c>
      <c r="J58" s="14"/>
    </row>
    <row r="59" spans="4:10">
      <c r="D59" s="16">
        <v>21</v>
      </c>
      <c r="E59" s="16"/>
      <c r="F59" s="17">
        <f t="shared" si="0"/>
        <v>630</v>
      </c>
      <c r="G59" s="17">
        <f t="shared" si="1"/>
        <v>10.5</v>
      </c>
      <c r="H59" s="18">
        <f t="shared" si="2"/>
        <v>630</v>
      </c>
      <c r="I59" s="18">
        <f t="shared" si="3"/>
        <v>730</v>
      </c>
      <c r="J59" s="14"/>
    </row>
    <row r="60" spans="4:10">
      <c r="D60" s="16">
        <v>22</v>
      </c>
      <c r="E60" s="16"/>
      <c r="F60" s="17">
        <f t="shared" si="0"/>
        <v>660</v>
      </c>
      <c r="G60" s="17">
        <f t="shared" si="1"/>
        <v>11</v>
      </c>
      <c r="H60" s="18">
        <f t="shared" si="2"/>
        <v>660</v>
      </c>
      <c r="I60" s="18">
        <f t="shared" si="3"/>
        <v>760</v>
      </c>
      <c r="J60" s="14"/>
    </row>
    <row r="61" spans="4:10">
      <c r="D61" s="16">
        <v>23</v>
      </c>
      <c r="E61" s="16"/>
      <c r="F61" s="17">
        <f t="shared" si="0"/>
        <v>690</v>
      </c>
      <c r="G61" s="17">
        <f t="shared" si="1"/>
        <v>11.5</v>
      </c>
      <c r="H61" s="18">
        <f t="shared" si="2"/>
        <v>690</v>
      </c>
      <c r="I61" s="18">
        <f t="shared" si="3"/>
        <v>790</v>
      </c>
      <c r="J61" s="14"/>
    </row>
    <row r="62" spans="4:10">
      <c r="D62" s="16">
        <v>24</v>
      </c>
      <c r="E62" s="16"/>
      <c r="F62" s="17">
        <f t="shared" si="0"/>
        <v>720</v>
      </c>
      <c r="G62" s="17">
        <f t="shared" si="1"/>
        <v>12</v>
      </c>
      <c r="H62" s="18">
        <f t="shared" si="2"/>
        <v>720</v>
      </c>
      <c r="I62" s="18">
        <f t="shared" si="3"/>
        <v>820</v>
      </c>
      <c r="J62" s="14"/>
    </row>
    <row r="63" spans="4:10">
      <c r="D63" s="16">
        <v>25</v>
      </c>
      <c r="E63" s="16"/>
      <c r="F63" s="17">
        <f t="shared" si="0"/>
        <v>750</v>
      </c>
      <c r="G63" s="17">
        <f t="shared" si="1"/>
        <v>12.5</v>
      </c>
      <c r="H63" s="18">
        <f t="shared" si="2"/>
        <v>750</v>
      </c>
      <c r="I63" s="18">
        <f t="shared" si="3"/>
        <v>850</v>
      </c>
      <c r="J63" s="14"/>
    </row>
    <row r="64" spans="4:10">
      <c r="D64" s="16">
        <v>26</v>
      </c>
      <c r="E64" s="16"/>
      <c r="F64" s="17">
        <f t="shared" si="0"/>
        <v>780</v>
      </c>
      <c r="G64" s="17">
        <f t="shared" si="1"/>
        <v>13</v>
      </c>
      <c r="H64" s="18">
        <f t="shared" si="2"/>
        <v>780</v>
      </c>
      <c r="I64" s="18">
        <f t="shared" si="3"/>
        <v>880</v>
      </c>
      <c r="J64" s="14"/>
    </row>
    <row r="65" spans="4:10">
      <c r="D65" s="16">
        <v>27</v>
      </c>
      <c r="E65" s="16">
        <v>7</v>
      </c>
      <c r="F65" s="19">
        <f t="shared" si="0"/>
        <v>810</v>
      </c>
      <c r="G65" s="17">
        <f t="shared" si="1"/>
        <v>13.5</v>
      </c>
      <c r="H65" s="18">
        <f t="shared" si="2"/>
        <v>810</v>
      </c>
      <c r="I65" s="18">
        <f t="shared" si="3"/>
        <v>910</v>
      </c>
      <c r="J65" s="14"/>
    </row>
    <row r="66" spans="4:10">
      <c r="D66" s="16">
        <v>28</v>
      </c>
      <c r="E66" s="16"/>
      <c r="F66" s="17">
        <f t="shared" si="0"/>
        <v>840</v>
      </c>
      <c r="G66" s="17">
        <f t="shared" si="1"/>
        <v>14</v>
      </c>
      <c r="H66" s="18">
        <f t="shared" si="2"/>
        <v>840</v>
      </c>
      <c r="I66" s="18">
        <f t="shared" si="3"/>
        <v>940</v>
      </c>
      <c r="J66" s="14"/>
    </row>
    <row r="67" spans="4:10">
      <c r="D67" s="16">
        <v>29</v>
      </c>
      <c r="E67" s="16"/>
      <c r="F67" s="17">
        <f t="shared" si="0"/>
        <v>870</v>
      </c>
      <c r="G67" s="17">
        <f t="shared" si="1"/>
        <v>14.5</v>
      </c>
      <c r="H67" s="18">
        <f t="shared" si="2"/>
        <v>870</v>
      </c>
      <c r="I67" s="18">
        <f t="shared" si="3"/>
        <v>970</v>
      </c>
      <c r="J67" s="14"/>
    </row>
    <row r="68" spans="4:10">
      <c r="D68" s="16">
        <v>30</v>
      </c>
      <c r="E68" s="16"/>
      <c r="F68" s="17">
        <f t="shared" si="0"/>
        <v>900</v>
      </c>
      <c r="G68" s="17">
        <f t="shared" si="1"/>
        <v>15</v>
      </c>
      <c r="H68" s="18">
        <f t="shared" si="2"/>
        <v>900</v>
      </c>
      <c r="I68" s="18">
        <f t="shared" si="3"/>
        <v>1000</v>
      </c>
      <c r="J68" s="14"/>
    </row>
    <row r="69" spans="4:10">
      <c r="D69" s="16">
        <v>31</v>
      </c>
      <c r="E69" s="16"/>
      <c r="F69" s="17">
        <f t="shared" si="0"/>
        <v>930</v>
      </c>
      <c r="G69" s="17">
        <f t="shared" si="1"/>
        <v>15.5</v>
      </c>
      <c r="H69" s="18">
        <f t="shared" si="2"/>
        <v>930</v>
      </c>
      <c r="I69" s="18">
        <f t="shared" si="3"/>
        <v>1030</v>
      </c>
      <c r="J69" s="14"/>
    </row>
    <row r="70" spans="4:10">
      <c r="D70" s="16">
        <v>32</v>
      </c>
      <c r="E70" s="16"/>
      <c r="F70" s="17">
        <f t="shared" si="0"/>
        <v>960</v>
      </c>
      <c r="G70" s="17">
        <f t="shared" si="1"/>
        <v>16</v>
      </c>
      <c r="H70" s="18">
        <f t="shared" si="2"/>
        <v>960</v>
      </c>
      <c r="I70" s="18">
        <f t="shared" si="3"/>
        <v>1060</v>
      </c>
      <c r="J70" s="14"/>
    </row>
    <row r="71" spans="4:10">
      <c r="D71" s="16">
        <v>33</v>
      </c>
      <c r="E71" s="16"/>
      <c r="F71" s="17">
        <f t="shared" si="0"/>
        <v>990</v>
      </c>
      <c r="G71" s="17">
        <f t="shared" si="1"/>
        <v>16.5</v>
      </c>
      <c r="H71" s="18">
        <f t="shared" si="2"/>
        <v>990</v>
      </c>
      <c r="I71" s="18">
        <f t="shared" si="3"/>
        <v>1090</v>
      </c>
      <c r="J71" s="14"/>
    </row>
    <row r="72" spans="4:10">
      <c r="D72" s="16">
        <v>34</v>
      </c>
      <c r="E72" s="16"/>
      <c r="F72" s="17">
        <f t="shared" si="0"/>
        <v>1020</v>
      </c>
      <c r="G72" s="17">
        <f t="shared" ref="G72:G98" si="4">$F72/60</f>
        <v>17</v>
      </c>
      <c r="H72" s="18">
        <f t="shared" ref="H72:H98" si="5">$F72</f>
        <v>1020</v>
      </c>
      <c r="I72" s="18">
        <f t="shared" si="3"/>
        <v>1120</v>
      </c>
      <c r="J72" s="14"/>
    </row>
    <row r="73" spans="4:10">
      <c r="D73" s="16">
        <v>35</v>
      </c>
      <c r="E73" s="16"/>
      <c r="F73" s="17">
        <f t="shared" si="0"/>
        <v>1050</v>
      </c>
      <c r="G73" s="17">
        <f t="shared" si="4"/>
        <v>17.5</v>
      </c>
      <c r="H73" s="18">
        <f t="shared" si="5"/>
        <v>1050</v>
      </c>
      <c r="I73" s="18">
        <f t="shared" ref="I73:I98" si="6">100+F73/$I$37*$I$36</f>
        <v>1150</v>
      </c>
      <c r="J73" s="14"/>
    </row>
    <row r="74" spans="4:10">
      <c r="D74" s="16">
        <v>36</v>
      </c>
      <c r="E74" s="16">
        <v>8</v>
      </c>
      <c r="F74" s="19">
        <f t="shared" si="0"/>
        <v>1080</v>
      </c>
      <c r="G74" s="17">
        <f t="shared" si="4"/>
        <v>18</v>
      </c>
      <c r="H74" s="18">
        <f t="shared" si="5"/>
        <v>1080</v>
      </c>
      <c r="I74" s="18">
        <f t="shared" si="6"/>
        <v>1180</v>
      </c>
      <c r="J74" s="14"/>
    </row>
    <row r="75" spans="4:10">
      <c r="D75" s="16">
        <v>37</v>
      </c>
      <c r="E75" s="16"/>
      <c r="F75" s="17">
        <f t="shared" si="0"/>
        <v>1110</v>
      </c>
      <c r="G75" s="17">
        <f t="shared" si="4"/>
        <v>18.5</v>
      </c>
      <c r="H75" s="18">
        <f t="shared" si="5"/>
        <v>1110</v>
      </c>
      <c r="I75" s="18">
        <f t="shared" si="6"/>
        <v>1210</v>
      </c>
      <c r="J75" s="14"/>
    </row>
    <row r="76" spans="4:10">
      <c r="D76" s="16">
        <v>38</v>
      </c>
      <c r="E76" s="16"/>
      <c r="F76" s="17">
        <f t="shared" si="0"/>
        <v>1140</v>
      </c>
      <c r="G76" s="17">
        <f t="shared" si="4"/>
        <v>19</v>
      </c>
      <c r="H76" s="18">
        <f t="shared" si="5"/>
        <v>1140</v>
      </c>
      <c r="I76" s="18">
        <f t="shared" si="6"/>
        <v>1240</v>
      </c>
      <c r="J76" s="14"/>
    </row>
    <row r="77" spans="4:10">
      <c r="D77" s="16">
        <v>39</v>
      </c>
      <c r="E77" s="16"/>
      <c r="F77" s="17">
        <f t="shared" si="0"/>
        <v>1170</v>
      </c>
      <c r="G77" s="17">
        <f t="shared" si="4"/>
        <v>19.5</v>
      </c>
      <c r="H77" s="18">
        <f t="shared" si="5"/>
        <v>1170</v>
      </c>
      <c r="I77" s="18">
        <f t="shared" si="6"/>
        <v>1270</v>
      </c>
      <c r="J77" s="14"/>
    </row>
    <row r="78" spans="4:10">
      <c r="D78" s="16">
        <v>40</v>
      </c>
      <c r="E78" s="16"/>
      <c r="F78" s="17">
        <f t="shared" si="0"/>
        <v>1200</v>
      </c>
      <c r="G78" s="17">
        <f t="shared" si="4"/>
        <v>20</v>
      </c>
      <c r="H78" s="18">
        <f t="shared" si="5"/>
        <v>1200</v>
      </c>
      <c r="I78" s="18">
        <f t="shared" si="6"/>
        <v>1300</v>
      </c>
      <c r="J78" s="14"/>
    </row>
    <row r="79" spans="4:10">
      <c r="D79" s="16">
        <v>41</v>
      </c>
      <c r="E79" s="16"/>
      <c r="F79" s="17">
        <f t="shared" si="0"/>
        <v>1230</v>
      </c>
      <c r="G79" s="17">
        <f t="shared" si="4"/>
        <v>20.5</v>
      </c>
      <c r="H79" s="18">
        <f t="shared" si="5"/>
        <v>1230</v>
      </c>
      <c r="I79" s="18">
        <f t="shared" si="6"/>
        <v>1330</v>
      </c>
      <c r="J79" s="14"/>
    </row>
    <row r="80" spans="4:10">
      <c r="D80" s="16">
        <v>42</v>
      </c>
      <c r="E80" s="16"/>
      <c r="F80" s="17">
        <f t="shared" si="0"/>
        <v>1260</v>
      </c>
      <c r="G80" s="17">
        <f t="shared" si="4"/>
        <v>21</v>
      </c>
      <c r="H80" s="18">
        <f t="shared" si="5"/>
        <v>1260</v>
      </c>
      <c r="I80" s="18">
        <f t="shared" si="6"/>
        <v>1360</v>
      </c>
      <c r="J80" s="14"/>
    </row>
    <row r="81" spans="4:10">
      <c r="D81" s="16">
        <v>43</v>
      </c>
      <c r="E81" s="16"/>
      <c r="F81" s="17">
        <f t="shared" si="0"/>
        <v>1290</v>
      </c>
      <c r="G81" s="17">
        <f t="shared" si="4"/>
        <v>21.5</v>
      </c>
      <c r="H81" s="18">
        <f t="shared" si="5"/>
        <v>1290</v>
      </c>
      <c r="I81" s="18">
        <f t="shared" si="6"/>
        <v>1390</v>
      </c>
      <c r="J81" s="14"/>
    </row>
    <row r="82" spans="4:10">
      <c r="D82" s="16">
        <v>44</v>
      </c>
      <c r="E82" s="16"/>
      <c r="F82" s="17">
        <f t="shared" si="0"/>
        <v>1320</v>
      </c>
      <c r="G82" s="17">
        <f t="shared" si="4"/>
        <v>22</v>
      </c>
      <c r="H82" s="18">
        <f t="shared" si="5"/>
        <v>1320</v>
      </c>
      <c r="I82" s="18">
        <f t="shared" si="6"/>
        <v>1420</v>
      </c>
      <c r="J82" s="14"/>
    </row>
    <row r="83" spans="4:10">
      <c r="D83" s="16">
        <v>45</v>
      </c>
      <c r="E83" s="16"/>
      <c r="F83" s="17">
        <f t="shared" si="0"/>
        <v>1350</v>
      </c>
      <c r="G83" s="17">
        <f t="shared" si="4"/>
        <v>22.5</v>
      </c>
      <c r="H83" s="18">
        <f t="shared" si="5"/>
        <v>1350</v>
      </c>
      <c r="I83" s="18">
        <f t="shared" si="6"/>
        <v>1450</v>
      </c>
      <c r="J83" s="14"/>
    </row>
    <row r="84" spans="4:10">
      <c r="D84" s="16">
        <v>46</v>
      </c>
      <c r="E84" s="16"/>
      <c r="F84" s="17">
        <f t="shared" si="0"/>
        <v>1380</v>
      </c>
      <c r="G84" s="17">
        <f t="shared" si="4"/>
        <v>23</v>
      </c>
      <c r="H84" s="18">
        <f t="shared" si="5"/>
        <v>1380</v>
      </c>
      <c r="I84" s="18">
        <f t="shared" si="6"/>
        <v>1480</v>
      </c>
      <c r="J84" s="14"/>
    </row>
    <row r="85" spans="4:10">
      <c r="D85" s="16">
        <v>47</v>
      </c>
      <c r="E85" s="16"/>
      <c r="F85" s="17">
        <f t="shared" si="0"/>
        <v>1410</v>
      </c>
      <c r="G85" s="17">
        <f t="shared" si="4"/>
        <v>23.5</v>
      </c>
      <c r="H85" s="18">
        <f t="shared" si="5"/>
        <v>1410</v>
      </c>
      <c r="I85" s="18">
        <f t="shared" si="6"/>
        <v>1510</v>
      </c>
      <c r="J85" s="14"/>
    </row>
    <row r="86" spans="4:10">
      <c r="D86" s="16">
        <v>48</v>
      </c>
      <c r="E86" s="16"/>
      <c r="F86" s="17">
        <f t="shared" si="0"/>
        <v>1440</v>
      </c>
      <c r="G86" s="17">
        <f t="shared" si="4"/>
        <v>24</v>
      </c>
      <c r="H86" s="18">
        <f t="shared" si="5"/>
        <v>1440</v>
      </c>
      <c r="I86" s="18">
        <f t="shared" si="6"/>
        <v>1540</v>
      </c>
      <c r="J86" s="14"/>
    </row>
    <row r="87" spans="4:10">
      <c r="D87" s="16">
        <v>49</v>
      </c>
      <c r="E87" s="16"/>
      <c r="F87" s="17">
        <f t="shared" si="0"/>
        <v>1470</v>
      </c>
      <c r="G87" s="17">
        <f t="shared" si="4"/>
        <v>24.5</v>
      </c>
      <c r="H87" s="18">
        <f t="shared" si="5"/>
        <v>1470</v>
      </c>
      <c r="I87" s="18">
        <f t="shared" si="6"/>
        <v>1570</v>
      </c>
      <c r="J87" s="14"/>
    </row>
    <row r="88" spans="4:10">
      <c r="D88" s="16">
        <v>50</v>
      </c>
      <c r="E88" s="16"/>
      <c r="F88" s="17">
        <f t="shared" si="0"/>
        <v>1500</v>
      </c>
      <c r="G88" s="17">
        <f t="shared" si="4"/>
        <v>25</v>
      </c>
      <c r="H88" s="18">
        <f t="shared" si="5"/>
        <v>1500</v>
      </c>
      <c r="I88" s="18">
        <f t="shared" si="6"/>
        <v>1600</v>
      </c>
      <c r="J88" s="14"/>
    </row>
    <row r="89" spans="4:10">
      <c r="D89" s="16">
        <v>51</v>
      </c>
      <c r="E89" s="16"/>
      <c r="F89" s="17">
        <f t="shared" si="0"/>
        <v>1530</v>
      </c>
      <c r="G89" s="17">
        <f t="shared" si="4"/>
        <v>25.5</v>
      </c>
      <c r="H89" s="18">
        <f t="shared" si="5"/>
        <v>1530</v>
      </c>
      <c r="I89" s="18">
        <f t="shared" si="6"/>
        <v>1630</v>
      </c>
      <c r="J89" s="14"/>
    </row>
    <row r="90" spans="4:10">
      <c r="D90" s="16">
        <v>52</v>
      </c>
      <c r="E90" s="16"/>
      <c r="F90" s="17">
        <f t="shared" si="0"/>
        <v>1560</v>
      </c>
      <c r="G90" s="17">
        <f t="shared" si="4"/>
        <v>26</v>
      </c>
      <c r="H90" s="18">
        <f t="shared" si="5"/>
        <v>1560</v>
      </c>
      <c r="I90" s="18">
        <f t="shared" si="6"/>
        <v>1660</v>
      </c>
      <c r="J90" s="14"/>
    </row>
    <row r="91" spans="4:10">
      <c r="D91" s="16">
        <v>53</v>
      </c>
      <c r="E91" s="16"/>
      <c r="F91" s="17">
        <f t="shared" si="0"/>
        <v>1590</v>
      </c>
      <c r="G91" s="17">
        <f t="shared" si="4"/>
        <v>26.5</v>
      </c>
      <c r="H91" s="18">
        <f t="shared" si="5"/>
        <v>1590</v>
      </c>
      <c r="I91" s="18">
        <f t="shared" si="6"/>
        <v>1690</v>
      </c>
      <c r="J91" s="14"/>
    </row>
    <row r="92" spans="4:10">
      <c r="D92" s="16">
        <v>54</v>
      </c>
      <c r="E92" s="16"/>
      <c r="F92" s="17">
        <f t="shared" si="0"/>
        <v>1620</v>
      </c>
      <c r="G92" s="17">
        <f t="shared" si="4"/>
        <v>27</v>
      </c>
      <c r="H92" s="18">
        <f t="shared" si="5"/>
        <v>1620</v>
      </c>
      <c r="I92" s="18">
        <f t="shared" si="6"/>
        <v>1720</v>
      </c>
      <c r="J92" s="14"/>
    </row>
    <row r="93" spans="4:10">
      <c r="D93" s="16">
        <v>55</v>
      </c>
      <c r="E93" s="16"/>
      <c r="F93" s="17">
        <f t="shared" si="0"/>
        <v>1650</v>
      </c>
      <c r="G93" s="17">
        <f t="shared" si="4"/>
        <v>27.5</v>
      </c>
      <c r="H93" s="18">
        <f t="shared" si="5"/>
        <v>1650</v>
      </c>
      <c r="I93" s="18">
        <f t="shared" si="6"/>
        <v>1750</v>
      </c>
      <c r="J93" s="14"/>
    </row>
    <row r="94" spans="4:10">
      <c r="D94" s="16">
        <v>56</v>
      </c>
      <c r="E94" s="16"/>
      <c r="F94" s="17">
        <f t="shared" si="0"/>
        <v>1680</v>
      </c>
      <c r="G94" s="17">
        <f t="shared" si="4"/>
        <v>28</v>
      </c>
      <c r="H94" s="18">
        <f t="shared" si="5"/>
        <v>1680</v>
      </c>
      <c r="I94" s="18">
        <f t="shared" si="6"/>
        <v>1780</v>
      </c>
      <c r="J94" s="14"/>
    </row>
    <row r="95" spans="4:10">
      <c r="D95" s="16">
        <v>57</v>
      </c>
      <c r="E95" s="16"/>
      <c r="F95" s="17">
        <f t="shared" si="0"/>
        <v>1710</v>
      </c>
      <c r="G95" s="17">
        <f t="shared" si="4"/>
        <v>28.5</v>
      </c>
      <c r="H95" s="18">
        <f t="shared" si="5"/>
        <v>1710</v>
      </c>
      <c r="I95" s="18">
        <f t="shared" si="6"/>
        <v>1810</v>
      </c>
      <c r="J95" s="14"/>
    </row>
    <row r="96" spans="4:10">
      <c r="D96" s="16">
        <v>58</v>
      </c>
      <c r="E96" s="16"/>
      <c r="F96" s="17">
        <f t="shared" si="0"/>
        <v>1740</v>
      </c>
      <c r="G96" s="17">
        <f t="shared" si="4"/>
        <v>29</v>
      </c>
      <c r="H96" s="18">
        <f t="shared" si="5"/>
        <v>1740</v>
      </c>
      <c r="I96" s="18">
        <f t="shared" si="6"/>
        <v>1840</v>
      </c>
      <c r="J96" s="14"/>
    </row>
    <row r="97" spans="4:10">
      <c r="D97" s="16">
        <v>59</v>
      </c>
      <c r="E97" s="16"/>
      <c r="F97" s="17">
        <f t="shared" si="0"/>
        <v>1770</v>
      </c>
      <c r="G97" s="17">
        <f t="shared" si="4"/>
        <v>29.5</v>
      </c>
      <c r="H97" s="18">
        <f t="shared" si="5"/>
        <v>1770</v>
      </c>
      <c r="I97" s="18">
        <f t="shared" si="6"/>
        <v>1870</v>
      </c>
      <c r="J97" s="14"/>
    </row>
    <row r="98" spans="4:10">
      <c r="D98" s="16">
        <v>60</v>
      </c>
      <c r="E98" s="16"/>
      <c r="F98" s="17">
        <f t="shared" si="0"/>
        <v>1800</v>
      </c>
      <c r="G98" s="17">
        <f t="shared" si="4"/>
        <v>30</v>
      </c>
      <c r="H98" s="18">
        <f t="shared" si="5"/>
        <v>1800</v>
      </c>
      <c r="I98" s="18">
        <f t="shared" si="6"/>
        <v>1900</v>
      </c>
      <c r="J98" s="14"/>
    </row>
    <row r="99" spans="4:10">
      <c r="D99" s="14"/>
      <c r="E99" s="14"/>
      <c r="F99" s="14"/>
      <c r="G99" s="14"/>
      <c r="H99" s="14"/>
      <c r="I99" s="14"/>
      <c r="J99" s="14"/>
    </row>
    <row r="100" spans="1:10">
      <c r="A100" t="s">
        <v>130</v>
      </c>
      <c r="D100" s="14"/>
      <c r="E100" s="14"/>
      <c r="F100" s="14"/>
      <c r="G100" s="14"/>
      <c r="H100" s="14"/>
      <c r="I100" s="14"/>
      <c r="J100" s="14"/>
    </row>
    <row r="101" spans="1:10">
      <c r="A101" t="s">
        <v>131</v>
      </c>
      <c r="D101" s="14"/>
      <c r="E101" s="21">
        <f>ROUND($I$98/360,0)</f>
        <v>5</v>
      </c>
      <c r="F101" s="14" t="s">
        <v>132</v>
      </c>
      <c r="G101" s="14"/>
      <c r="H101" s="14"/>
      <c r="I101" s="14"/>
      <c r="J101" s="14"/>
    </row>
    <row r="102" spans="4:10">
      <c r="D102" s="14"/>
      <c r="E102" s="14"/>
      <c r="F102" s="14"/>
      <c r="G102" s="14"/>
      <c r="H102" s="14"/>
      <c r="I102" s="14"/>
      <c r="J102" s="14"/>
    </row>
    <row r="103" spans="4:10">
      <c r="D103" s="14"/>
      <c r="E103" s="14"/>
      <c r="F103" s="14"/>
      <c r="G103" s="14"/>
      <c r="H103" s="14"/>
      <c r="I103" s="14"/>
      <c r="J103" s="14"/>
    </row>
    <row r="104" spans="1:10">
      <c r="A104" t="s">
        <v>133</v>
      </c>
      <c r="D104" s="14"/>
      <c r="E104" s="14"/>
      <c r="F104" s="14"/>
      <c r="G104" s="14"/>
      <c r="H104" s="14"/>
      <c r="I104" s="14"/>
      <c r="J104" s="14"/>
    </row>
    <row r="105" spans="1:10">
      <c r="A105" t="s">
        <v>134</v>
      </c>
      <c r="D105" s="14"/>
      <c r="E105" s="14"/>
      <c r="F105" s="14"/>
      <c r="G105" s="14"/>
      <c r="H105" s="14"/>
      <c r="I105" s="14"/>
      <c r="J105" s="14"/>
    </row>
    <row r="106" spans="1:10">
      <c r="A106" t="s">
        <v>135</v>
      </c>
      <c r="D106" s="14"/>
      <c r="E106" s="14"/>
      <c r="F106" s="14"/>
      <c r="G106" s="14"/>
      <c r="H106" s="14"/>
      <c r="I106" s="14"/>
      <c r="J106" s="14"/>
    </row>
    <row r="107" spans="1:15">
      <c r="A107" s="13" t="s">
        <v>136</v>
      </c>
      <c r="B107" s="13"/>
      <c r="C107" s="13">
        <v>300</v>
      </c>
      <c r="D107" s="13"/>
      <c r="E107" s="22" t="s">
        <v>137</v>
      </c>
      <c r="F107" s="4" t="s">
        <v>138</v>
      </c>
      <c r="G107" s="4"/>
      <c r="H107" s="4">
        <v>1800</v>
      </c>
      <c r="I107" s="4"/>
      <c r="K107" s="29" t="s">
        <v>139</v>
      </c>
      <c r="L107" s="30"/>
      <c r="N107" s="24" t="s">
        <v>140</v>
      </c>
      <c r="O107" s="24"/>
    </row>
    <row r="108" ht="27" spans="1:15">
      <c r="A108" s="13" t="s">
        <v>141</v>
      </c>
      <c r="B108" s="23" t="s">
        <v>142</v>
      </c>
      <c r="C108" s="13" t="s">
        <v>143</v>
      </c>
      <c r="D108" s="23" t="s">
        <v>144</v>
      </c>
      <c r="E108" s="3"/>
      <c r="F108" s="24" t="s">
        <v>145</v>
      </c>
      <c r="G108" s="24" t="s">
        <v>146</v>
      </c>
      <c r="H108" s="24" t="s">
        <v>147</v>
      </c>
      <c r="I108" s="24" t="s">
        <v>146</v>
      </c>
      <c r="K108" s="31"/>
      <c r="L108" s="32"/>
      <c r="N108" s="24"/>
      <c r="O108" s="24"/>
    </row>
    <row r="109" spans="1:15">
      <c r="A109" s="25">
        <v>100</v>
      </c>
      <c r="B109" s="25">
        <f>ROUND(20000/A109,0)</f>
        <v>200</v>
      </c>
      <c r="C109" s="26">
        <f>$C$107-A109</f>
        <v>200</v>
      </c>
      <c r="D109" s="26">
        <f>ROUND(100000/C109,0)</f>
        <v>500</v>
      </c>
      <c r="E109" s="3"/>
      <c r="F109" s="4">
        <v>500</v>
      </c>
      <c r="G109" s="4">
        <f>ROUND(F109/A109,0)</f>
        <v>5</v>
      </c>
      <c r="H109" s="4">
        <f>$H$107-F109</f>
        <v>1300</v>
      </c>
      <c r="I109" s="4">
        <f>ROUND(H109/C109,0)</f>
        <v>7</v>
      </c>
      <c r="K109" s="31"/>
      <c r="L109" s="32"/>
      <c r="N109" s="24"/>
      <c r="O109" s="24"/>
    </row>
    <row r="110" spans="1:15">
      <c r="A110" s="13">
        <v>110</v>
      </c>
      <c r="B110" s="13">
        <f t="shared" ref="B110:B119" si="7">ROUND(20000/A110,0)</f>
        <v>182</v>
      </c>
      <c r="C110" s="13">
        <f t="shared" ref="C110:C119" si="8">$C$107-A110</f>
        <v>190</v>
      </c>
      <c r="D110" s="13">
        <f t="shared" ref="D110:D119" si="9">ROUND(100000/C110,0)</f>
        <v>526</v>
      </c>
      <c r="E110" s="3"/>
      <c r="F110" s="4">
        <v>550</v>
      </c>
      <c r="G110" s="4">
        <f t="shared" ref="G110:G119" si="10">ROUND(F110/A110,0)</f>
        <v>5</v>
      </c>
      <c r="H110" s="4">
        <f t="shared" ref="H110:H119" si="11">$H$107-F110</f>
        <v>1250</v>
      </c>
      <c r="I110" s="4">
        <f t="shared" ref="I110:I119" si="12">ROUND(H110/C110,0)</f>
        <v>7</v>
      </c>
      <c r="K110" s="31"/>
      <c r="L110" s="32"/>
      <c r="N110" s="24"/>
      <c r="O110" s="24"/>
    </row>
    <row r="111" spans="1:15">
      <c r="A111" s="13">
        <v>120</v>
      </c>
      <c r="B111" s="13">
        <f t="shared" si="7"/>
        <v>167</v>
      </c>
      <c r="C111" s="13">
        <f t="shared" si="8"/>
        <v>180</v>
      </c>
      <c r="D111" s="13">
        <f t="shared" si="9"/>
        <v>556</v>
      </c>
      <c r="E111" s="3"/>
      <c r="F111" s="4">
        <v>600</v>
      </c>
      <c r="G111" s="4">
        <f t="shared" si="10"/>
        <v>5</v>
      </c>
      <c r="H111" s="4">
        <f t="shared" si="11"/>
        <v>1200</v>
      </c>
      <c r="I111" s="4">
        <f t="shared" si="12"/>
        <v>7</v>
      </c>
      <c r="K111" s="31"/>
      <c r="L111" s="32"/>
      <c r="N111" s="24"/>
      <c r="O111" s="24"/>
    </row>
    <row r="112" spans="1:15">
      <c r="A112" s="13">
        <v>130</v>
      </c>
      <c r="B112" s="13">
        <f t="shared" si="7"/>
        <v>154</v>
      </c>
      <c r="C112" s="13">
        <f t="shared" si="8"/>
        <v>170</v>
      </c>
      <c r="D112" s="13">
        <f t="shared" si="9"/>
        <v>588</v>
      </c>
      <c r="E112" s="3"/>
      <c r="F112" s="4">
        <v>650</v>
      </c>
      <c r="G112" s="4">
        <f t="shared" si="10"/>
        <v>5</v>
      </c>
      <c r="H112" s="4">
        <f t="shared" si="11"/>
        <v>1150</v>
      </c>
      <c r="I112" s="4">
        <f t="shared" si="12"/>
        <v>7</v>
      </c>
      <c r="K112" s="31"/>
      <c r="L112" s="32"/>
      <c r="N112" s="24"/>
      <c r="O112" s="24"/>
    </row>
    <row r="113" spans="1:15">
      <c r="A113" s="13">
        <v>140</v>
      </c>
      <c r="B113" s="13">
        <f t="shared" si="7"/>
        <v>143</v>
      </c>
      <c r="C113" s="13">
        <f t="shared" si="8"/>
        <v>160</v>
      </c>
      <c r="D113" s="13">
        <f t="shared" si="9"/>
        <v>625</v>
      </c>
      <c r="E113" s="3"/>
      <c r="F113" s="4">
        <v>700</v>
      </c>
      <c r="G113" s="4">
        <f t="shared" si="10"/>
        <v>5</v>
      </c>
      <c r="H113" s="4">
        <f t="shared" si="11"/>
        <v>1100</v>
      </c>
      <c r="I113" s="4">
        <f t="shared" si="12"/>
        <v>7</v>
      </c>
      <c r="K113" s="31"/>
      <c r="L113" s="32"/>
      <c r="N113" s="24"/>
      <c r="O113" s="24"/>
    </row>
    <row r="114" spans="1:15">
      <c r="A114" s="13">
        <v>150</v>
      </c>
      <c r="B114" s="13">
        <f t="shared" si="7"/>
        <v>133</v>
      </c>
      <c r="C114" s="13">
        <f t="shared" si="8"/>
        <v>150</v>
      </c>
      <c r="D114" s="13">
        <f t="shared" si="9"/>
        <v>667</v>
      </c>
      <c r="E114" s="3"/>
      <c r="F114" s="4">
        <v>750</v>
      </c>
      <c r="G114" s="4">
        <f t="shared" si="10"/>
        <v>5</v>
      </c>
      <c r="H114" s="4">
        <f t="shared" si="11"/>
        <v>1050</v>
      </c>
      <c r="I114" s="4">
        <f t="shared" si="12"/>
        <v>7</v>
      </c>
      <c r="K114" s="31"/>
      <c r="L114" s="32"/>
      <c r="N114" s="24"/>
      <c r="O114" s="24"/>
    </row>
    <row r="115" spans="1:15">
      <c r="A115" s="13">
        <v>160</v>
      </c>
      <c r="B115" s="13">
        <f t="shared" si="7"/>
        <v>125</v>
      </c>
      <c r="C115" s="13">
        <f t="shared" si="8"/>
        <v>140</v>
      </c>
      <c r="D115" s="13">
        <f t="shared" si="9"/>
        <v>714</v>
      </c>
      <c r="E115" s="3"/>
      <c r="F115" s="4">
        <v>800</v>
      </c>
      <c r="G115" s="4">
        <f t="shared" si="10"/>
        <v>5</v>
      </c>
      <c r="H115" s="4">
        <f t="shared" si="11"/>
        <v>1000</v>
      </c>
      <c r="I115" s="4">
        <f t="shared" si="12"/>
        <v>7</v>
      </c>
      <c r="K115" s="31"/>
      <c r="L115" s="32"/>
      <c r="N115" s="24"/>
      <c r="O115" s="24"/>
    </row>
    <row r="116" spans="1:15">
      <c r="A116" s="13">
        <v>170</v>
      </c>
      <c r="B116" s="13">
        <f t="shared" si="7"/>
        <v>118</v>
      </c>
      <c r="C116" s="13">
        <f t="shared" si="8"/>
        <v>130</v>
      </c>
      <c r="D116" s="13">
        <f t="shared" si="9"/>
        <v>769</v>
      </c>
      <c r="E116" s="3"/>
      <c r="F116" s="4">
        <v>850</v>
      </c>
      <c r="G116" s="4">
        <f t="shared" si="10"/>
        <v>5</v>
      </c>
      <c r="H116" s="4">
        <f t="shared" si="11"/>
        <v>950</v>
      </c>
      <c r="I116" s="4">
        <f t="shared" si="12"/>
        <v>7</v>
      </c>
      <c r="K116" s="31"/>
      <c r="L116" s="32"/>
      <c r="N116" s="24"/>
      <c r="O116" s="24"/>
    </row>
    <row r="117" spans="1:15">
      <c r="A117" s="13">
        <v>180</v>
      </c>
      <c r="B117" s="13">
        <f t="shared" si="7"/>
        <v>111</v>
      </c>
      <c r="C117" s="13">
        <f t="shared" si="8"/>
        <v>120</v>
      </c>
      <c r="D117" s="13">
        <f t="shared" si="9"/>
        <v>833</v>
      </c>
      <c r="E117" s="3"/>
      <c r="F117" s="4">
        <v>900</v>
      </c>
      <c r="G117" s="4">
        <f t="shared" si="10"/>
        <v>5</v>
      </c>
      <c r="H117" s="4">
        <f t="shared" si="11"/>
        <v>900</v>
      </c>
      <c r="I117" s="4">
        <f t="shared" si="12"/>
        <v>8</v>
      </c>
      <c r="K117" s="31"/>
      <c r="L117" s="32"/>
      <c r="N117" s="24"/>
      <c r="O117" s="24"/>
    </row>
    <row r="118" spans="1:15">
      <c r="A118" s="13">
        <v>190</v>
      </c>
      <c r="B118" s="13">
        <f t="shared" si="7"/>
        <v>105</v>
      </c>
      <c r="C118" s="13">
        <f t="shared" si="8"/>
        <v>110</v>
      </c>
      <c r="D118" s="13">
        <f t="shared" si="9"/>
        <v>909</v>
      </c>
      <c r="E118" s="3"/>
      <c r="F118" s="4">
        <v>950</v>
      </c>
      <c r="G118" s="4">
        <f t="shared" si="10"/>
        <v>5</v>
      </c>
      <c r="H118" s="4">
        <f t="shared" si="11"/>
        <v>850</v>
      </c>
      <c r="I118" s="4">
        <f t="shared" si="12"/>
        <v>8</v>
      </c>
      <c r="K118" s="31"/>
      <c r="L118" s="32"/>
      <c r="N118" s="24"/>
      <c r="O118" s="24"/>
    </row>
    <row r="119" spans="1:15">
      <c r="A119" s="26">
        <v>200</v>
      </c>
      <c r="B119" s="26">
        <f t="shared" si="7"/>
        <v>100</v>
      </c>
      <c r="C119" s="25">
        <f t="shared" si="8"/>
        <v>100</v>
      </c>
      <c r="D119" s="25">
        <f t="shared" si="9"/>
        <v>1000</v>
      </c>
      <c r="E119" s="3"/>
      <c r="F119" s="4">
        <v>1000</v>
      </c>
      <c r="G119" s="4">
        <f t="shared" si="10"/>
        <v>5</v>
      </c>
      <c r="H119" s="4">
        <f t="shared" si="11"/>
        <v>800</v>
      </c>
      <c r="I119" s="4">
        <f t="shared" si="12"/>
        <v>8</v>
      </c>
      <c r="K119" s="33"/>
      <c r="L119" s="34"/>
      <c r="N119" s="24"/>
      <c r="O119" s="24"/>
    </row>
    <row r="121" spans="5:9">
      <c r="E121" s="22" t="s">
        <v>148</v>
      </c>
      <c r="F121" s="4" t="s">
        <v>138</v>
      </c>
      <c r="G121" s="4"/>
      <c r="H121" s="4">
        <v>1800</v>
      </c>
      <c r="I121" s="4"/>
    </row>
    <row r="122" ht="27" spans="5:9">
      <c r="E122" s="3"/>
      <c r="F122" s="24" t="s">
        <v>145</v>
      </c>
      <c r="G122" s="24" t="s">
        <v>146</v>
      </c>
      <c r="H122" s="24" t="s">
        <v>147</v>
      </c>
      <c r="I122" s="24" t="s">
        <v>146</v>
      </c>
    </row>
    <row r="123" spans="5:9">
      <c r="E123" s="3"/>
      <c r="F123" s="27">
        <v>1000</v>
      </c>
      <c r="G123" s="27">
        <f>ROUND(F123/A109,0)</f>
        <v>10</v>
      </c>
      <c r="H123" s="28">
        <f t="shared" ref="H123:H133" si="13">$H$107-F123</f>
        <v>800</v>
      </c>
      <c r="I123" s="28">
        <f>ROUND(H123/C109,0)</f>
        <v>4</v>
      </c>
    </row>
    <row r="124" spans="5:9">
      <c r="E124" s="3"/>
      <c r="F124" s="4">
        <v>950</v>
      </c>
      <c r="G124" s="4">
        <f t="shared" ref="G124:G133" si="14">ROUND(F124/A110,0)</f>
        <v>9</v>
      </c>
      <c r="H124" s="4">
        <f t="shared" si="13"/>
        <v>850</v>
      </c>
      <c r="I124" s="4">
        <f t="shared" ref="I124:I133" si="15">ROUND(H124/C110,0)</f>
        <v>4</v>
      </c>
    </row>
    <row r="125" spans="5:9">
      <c r="E125" s="3"/>
      <c r="F125" s="4">
        <v>900</v>
      </c>
      <c r="G125" s="4">
        <f t="shared" si="14"/>
        <v>8</v>
      </c>
      <c r="H125" s="4">
        <f t="shared" si="13"/>
        <v>900</v>
      </c>
      <c r="I125" s="4">
        <f t="shared" si="15"/>
        <v>5</v>
      </c>
    </row>
    <row r="126" spans="5:9">
      <c r="E126" s="3"/>
      <c r="F126" s="4">
        <v>850</v>
      </c>
      <c r="G126" s="4">
        <f t="shared" si="14"/>
        <v>7</v>
      </c>
      <c r="H126" s="4">
        <f t="shared" si="13"/>
        <v>950</v>
      </c>
      <c r="I126" s="4">
        <f t="shared" si="15"/>
        <v>6</v>
      </c>
    </row>
    <row r="127" spans="5:9">
      <c r="E127" s="3"/>
      <c r="F127" s="4">
        <v>800</v>
      </c>
      <c r="G127" s="4">
        <f t="shared" si="14"/>
        <v>6</v>
      </c>
      <c r="H127" s="4">
        <f t="shared" si="13"/>
        <v>1000</v>
      </c>
      <c r="I127" s="4">
        <f t="shared" si="15"/>
        <v>6</v>
      </c>
    </row>
    <row r="128" spans="5:9">
      <c r="E128" s="3"/>
      <c r="F128" s="4">
        <v>750</v>
      </c>
      <c r="G128" s="4">
        <f t="shared" si="14"/>
        <v>5</v>
      </c>
      <c r="H128" s="4">
        <f t="shared" si="13"/>
        <v>1050</v>
      </c>
      <c r="I128" s="4">
        <f t="shared" si="15"/>
        <v>7</v>
      </c>
    </row>
    <row r="129" spans="5:9">
      <c r="E129" s="3"/>
      <c r="F129" s="4">
        <v>700</v>
      </c>
      <c r="G129" s="4">
        <f t="shared" si="14"/>
        <v>4</v>
      </c>
      <c r="H129" s="4">
        <f t="shared" si="13"/>
        <v>1100</v>
      </c>
      <c r="I129" s="4">
        <f t="shared" si="15"/>
        <v>8</v>
      </c>
    </row>
    <row r="130" spans="5:9">
      <c r="E130" s="3"/>
      <c r="F130" s="4">
        <v>650</v>
      </c>
      <c r="G130" s="4">
        <f t="shared" si="14"/>
        <v>4</v>
      </c>
      <c r="H130" s="4">
        <f t="shared" si="13"/>
        <v>1150</v>
      </c>
      <c r="I130" s="4">
        <f t="shared" si="15"/>
        <v>9</v>
      </c>
    </row>
    <row r="131" spans="5:9">
      <c r="E131" s="3"/>
      <c r="F131" s="4">
        <v>600</v>
      </c>
      <c r="G131" s="4">
        <f t="shared" si="14"/>
        <v>3</v>
      </c>
      <c r="H131" s="4">
        <f t="shared" si="13"/>
        <v>1200</v>
      </c>
      <c r="I131" s="4">
        <f t="shared" si="15"/>
        <v>10</v>
      </c>
    </row>
    <row r="132" spans="5:9">
      <c r="E132" s="3"/>
      <c r="F132" s="4">
        <v>550</v>
      </c>
      <c r="G132" s="4">
        <f t="shared" si="14"/>
        <v>3</v>
      </c>
      <c r="H132" s="4">
        <f t="shared" si="13"/>
        <v>1250</v>
      </c>
      <c r="I132" s="4">
        <f t="shared" si="15"/>
        <v>11</v>
      </c>
    </row>
    <row r="133" spans="5:9">
      <c r="E133" s="3"/>
      <c r="F133" s="28">
        <v>500</v>
      </c>
      <c r="G133" s="28">
        <f t="shared" si="14"/>
        <v>3</v>
      </c>
      <c r="H133" s="27">
        <f t="shared" si="13"/>
        <v>1300</v>
      </c>
      <c r="I133" s="27">
        <f t="shared" si="15"/>
        <v>13</v>
      </c>
    </row>
  </sheetData>
  <mergeCells count="11">
    <mergeCell ref="E40:E42"/>
    <mergeCell ref="E43:E46"/>
    <mergeCell ref="E47:E51"/>
    <mergeCell ref="E52:E57"/>
    <mergeCell ref="E58:E64"/>
    <mergeCell ref="E65:E73"/>
    <mergeCell ref="E74:E98"/>
    <mergeCell ref="E107:E119"/>
    <mergeCell ref="E121:E133"/>
    <mergeCell ref="K107:L119"/>
    <mergeCell ref="N107:O119"/>
  </mergeCell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3"/>
  <sheetViews>
    <sheetView tabSelected="1" topLeftCell="K29" workbookViewId="0">
      <selection activeCell="T50" sqref="T50"/>
    </sheetView>
  </sheetViews>
  <sheetFormatPr defaultColWidth="9" defaultRowHeight="13.5"/>
  <cols>
    <col min="1" max="1" width="8.375" style="1" customWidth="1"/>
    <col min="2" max="2" width="8.125" style="1" customWidth="1"/>
    <col min="3" max="3" width="8.75" style="1" customWidth="1"/>
    <col min="4" max="5" width="20.625" style="1" customWidth="1"/>
    <col min="6" max="6" width="12.75" style="1" customWidth="1"/>
    <col min="7" max="7" width="9.5" style="1" customWidth="1"/>
    <col min="8" max="8" width="37" style="1" customWidth="1"/>
    <col min="9" max="9" width="13.25" style="1" customWidth="1"/>
    <col min="10" max="10" width="10.625" style="1" customWidth="1"/>
    <col min="11" max="11" width="37.25" style="1" customWidth="1"/>
    <col min="12" max="12" width="10.5" style="1" customWidth="1"/>
    <col min="13" max="13" width="9" style="1"/>
    <col min="14" max="14" width="40" style="1" customWidth="1"/>
    <col min="15" max="16" width="9" style="1"/>
    <col min="17" max="17" width="40.5" style="1" customWidth="1"/>
    <col min="18" max="19" width="9" style="1"/>
    <col min="20" max="20" width="41.125" style="1" customWidth="1"/>
    <col min="21" max="22" width="9" style="1"/>
    <col min="23" max="23" width="37.875" style="1" customWidth="1"/>
    <col min="24" max="24" width="21.625" style="1" customWidth="1"/>
    <col min="25" max="16384" width="9" style="1"/>
  </cols>
  <sheetData>
    <row r="1" s="1" customFormat="1" spans="1:1">
      <c r="A1" s="1" t="s">
        <v>149</v>
      </c>
    </row>
    <row r="2" s="1" customFormat="1" spans="2:5">
      <c r="B2" s="2" t="s">
        <v>150</v>
      </c>
      <c r="C2" s="2"/>
      <c r="D2" s="2"/>
      <c r="E2" s="2"/>
    </row>
    <row r="3" s="1" customFormat="1" spans="2:3">
      <c r="B3" s="1" t="s">
        <v>0</v>
      </c>
      <c r="C3" s="1">
        <v>20</v>
      </c>
    </row>
    <row r="4" s="1" customFormat="1" spans="1:4">
      <c r="A4" s="1" t="s">
        <v>82</v>
      </c>
      <c r="B4" s="1" t="s">
        <v>151</v>
      </c>
      <c r="C4" s="1" t="s">
        <v>152</v>
      </c>
      <c r="D4" s="1" t="s">
        <v>153</v>
      </c>
    </row>
    <row r="5" s="1" customFormat="1" spans="1:4">
      <c r="A5" s="1">
        <v>1</v>
      </c>
      <c r="B5" s="1">
        <v>1</v>
      </c>
      <c r="C5" s="1">
        <f>ROUND(LOG($B5,$C$3)*50,0)</f>
        <v>0</v>
      </c>
      <c r="D5" s="1">
        <f t="shared" ref="D5:D12" si="0">ROUND($C5*30/60,0)</f>
        <v>0</v>
      </c>
    </row>
    <row r="6" s="1" customFormat="1" spans="1:4">
      <c r="A6" s="1">
        <v>2</v>
      </c>
      <c r="B6" s="1">
        <v>2</v>
      </c>
      <c r="C6" s="1">
        <f>ROUND(LOG($B6,$C$3)*50,0)</f>
        <v>12</v>
      </c>
      <c r="D6" s="1">
        <f t="shared" si="0"/>
        <v>6</v>
      </c>
    </row>
    <row r="7" s="1" customFormat="1" spans="1:4">
      <c r="A7" s="1">
        <v>3</v>
      </c>
      <c r="B7" s="1">
        <v>3</v>
      </c>
      <c r="C7" s="1">
        <f>ROUND(LOG($B7,$C$3)*50,0)</f>
        <v>18</v>
      </c>
      <c r="D7" s="1">
        <f t="shared" si="0"/>
        <v>9</v>
      </c>
    </row>
    <row r="8" s="1" customFormat="1" spans="1:4">
      <c r="A8" s="1">
        <v>4</v>
      </c>
      <c r="B8" s="1">
        <v>4</v>
      </c>
      <c r="C8" s="1">
        <f>ROUND(LOG($B8,$C$3)*50,0)</f>
        <v>23</v>
      </c>
      <c r="D8" s="1">
        <f t="shared" si="0"/>
        <v>12</v>
      </c>
    </row>
    <row r="9" s="1" customFormat="1" spans="1:4">
      <c r="A9" s="1">
        <v>5</v>
      </c>
      <c r="B9" s="1">
        <v>5</v>
      </c>
      <c r="C9" s="1">
        <f>ROUND(LOG($B9,$C$3)*50,0)</f>
        <v>27</v>
      </c>
      <c r="D9" s="1">
        <f t="shared" si="0"/>
        <v>14</v>
      </c>
    </row>
    <row r="10" s="1" customFormat="1" spans="1:4">
      <c r="A10" s="1">
        <v>6</v>
      </c>
      <c r="B10" s="1">
        <v>6</v>
      </c>
      <c r="C10" s="1">
        <f>ROUND(LOG($B10,$C$3)*50,0)</f>
        <v>30</v>
      </c>
      <c r="D10" s="1">
        <f t="shared" si="0"/>
        <v>15</v>
      </c>
    </row>
    <row r="11" s="1" customFormat="1" spans="1:4">
      <c r="A11" s="1">
        <v>7</v>
      </c>
      <c r="B11" s="1">
        <v>7</v>
      </c>
      <c r="C11" s="1">
        <f>ROUND(LOG($B11,$C$3)*50,0)</f>
        <v>32</v>
      </c>
      <c r="D11" s="1">
        <f t="shared" si="0"/>
        <v>16</v>
      </c>
    </row>
    <row r="12" s="1" customFormat="1" spans="1:4">
      <c r="A12" s="1">
        <v>8</v>
      </c>
      <c r="B12" s="1">
        <v>8</v>
      </c>
      <c r="C12" s="1">
        <f>ROUND(LOG($B12,$C$3)*50,0)</f>
        <v>35</v>
      </c>
      <c r="D12" s="1">
        <f t="shared" si="0"/>
        <v>18</v>
      </c>
    </row>
    <row r="14" s="1" customFormat="1" spans="2:6">
      <c r="B14" s="3" t="s">
        <v>154</v>
      </c>
      <c r="C14" s="3"/>
      <c r="D14" s="3"/>
      <c r="E14" s="3"/>
      <c r="F14" s="3"/>
    </row>
    <row r="15" s="1" customFormat="1" spans="2:6">
      <c r="B15" s="4" t="s">
        <v>0</v>
      </c>
      <c r="C15" s="4">
        <v>2</v>
      </c>
      <c r="D15" s="4"/>
      <c r="E15" s="4"/>
      <c r="F15" s="4"/>
    </row>
    <row r="16" s="1" customFormat="1" spans="2:6">
      <c r="B16" s="4" t="s">
        <v>151</v>
      </c>
      <c r="C16" s="4" t="s">
        <v>152</v>
      </c>
      <c r="D16" s="4" t="s">
        <v>30</v>
      </c>
      <c r="E16" s="4" t="s">
        <v>153</v>
      </c>
      <c r="F16" s="5" t="s">
        <v>11</v>
      </c>
    </row>
    <row r="17" s="1" customFormat="1" spans="2:6">
      <c r="B17" s="4">
        <v>1</v>
      </c>
      <c r="C17" s="4">
        <f t="shared" ref="C17:C24" si="1">ROUND((B17*2)^$C$15/7-0.57,2)</f>
        <v>0</v>
      </c>
      <c r="D17" s="4">
        <f t="shared" ref="D17:D24" si="2">ROUND($C17*30,0)</f>
        <v>0</v>
      </c>
      <c r="E17" s="4">
        <f t="shared" ref="E17:E24" si="3">ROUND($C17*30/60,2)</f>
        <v>0</v>
      </c>
      <c r="F17" s="5">
        <f t="shared" ref="F17:F23" si="4">ROUND((E18-E17)*60,0)</f>
        <v>52</v>
      </c>
    </row>
    <row r="18" s="1" customFormat="1" spans="2:6">
      <c r="B18" s="4">
        <v>2</v>
      </c>
      <c r="C18" s="4">
        <f t="shared" si="1"/>
        <v>1.72</v>
      </c>
      <c r="D18" s="4">
        <f t="shared" si="2"/>
        <v>52</v>
      </c>
      <c r="E18" s="4">
        <f t="shared" si="3"/>
        <v>0.86</v>
      </c>
      <c r="F18" s="5">
        <f t="shared" si="4"/>
        <v>86</v>
      </c>
    </row>
    <row r="19" s="1" customFormat="1" spans="2:6">
      <c r="B19" s="4">
        <v>3</v>
      </c>
      <c r="C19" s="4">
        <f t="shared" si="1"/>
        <v>4.57</v>
      </c>
      <c r="D19" s="4">
        <f t="shared" si="2"/>
        <v>137</v>
      </c>
      <c r="E19" s="4">
        <f t="shared" si="3"/>
        <v>2.29</v>
      </c>
      <c r="F19" s="5">
        <f t="shared" si="4"/>
        <v>120</v>
      </c>
    </row>
    <row r="20" s="1" customFormat="1" spans="2:6">
      <c r="B20" s="4">
        <v>4</v>
      </c>
      <c r="C20" s="4">
        <f t="shared" si="1"/>
        <v>8.57</v>
      </c>
      <c r="D20" s="4">
        <f t="shared" si="2"/>
        <v>257</v>
      </c>
      <c r="E20" s="4">
        <f t="shared" si="3"/>
        <v>4.29</v>
      </c>
      <c r="F20" s="5">
        <f t="shared" si="4"/>
        <v>154</v>
      </c>
    </row>
    <row r="21" s="1" customFormat="1" spans="2:6">
      <c r="B21" s="4">
        <v>5</v>
      </c>
      <c r="C21" s="4">
        <f t="shared" si="1"/>
        <v>13.72</v>
      </c>
      <c r="D21" s="4">
        <f t="shared" si="2"/>
        <v>412</v>
      </c>
      <c r="E21" s="4">
        <f t="shared" si="3"/>
        <v>6.86</v>
      </c>
      <c r="F21" s="5">
        <f t="shared" si="4"/>
        <v>188</v>
      </c>
    </row>
    <row r="22" s="1" customFormat="1" spans="2:6">
      <c r="B22" s="4">
        <v>6</v>
      </c>
      <c r="C22" s="4">
        <f t="shared" si="1"/>
        <v>20</v>
      </c>
      <c r="D22" s="4">
        <f t="shared" si="2"/>
        <v>600</v>
      </c>
      <c r="E22" s="4">
        <f t="shared" si="3"/>
        <v>10</v>
      </c>
      <c r="F22" s="5">
        <f t="shared" si="4"/>
        <v>223</v>
      </c>
    </row>
    <row r="23" s="1" customFormat="1" spans="2:6">
      <c r="B23" s="4">
        <v>7</v>
      </c>
      <c r="C23" s="4">
        <f t="shared" si="1"/>
        <v>27.43</v>
      </c>
      <c r="D23" s="4">
        <f t="shared" si="2"/>
        <v>823</v>
      </c>
      <c r="E23" s="4">
        <f t="shared" si="3"/>
        <v>13.72</v>
      </c>
      <c r="F23" s="5">
        <f t="shared" si="4"/>
        <v>257</v>
      </c>
    </row>
    <row r="24" s="1" customFormat="1" spans="2:6">
      <c r="B24" s="4">
        <v>8</v>
      </c>
      <c r="C24" s="4">
        <f t="shared" si="1"/>
        <v>36</v>
      </c>
      <c r="D24" s="4">
        <f t="shared" si="2"/>
        <v>1080</v>
      </c>
      <c r="E24" s="4">
        <f t="shared" si="3"/>
        <v>18</v>
      </c>
      <c r="F24" s="4"/>
    </row>
    <row r="28" s="1" customFormat="1" spans="2:5">
      <c r="B28"/>
      <c r="C28"/>
      <c r="D28"/>
      <c r="E28"/>
    </row>
    <row r="29" s="1" customFormat="1" spans="2:5">
      <c r="B29"/>
      <c r="C29"/>
      <c r="D29"/>
      <c r="E29"/>
    </row>
    <row r="30" s="1" customFormat="1" spans="2:5">
      <c r="B30"/>
      <c r="C30"/>
      <c r="D30"/>
      <c r="E30"/>
    </row>
    <row r="31" s="1" customFormat="1" spans="2:5">
      <c r="B31"/>
      <c r="C31"/>
      <c r="D31"/>
      <c r="E31"/>
    </row>
    <row r="32" s="1" customFormat="1" spans="2:5">
      <c r="B32"/>
      <c r="C32"/>
      <c r="D32"/>
      <c r="E32"/>
    </row>
    <row r="33" s="1" customFormat="1" spans="6:15">
      <c r="F33" s="1" t="s">
        <v>155</v>
      </c>
      <c r="I33" s="1" t="s">
        <v>156</v>
      </c>
      <c r="L33" s="1" t="s">
        <v>157</v>
      </c>
      <c r="O33" s="1" t="s">
        <v>158</v>
      </c>
    </row>
    <row r="34" s="1" customFormat="1" spans="2:16">
      <c r="B34" s="1" t="s">
        <v>159</v>
      </c>
      <c r="F34" s="1" t="s">
        <v>77</v>
      </c>
      <c r="G34" s="1">
        <v>0.64</v>
      </c>
      <c r="I34" s="1" t="s">
        <v>77</v>
      </c>
      <c r="J34" s="1">
        <v>0.7</v>
      </c>
      <c r="L34" s="1" t="s">
        <v>77</v>
      </c>
      <c r="M34" s="1">
        <v>0.86</v>
      </c>
      <c r="O34" s="1" t="s">
        <v>77</v>
      </c>
      <c r="P34" s="1">
        <v>2</v>
      </c>
    </row>
    <row r="35" s="1" customFormat="1" spans="2:16">
      <c r="B35" s="1" t="s">
        <v>0</v>
      </c>
      <c r="C35" s="1">
        <v>2</v>
      </c>
      <c r="F35" s="1" t="s">
        <v>78</v>
      </c>
      <c r="G35" s="1">
        <v>0.3</v>
      </c>
      <c r="I35" s="1" t="s">
        <v>78</v>
      </c>
      <c r="J35" s="1">
        <v>0.24</v>
      </c>
      <c r="L35" s="1" t="s">
        <v>78</v>
      </c>
      <c r="M35" s="1">
        <v>0.16</v>
      </c>
      <c r="O35" s="1" t="s">
        <v>78</v>
      </c>
      <c r="P35" s="1">
        <v>-0.12</v>
      </c>
    </row>
    <row r="36" s="1" customFormat="1" spans="2:16">
      <c r="B36" s="1" t="s">
        <v>160</v>
      </c>
      <c r="C36" s="1" t="s">
        <v>161</v>
      </c>
      <c r="F36" s="1" t="s">
        <v>160</v>
      </c>
      <c r="G36" s="1" t="s">
        <v>161</v>
      </c>
      <c r="I36" s="1" t="s">
        <v>160</v>
      </c>
      <c r="J36" s="1" t="s">
        <v>161</v>
      </c>
      <c r="L36" s="1" t="s">
        <v>160</v>
      </c>
      <c r="M36" s="1" t="s">
        <v>161</v>
      </c>
      <c r="O36" s="1" t="s">
        <v>162</v>
      </c>
      <c r="P36" s="1" t="s">
        <v>161</v>
      </c>
    </row>
    <row r="37" s="1" customFormat="1" spans="2:16">
      <c r="B37" s="1">
        <v>10</v>
      </c>
      <c r="C37" s="6">
        <f t="shared" ref="C37:C66" si="5">ROUND(1/LOG($B37,$C$35)*1.2,2)</f>
        <v>0.36</v>
      </c>
      <c r="F37" s="1">
        <v>10</v>
      </c>
      <c r="G37" s="6">
        <f>ROUND(1/LOG($B37,$G$34)*1.2+$G$35,2)</f>
        <v>0.07</v>
      </c>
      <c r="I37" s="1">
        <v>10</v>
      </c>
      <c r="J37" s="6">
        <f>ROUND(1/LOG($B37,$J$34)*1.2+$J$35,2)</f>
        <v>0.05</v>
      </c>
      <c r="L37" s="1">
        <v>10</v>
      </c>
      <c r="M37" s="6">
        <f>ROUND(1/LOG($B37,$M$34)*1.2+$M$35,2)</f>
        <v>0.08</v>
      </c>
      <c r="O37" s="1">
        <v>1</v>
      </c>
      <c r="P37" s="6">
        <f>1/LOG((36-O37),$P$34)+$P$35</f>
        <v>0.0749590218937863</v>
      </c>
    </row>
    <row r="38" s="1" customFormat="1" spans="2:16">
      <c r="B38" s="1">
        <v>20</v>
      </c>
      <c r="C38" s="6">
        <f t="shared" si="5"/>
        <v>0.28</v>
      </c>
      <c r="F38" s="1">
        <v>20</v>
      </c>
      <c r="G38" s="6">
        <f t="shared" ref="G38:G66" si="6">ROUND(1/LOG($B38,$G$34)*1.2+$G$35,2)</f>
        <v>0.12</v>
      </c>
      <c r="I38" s="1">
        <v>20</v>
      </c>
      <c r="J38" s="6">
        <f t="shared" ref="J38:J66" si="7">ROUND(1/LOG($B38,$J$34)*1.2+$J$35,2)</f>
        <v>0.1</v>
      </c>
      <c r="L38" s="1">
        <v>20</v>
      </c>
      <c r="M38" s="6">
        <f t="shared" ref="M38:M66" si="8">ROUND(1/LOG($B38,$M$34)*1.2+$M$35,2)</f>
        <v>0.1</v>
      </c>
      <c r="O38" s="1">
        <v>2</v>
      </c>
      <c r="P38" s="6">
        <f t="shared" ref="P38:P66" si="9">1/LOG((36-O38),$P$34)+$P$35</f>
        <v>0.0765616322328226</v>
      </c>
    </row>
    <row r="39" s="1" customFormat="1" spans="2:16">
      <c r="B39" s="1">
        <v>30</v>
      </c>
      <c r="C39" s="6">
        <f t="shared" si="5"/>
        <v>0.24</v>
      </c>
      <c r="F39" s="1">
        <v>30</v>
      </c>
      <c r="G39" s="6">
        <f t="shared" si="6"/>
        <v>0.14</v>
      </c>
      <c r="I39" s="1">
        <v>30</v>
      </c>
      <c r="J39" s="6">
        <f t="shared" si="7"/>
        <v>0.11</v>
      </c>
      <c r="L39" s="1">
        <v>30</v>
      </c>
      <c r="M39" s="6">
        <f t="shared" si="8"/>
        <v>0.11</v>
      </c>
      <c r="O39" s="1">
        <v>3</v>
      </c>
      <c r="P39" s="6">
        <f t="shared" si="9"/>
        <v>0.0782398631705605</v>
      </c>
    </row>
    <row r="40" s="1" customFormat="1" spans="2:16">
      <c r="B40" s="1">
        <v>40</v>
      </c>
      <c r="C40" s="6">
        <f t="shared" si="5"/>
        <v>0.23</v>
      </c>
      <c r="F40" s="1">
        <v>40</v>
      </c>
      <c r="G40" s="6">
        <f t="shared" si="6"/>
        <v>0.15</v>
      </c>
      <c r="I40" s="1">
        <v>40</v>
      </c>
      <c r="J40" s="6">
        <f t="shared" si="7"/>
        <v>0.12</v>
      </c>
      <c r="L40" s="1">
        <v>40</v>
      </c>
      <c r="M40" s="6">
        <f t="shared" si="8"/>
        <v>0.11</v>
      </c>
      <c r="O40" s="1">
        <v>4</v>
      </c>
      <c r="P40" s="6">
        <f t="shared" si="9"/>
        <v>0.08</v>
      </c>
    </row>
    <row r="41" s="1" customFormat="1" spans="2:16">
      <c r="B41" s="1">
        <v>50</v>
      </c>
      <c r="C41" s="6">
        <f t="shared" si="5"/>
        <v>0.21</v>
      </c>
      <c r="F41" s="1">
        <v>50</v>
      </c>
      <c r="G41" s="6">
        <f t="shared" si="6"/>
        <v>0.16</v>
      </c>
      <c r="I41" s="1">
        <v>50</v>
      </c>
      <c r="J41" s="6">
        <f t="shared" si="7"/>
        <v>0.13</v>
      </c>
      <c r="L41" s="1">
        <v>50</v>
      </c>
      <c r="M41" s="6">
        <f t="shared" si="8"/>
        <v>0.11</v>
      </c>
      <c r="O41" s="1">
        <v>5</v>
      </c>
      <c r="P41" s="6">
        <f t="shared" si="9"/>
        <v>0.0818490865820999</v>
      </c>
    </row>
    <row r="42" s="1" customFormat="1" spans="2:16">
      <c r="B42" s="1">
        <v>60</v>
      </c>
      <c r="C42" s="6">
        <f t="shared" si="5"/>
        <v>0.2</v>
      </c>
      <c r="F42" s="1">
        <v>60</v>
      </c>
      <c r="G42" s="6">
        <f t="shared" si="6"/>
        <v>0.17</v>
      </c>
      <c r="I42" s="1">
        <v>60</v>
      </c>
      <c r="J42" s="6">
        <f t="shared" si="7"/>
        <v>0.14</v>
      </c>
      <c r="L42" s="1">
        <v>60</v>
      </c>
      <c r="M42" s="6">
        <f t="shared" si="8"/>
        <v>0.12</v>
      </c>
      <c r="O42" s="1">
        <v>6</v>
      </c>
      <c r="P42" s="6">
        <f t="shared" si="9"/>
        <v>0.0837950470905062</v>
      </c>
    </row>
    <row r="43" s="1" customFormat="1" spans="2:16">
      <c r="B43" s="1">
        <v>70</v>
      </c>
      <c r="C43" s="6">
        <f t="shared" si="5"/>
        <v>0.2</v>
      </c>
      <c r="F43" s="1">
        <v>70</v>
      </c>
      <c r="G43" s="6">
        <f t="shared" si="6"/>
        <v>0.17</v>
      </c>
      <c r="I43" s="1">
        <v>70</v>
      </c>
      <c r="J43" s="6">
        <f t="shared" si="7"/>
        <v>0.14</v>
      </c>
      <c r="L43" s="1">
        <v>70</v>
      </c>
      <c r="M43" s="6">
        <f t="shared" si="8"/>
        <v>0.12</v>
      </c>
      <c r="O43" s="1">
        <v>7</v>
      </c>
      <c r="P43" s="6">
        <f t="shared" si="9"/>
        <v>0.0858468324604345</v>
      </c>
    </row>
    <row r="44" s="1" customFormat="1" spans="2:16">
      <c r="B44" s="1">
        <v>80</v>
      </c>
      <c r="C44" s="6">
        <f t="shared" si="5"/>
        <v>0.19</v>
      </c>
      <c r="F44" s="1">
        <v>80</v>
      </c>
      <c r="G44" s="6">
        <f t="shared" si="6"/>
        <v>0.18</v>
      </c>
      <c r="I44" s="1">
        <v>80</v>
      </c>
      <c r="J44" s="6">
        <f t="shared" si="7"/>
        <v>0.14</v>
      </c>
      <c r="L44" s="1">
        <v>80</v>
      </c>
      <c r="M44" s="6">
        <f t="shared" si="8"/>
        <v>0.12</v>
      </c>
      <c r="O44" s="1">
        <v>8</v>
      </c>
      <c r="P44" s="6">
        <f t="shared" si="9"/>
        <v>0.0880145976765095</v>
      </c>
    </row>
    <row r="45" s="1" customFormat="1" spans="2:16">
      <c r="B45" s="1">
        <v>90</v>
      </c>
      <c r="C45" s="6">
        <f t="shared" si="5"/>
        <v>0.18</v>
      </c>
      <c r="F45" s="1">
        <v>90</v>
      </c>
      <c r="G45" s="6">
        <f t="shared" si="6"/>
        <v>0.18</v>
      </c>
      <c r="I45" s="1">
        <v>90</v>
      </c>
      <c r="J45" s="6">
        <f t="shared" si="7"/>
        <v>0.14</v>
      </c>
      <c r="L45" s="1">
        <v>90</v>
      </c>
      <c r="M45" s="6">
        <f t="shared" si="8"/>
        <v>0.12</v>
      </c>
      <c r="O45" s="1">
        <v>9</v>
      </c>
      <c r="P45" s="6">
        <f t="shared" si="9"/>
        <v>0.0903099178571525</v>
      </c>
    </row>
    <row r="46" s="1" customFormat="1" spans="2:16">
      <c r="B46" s="1">
        <v>100</v>
      </c>
      <c r="C46" s="6">
        <f t="shared" si="5"/>
        <v>0.18</v>
      </c>
      <c r="F46" s="1">
        <v>100</v>
      </c>
      <c r="G46" s="6">
        <f t="shared" si="6"/>
        <v>0.18</v>
      </c>
      <c r="I46" s="1">
        <v>100</v>
      </c>
      <c r="J46" s="6">
        <f t="shared" si="7"/>
        <v>0.15</v>
      </c>
      <c r="L46" s="1">
        <v>100</v>
      </c>
      <c r="M46" s="6">
        <f t="shared" si="8"/>
        <v>0.12</v>
      </c>
      <c r="O46" s="1">
        <v>10</v>
      </c>
      <c r="P46" s="6">
        <f t="shared" si="9"/>
        <v>0.0927460535533632</v>
      </c>
    </row>
    <row r="47" s="1" customFormat="1" spans="2:16">
      <c r="B47" s="1">
        <v>110</v>
      </c>
      <c r="C47" s="6">
        <f t="shared" si="5"/>
        <v>0.18</v>
      </c>
      <c r="F47" s="1">
        <v>110</v>
      </c>
      <c r="G47" s="6">
        <f t="shared" si="6"/>
        <v>0.19</v>
      </c>
      <c r="I47" s="1">
        <v>110</v>
      </c>
      <c r="J47" s="6">
        <f t="shared" si="7"/>
        <v>0.15</v>
      </c>
      <c r="L47" s="1">
        <v>110</v>
      </c>
      <c r="M47" s="6">
        <f t="shared" si="8"/>
        <v>0.12</v>
      </c>
      <c r="O47" s="1">
        <v>11</v>
      </c>
      <c r="P47" s="6">
        <f t="shared" si="9"/>
        <v>0.0953382790366965</v>
      </c>
    </row>
    <row r="48" s="1" customFormat="1" spans="2:16">
      <c r="B48" s="1">
        <v>120</v>
      </c>
      <c r="C48" s="6">
        <f t="shared" si="5"/>
        <v>0.17</v>
      </c>
      <c r="F48" s="1">
        <v>120</v>
      </c>
      <c r="G48" s="6">
        <f t="shared" si="6"/>
        <v>0.19</v>
      </c>
      <c r="I48" s="1">
        <v>120</v>
      </c>
      <c r="J48" s="6">
        <f t="shared" si="7"/>
        <v>0.15</v>
      </c>
      <c r="L48" s="1">
        <v>120</v>
      </c>
      <c r="M48" s="6">
        <f t="shared" si="8"/>
        <v>0.12</v>
      </c>
      <c r="O48" s="1">
        <v>12</v>
      </c>
      <c r="P48" s="6">
        <f t="shared" si="9"/>
        <v>0.0981042919855316</v>
      </c>
    </row>
    <row r="49" s="1" customFormat="1" spans="2:16">
      <c r="B49" s="1">
        <v>130</v>
      </c>
      <c r="C49" s="6">
        <f t="shared" si="5"/>
        <v>0.17</v>
      </c>
      <c r="F49" s="1">
        <v>130</v>
      </c>
      <c r="G49" s="6">
        <f t="shared" si="6"/>
        <v>0.19</v>
      </c>
      <c r="I49" s="1">
        <v>130</v>
      </c>
      <c r="J49" s="6">
        <f t="shared" si="7"/>
        <v>0.15</v>
      </c>
      <c r="L49" s="1">
        <v>130</v>
      </c>
      <c r="M49" s="6">
        <f t="shared" si="8"/>
        <v>0.12</v>
      </c>
      <c r="O49" s="1">
        <v>13</v>
      </c>
      <c r="P49" s="6">
        <f t="shared" si="9"/>
        <v>0.101064729457504</v>
      </c>
    </row>
    <row r="50" s="1" customFormat="1" spans="2:16">
      <c r="B50" s="1">
        <v>140</v>
      </c>
      <c r="C50" s="6">
        <f t="shared" si="5"/>
        <v>0.17</v>
      </c>
      <c r="F50" s="1">
        <v>140</v>
      </c>
      <c r="G50" s="6">
        <f t="shared" si="6"/>
        <v>0.19</v>
      </c>
      <c r="I50" s="1">
        <v>140</v>
      </c>
      <c r="J50" s="6">
        <f t="shared" si="7"/>
        <v>0.15</v>
      </c>
      <c r="L50" s="1">
        <v>140</v>
      </c>
      <c r="M50" s="6">
        <f t="shared" si="8"/>
        <v>0.12</v>
      </c>
      <c r="O50" s="1">
        <v>14</v>
      </c>
      <c r="P50" s="6">
        <f t="shared" si="9"/>
        <v>0.104243824217575</v>
      </c>
    </row>
    <row r="51" s="1" customFormat="1" spans="2:16">
      <c r="B51" s="1">
        <v>150</v>
      </c>
      <c r="C51" s="6">
        <f t="shared" si="5"/>
        <v>0.17</v>
      </c>
      <c r="F51" s="1">
        <v>150</v>
      </c>
      <c r="G51" s="6">
        <f t="shared" si="6"/>
        <v>0.19</v>
      </c>
      <c r="I51" s="1">
        <v>150</v>
      </c>
      <c r="J51" s="6">
        <f t="shared" si="7"/>
        <v>0.15</v>
      </c>
      <c r="L51" s="1">
        <v>150</v>
      </c>
      <c r="M51" s="6">
        <f t="shared" si="8"/>
        <v>0.12</v>
      </c>
      <c r="O51" s="1">
        <v>15</v>
      </c>
      <c r="P51" s="6">
        <f t="shared" si="9"/>
        <v>0.107670248696953</v>
      </c>
    </row>
    <row r="52" s="1" customFormat="1" spans="2:16">
      <c r="B52" s="1">
        <v>160</v>
      </c>
      <c r="C52" s="6">
        <f t="shared" si="5"/>
        <v>0.16</v>
      </c>
      <c r="F52" s="1">
        <v>160</v>
      </c>
      <c r="G52" s="6">
        <f t="shared" si="6"/>
        <v>0.19</v>
      </c>
      <c r="I52" s="1">
        <v>160</v>
      </c>
      <c r="J52" s="6">
        <f t="shared" si="7"/>
        <v>0.16</v>
      </c>
      <c r="L52" s="1">
        <v>160</v>
      </c>
      <c r="M52" s="6">
        <f t="shared" si="8"/>
        <v>0.12</v>
      </c>
      <c r="O52" s="1">
        <v>16</v>
      </c>
      <c r="P52" s="6">
        <f t="shared" si="9"/>
        <v>0.111378213159759</v>
      </c>
    </row>
    <row r="53" s="1" customFormat="1" spans="2:16">
      <c r="B53" s="1">
        <v>170</v>
      </c>
      <c r="C53" s="6">
        <f t="shared" si="5"/>
        <v>0.16</v>
      </c>
      <c r="F53" s="1">
        <v>170</v>
      </c>
      <c r="G53" s="6">
        <f t="shared" si="6"/>
        <v>0.2</v>
      </c>
      <c r="I53" s="1">
        <v>170</v>
      </c>
      <c r="J53" s="6">
        <f t="shared" si="7"/>
        <v>0.16</v>
      </c>
      <c r="L53" s="1">
        <v>170</v>
      </c>
      <c r="M53" s="6">
        <f t="shared" si="8"/>
        <v>0.12</v>
      </c>
      <c r="O53" s="1">
        <v>17</v>
      </c>
      <c r="P53" s="6">
        <f t="shared" si="9"/>
        <v>0.115408913366638</v>
      </c>
    </row>
    <row r="54" s="1" customFormat="1" spans="2:16">
      <c r="B54" s="1">
        <v>180</v>
      </c>
      <c r="C54" s="6">
        <f t="shared" si="5"/>
        <v>0.16</v>
      </c>
      <c r="F54" s="1">
        <v>180</v>
      </c>
      <c r="G54" s="6">
        <f t="shared" si="6"/>
        <v>0.2</v>
      </c>
      <c r="I54" s="1">
        <v>180</v>
      </c>
      <c r="J54" s="6">
        <f t="shared" si="7"/>
        <v>0.16</v>
      </c>
      <c r="L54" s="1">
        <v>180</v>
      </c>
      <c r="M54" s="6">
        <f t="shared" si="8"/>
        <v>0.13</v>
      </c>
      <c r="O54" s="1">
        <v>18</v>
      </c>
      <c r="P54" s="6">
        <f t="shared" si="9"/>
        <v>0.119812466568131</v>
      </c>
    </row>
    <row r="55" s="1" customFormat="1" spans="2:16">
      <c r="B55" s="1">
        <v>190</v>
      </c>
      <c r="C55" s="6">
        <f t="shared" si="5"/>
        <v>0.16</v>
      </c>
      <c r="F55" s="1">
        <v>190</v>
      </c>
      <c r="G55" s="6">
        <f t="shared" si="6"/>
        <v>0.2</v>
      </c>
      <c r="I55" s="1">
        <v>190</v>
      </c>
      <c r="J55" s="6">
        <f t="shared" si="7"/>
        <v>0.16</v>
      </c>
      <c r="L55" s="1">
        <v>190</v>
      </c>
      <c r="M55" s="6">
        <f t="shared" si="8"/>
        <v>0.13</v>
      </c>
      <c r="O55" s="1">
        <v>19</v>
      </c>
      <c r="P55" s="6">
        <f t="shared" si="9"/>
        <v>0.124650542118226</v>
      </c>
    </row>
    <row r="56" s="1" customFormat="1" spans="2:16">
      <c r="B56" s="1">
        <v>200</v>
      </c>
      <c r="C56" s="6">
        <f t="shared" si="5"/>
        <v>0.16</v>
      </c>
      <c r="F56" s="1">
        <v>200</v>
      </c>
      <c r="G56" s="6">
        <f t="shared" si="6"/>
        <v>0.2</v>
      </c>
      <c r="I56" s="1">
        <v>200</v>
      </c>
      <c r="J56" s="6">
        <f t="shared" si="7"/>
        <v>0.16</v>
      </c>
      <c r="L56" s="1">
        <v>200</v>
      </c>
      <c r="M56" s="6">
        <f t="shared" si="8"/>
        <v>0.13</v>
      </c>
      <c r="O56" s="1">
        <v>20</v>
      </c>
      <c r="P56" s="6">
        <f t="shared" si="9"/>
        <v>0.13</v>
      </c>
    </row>
    <row r="57" s="1" customFormat="1" spans="2:16">
      <c r="B57" s="1">
        <v>210</v>
      </c>
      <c r="C57" s="6">
        <f t="shared" si="5"/>
        <v>0.16</v>
      </c>
      <c r="F57" s="1">
        <v>210</v>
      </c>
      <c r="G57" s="6">
        <f t="shared" si="6"/>
        <v>0.2</v>
      </c>
      <c r="I57" s="1">
        <v>210</v>
      </c>
      <c r="J57" s="6">
        <f t="shared" si="7"/>
        <v>0.16</v>
      </c>
      <c r="L57" s="1">
        <v>210</v>
      </c>
      <c r="M57" s="6">
        <f t="shared" si="8"/>
        <v>0.13</v>
      </c>
      <c r="O57" s="1">
        <v>21</v>
      </c>
      <c r="P57" s="6">
        <f t="shared" si="9"/>
        <v>0.135958024809816</v>
      </c>
    </row>
    <row r="58" s="1" customFormat="1" spans="2:16">
      <c r="B58" s="1">
        <v>220</v>
      </c>
      <c r="C58" s="6">
        <f t="shared" si="5"/>
        <v>0.15</v>
      </c>
      <c r="F58" s="1">
        <v>220</v>
      </c>
      <c r="G58" s="6">
        <f t="shared" si="6"/>
        <v>0.2</v>
      </c>
      <c r="I58" s="1">
        <v>220</v>
      </c>
      <c r="J58" s="6">
        <f t="shared" si="7"/>
        <v>0.16</v>
      </c>
      <c r="L58" s="1">
        <v>220</v>
      </c>
      <c r="M58" s="6">
        <f t="shared" si="8"/>
        <v>0.13</v>
      </c>
      <c r="O58" s="1">
        <v>22</v>
      </c>
      <c r="P58" s="6">
        <f t="shared" si="9"/>
        <v>0.142649535037194</v>
      </c>
    </row>
    <row r="59" s="1" customFormat="1" spans="2:16">
      <c r="B59" s="1">
        <v>230</v>
      </c>
      <c r="C59" s="6">
        <f t="shared" si="5"/>
        <v>0.15</v>
      </c>
      <c r="F59" s="1">
        <v>230</v>
      </c>
      <c r="G59" s="6">
        <f t="shared" si="6"/>
        <v>0.2</v>
      </c>
      <c r="I59" s="1">
        <v>230</v>
      </c>
      <c r="J59" s="6">
        <f t="shared" si="7"/>
        <v>0.16</v>
      </c>
      <c r="L59" s="1">
        <v>230</v>
      </c>
      <c r="M59" s="6">
        <f t="shared" si="8"/>
        <v>0.13</v>
      </c>
      <c r="O59" s="1">
        <v>23</v>
      </c>
      <c r="P59" s="6">
        <f t="shared" si="9"/>
        <v>0.15023815442732</v>
      </c>
    </row>
    <row r="60" s="1" customFormat="1" spans="2:16">
      <c r="B60" s="1">
        <v>240</v>
      </c>
      <c r="C60" s="6">
        <f t="shared" si="5"/>
        <v>0.15</v>
      </c>
      <c r="D60" s="7"/>
      <c r="E60" s="7"/>
      <c r="F60" s="1">
        <v>240</v>
      </c>
      <c r="G60" s="6">
        <f t="shared" si="6"/>
        <v>0.2</v>
      </c>
      <c r="I60" s="1">
        <v>240</v>
      </c>
      <c r="J60" s="6">
        <f t="shared" si="7"/>
        <v>0.16</v>
      </c>
      <c r="L60" s="1">
        <v>240</v>
      </c>
      <c r="M60" s="6">
        <f t="shared" si="8"/>
        <v>0.13</v>
      </c>
      <c r="O60" s="1">
        <v>24</v>
      </c>
      <c r="P60" s="6">
        <f t="shared" si="9"/>
        <v>0.15894294565113</v>
      </c>
    </row>
    <row r="61" s="1" customFormat="1" spans="2:16">
      <c r="B61" s="1">
        <v>250</v>
      </c>
      <c r="C61" s="6">
        <f t="shared" si="5"/>
        <v>0.15</v>
      </c>
      <c r="F61" s="1">
        <v>250</v>
      </c>
      <c r="G61" s="6">
        <f t="shared" si="6"/>
        <v>0.2</v>
      </c>
      <c r="I61" s="1">
        <v>250</v>
      </c>
      <c r="J61" s="6">
        <f t="shared" si="7"/>
        <v>0.16</v>
      </c>
      <c r="L61" s="1">
        <v>250</v>
      </c>
      <c r="M61" s="6">
        <f t="shared" si="8"/>
        <v>0.13</v>
      </c>
      <c r="O61" s="1">
        <v>25</v>
      </c>
      <c r="P61" s="6">
        <f t="shared" si="9"/>
        <v>0.169064826317888</v>
      </c>
    </row>
    <row r="62" s="1" customFormat="1" spans="2:16">
      <c r="B62" s="1">
        <v>260</v>
      </c>
      <c r="C62" s="6">
        <f t="shared" si="5"/>
        <v>0.15</v>
      </c>
      <c r="F62" s="1">
        <v>260</v>
      </c>
      <c r="G62" s="6">
        <f t="shared" si="6"/>
        <v>0.2</v>
      </c>
      <c r="I62" s="1">
        <v>260</v>
      </c>
      <c r="J62" s="6">
        <f t="shared" si="7"/>
        <v>0.16</v>
      </c>
      <c r="L62" s="1">
        <v>260</v>
      </c>
      <c r="M62" s="6">
        <f t="shared" si="8"/>
        <v>0.13</v>
      </c>
      <c r="O62" s="1">
        <v>26</v>
      </c>
      <c r="P62" s="6">
        <f t="shared" si="9"/>
        <v>0.181029995663981</v>
      </c>
    </row>
    <row r="63" s="1" customFormat="1" spans="2:16">
      <c r="B63" s="1">
        <v>270</v>
      </c>
      <c r="C63" s="6">
        <f t="shared" si="5"/>
        <v>0.15</v>
      </c>
      <c r="F63" s="1">
        <v>270</v>
      </c>
      <c r="G63" s="6">
        <f t="shared" si="6"/>
        <v>0.2</v>
      </c>
      <c r="I63" s="1">
        <v>270</v>
      </c>
      <c r="J63" s="6">
        <f t="shared" si="7"/>
        <v>0.16</v>
      </c>
      <c r="L63" s="1">
        <v>270</v>
      </c>
      <c r="M63" s="6">
        <f t="shared" si="8"/>
        <v>0.13</v>
      </c>
      <c r="O63" s="1">
        <v>27</v>
      </c>
      <c r="P63" s="6">
        <f t="shared" si="9"/>
        <v>0.195464876785729</v>
      </c>
    </row>
    <row r="64" s="1" customFormat="1" spans="2:16">
      <c r="B64" s="1">
        <v>280</v>
      </c>
      <c r="C64" s="6">
        <f t="shared" si="5"/>
        <v>0.15</v>
      </c>
      <c r="F64" s="1">
        <v>280</v>
      </c>
      <c r="G64" s="6">
        <f t="shared" si="6"/>
        <v>0.2</v>
      </c>
      <c r="I64" s="1">
        <v>280</v>
      </c>
      <c r="J64" s="6">
        <f t="shared" si="7"/>
        <v>0.16</v>
      </c>
      <c r="L64" s="1">
        <v>280</v>
      </c>
      <c r="M64" s="6">
        <f t="shared" si="8"/>
        <v>0.13</v>
      </c>
      <c r="O64" s="1">
        <v>28</v>
      </c>
      <c r="P64" s="6">
        <f t="shared" si="9"/>
        <v>0.213333333333333</v>
      </c>
    </row>
    <row r="65" s="1" customFormat="1" spans="2:16">
      <c r="B65" s="1">
        <v>290</v>
      </c>
      <c r="C65" s="6">
        <f t="shared" si="5"/>
        <v>0.15</v>
      </c>
      <c r="F65" s="1">
        <v>290</v>
      </c>
      <c r="G65" s="6">
        <f t="shared" si="6"/>
        <v>0.21</v>
      </c>
      <c r="I65" s="1">
        <v>290</v>
      </c>
      <c r="J65" s="6">
        <f t="shared" si="7"/>
        <v>0.16</v>
      </c>
      <c r="L65" s="1">
        <v>290</v>
      </c>
      <c r="M65" s="6">
        <f t="shared" si="8"/>
        <v>0.13</v>
      </c>
      <c r="O65" s="1">
        <v>29</v>
      </c>
      <c r="P65" s="6">
        <f t="shared" si="9"/>
        <v>0.236207187108022</v>
      </c>
    </row>
    <row r="66" s="1" customFormat="1" spans="2:16">
      <c r="B66" s="1">
        <v>300</v>
      </c>
      <c r="C66" s="6">
        <f t="shared" si="5"/>
        <v>0.15</v>
      </c>
      <c r="F66" s="1">
        <v>300</v>
      </c>
      <c r="G66" s="6">
        <f t="shared" si="6"/>
        <v>0.21</v>
      </c>
      <c r="I66" s="1">
        <v>300</v>
      </c>
      <c r="J66" s="6">
        <f t="shared" si="7"/>
        <v>0.16</v>
      </c>
      <c r="L66" s="1">
        <v>300</v>
      </c>
      <c r="M66" s="6">
        <f t="shared" si="8"/>
        <v>0.13</v>
      </c>
      <c r="O66" s="1">
        <v>30</v>
      </c>
      <c r="P66" s="6">
        <f t="shared" si="9"/>
        <v>0.266852807234542</v>
      </c>
    </row>
    <row r="68" spans="2:15">
      <c r="B68" s="1" t="s">
        <v>163</v>
      </c>
      <c r="F68" s="1" t="s">
        <v>164</v>
      </c>
      <c r="I68" s="1" t="s">
        <v>165</v>
      </c>
      <c r="L68" s="1" t="s">
        <v>166</v>
      </c>
      <c r="O68" s="1" t="s">
        <v>167</v>
      </c>
    </row>
    <row r="69" spans="2:16">
      <c r="B69" s="1" t="s">
        <v>77</v>
      </c>
      <c r="C69" s="1">
        <v>-1.8</v>
      </c>
      <c r="F69" s="1" t="s">
        <v>77</v>
      </c>
      <c r="G69" s="1">
        <v>-1.02</v>
      </c>
      <c r="I69" s="1" t="s">
        <v>77</v>
      </c>
      <c r="J69" s="1">
        <v>1.14</v>
      </c>
      <c r="L69" s="1" t="s">
        <v>77</v>
      </c>
      <c r="M69" s="1">
        <v>-1.02</v>
      </c>
      <c r="O69" s="1" t="s">
        <v>77</v>
      </c>
      <c r="P69" s="1">
        <v>-1.02</v>
      </c>
    </row>
    <row r="70" spans="2:16">
      <c r="B70" s="1" t="s">
        <v>78</v>
      </c>
      <c r="C70" s="1">
        <v>0.88</v>
      </c>
      <c r="F70" s="1" t="s">
        <v>78</v>
      </c>
      <c r="G70" s="1">
        <v>0.64</v>
      </c>
      <c r="I70" s="1" t="s">
        <v>78</v>
      </c>
      <c r="J70" s="1">
        <v>-0.78</v>
      </c>
      <c r="L70" s="1" t="s">
        <v>78</v>
      </c>
      <c r="M70" s="1">
        <v>0.66</v>
      </c>
      <c r="O70" s="1" t="s">
        <v>78</v>
      </c>
      <c r="P70" s="1">
        <v>0.7</v>
      </c>
    </row>
    <row r="71" spans="2:16">
      <c r="B71" s="1" t="s">
        <v>79</v>
      </c>
      <c r="C71" s="1">
        <v>0.2</v>
      </c>
      <c r="F71" s="1" t="s">
        <v>79</v>
      </c>
      <c r="G71" s="1">
        <v>0.05</v>
      </c>
      <c r="I71" s="1" t="s">
        <v>79</v>
      </c>
      <c r="J71" s="1">
        <v>0.2</v>
      </c>
      <c r="L71" s="1" t="s">
        <v>79</v>
      </c>
      <c r="M71" s="1">
        <v>0.07</v>
      </c>
      <c r="O71" s="1" t="s">
        <v>79</v>
      </c>
      <c r="P71" s="1">
        <v>0.068</v>
      </c>
    </row>
    <row r="72" spans="2:16">
      <c r="B72" s="1" t="s">
        <v>162</v>
      </c>
      <c r="C72" s="1" t="s">
        <v>161</v>
      </c>
      <c r="F72" s="1" t="s">
        <v>162</v>
      </c>
      <c r="G72" s="1" t="s">
        <v>161</v>
      </c>
      <c r="I72" s="1" t="s">
        <v>162</v>
      </c>
      <c r="J72" s="1" t="s">
        <v>161</v>
      </c>
      <c r="L72" s="1" t="s">
        <v>162</v>
      </c>
      <c r="M72" s="1" t="s">
        <v>161</v>
      </c>
      <c r="O72" s="1" t="s">
        <v>162</v>
      </c>
      <c r="P72" s="1" t="s">
        <v>161</v>
      </c>
    </row>
    <row r="73" spans="2:16">
      <c r="B73" s="1">
        <v>1</v>
      </c>
      <c r="C73" s="6">
        <f>ROUND($C$69*(B73/50)^2+$C$70*(B73/50)+$C$71,2)</f>
        <v>0.22</v>
      </c>
      <c r="F73" s="1">
        <v>1</v>
      </c>
      <c r="G73" s="6">
        <f>ROUND($G$69*(F73/50)^2+$G$70*(F73/50)+$G$71,2)</f>
        <v>0.06</v>
      </c>
      <c r="I73" s="1">
        <v>1</v>
      </c>
      <c r="J73" s="6">
        <f>ROUND($J$69*(I73/60)^2+$J$70*(I73/60)+$J$71,2)</f>
        <v>0.19</v>
      </c>
      <c r="L73" s="1">
        <v>1</v>
      </c>
      <c r="M73" s="6">
        <f>ROUND($M$69*(L73/50)^2+$M$70*(L73/50)+$M$71,2)</f>
        <v>0.08</v>
      </c>
      <c r="O73" s="1">
        <v>1</v>
      </c>
      <c r="P73" s="6">
        <f>ROUND($P$69*(O73/50)^2+$P$70*(O73/50)+$P$71,2)</f>
        <v>0.08</v>
      </c>
    </row>
    <row r="74" spans="2:16">
      <c r="B74" s="1">
        <v>2</v>
      </c>
      <c r="C74" s="6">
        <f t="shared" ref="C74:C102" si="10">ROUND($C$69*(B74/50)^2+$C$70*(B74/50)+$C$71,2)</f>
        <v>0.23</v>
      </c>
      <c r="F74" s="1">
        <v>2</v>
      </c>
      <c r="G74" s="6">
        <f t="shared" ref="G74:G102" si="11">ROUND($G$69*(F74/50)^2+$G$70*(F74/50)+$G$71,2)</f>
        <v>0.07</v>
      </c>
      <c r="I74" s="1">
        <v>2</v>
      </c>
      <c r="J74" s="6">
        <f t="shared" ref="J74:J102" si="12">ROUND($J$69*(I74/60)^2+$J$70*(I74/60)+$J$71,2)</f>
        <v>0.18</v>
      </c>
      <c r="L74" s="1">
        <v>2</v>
      </c>
      <c r="M74" s="6">
        <f t="shared" ref="M74:M102" si="13">ROUND($M$69*(L74/50)^2+$M$70*(L74/50)+$M$71,2)</f>
        <v>0.09</v>
      </c>
      <c r="O74" s="1">
        <v>2</v>
      </c>
      <c r="P74" s="6">
        <f t="shared" ref="P74:P102" si="14">ROUND($P$69*(O74/50)^2+$P$70*(O74/50)+$P$71,2)</f>
        <v>0.09</v>
      </c>
    </row>
    <row r="75" spans="2:16">
      <c r="B75" s="1">
        <v>3</v>
      </c>
      <c r="C75" s="6">
        <f t="shared" si="10"/>
        <v>0.25</v>
      </c>
      <c r="F75" s="1">
        <v>3</v>
      </c>
      <c r="G75" s="6">
        <f t="shared" si="11"/>
        <v>0.08</v>
      </c>
      <c r="I75" s="1">
        <v>3</v>
      </c>
      <c r="J75" s="6">
        <f t="shared" si="12"/>
        <v>0.16</v>
      </c>
      <c r="L75" s="1">
        <v>3</v>
      </c>
      <c r="M75" s="6">
        <f t="shared" si="13"/>
        <v>0.11</v>
      </c>
      <c r="O75" s="1">
        <v>3</v>
      </c>
      <c r="P75" s="6">
        <f t="shared" si="14"/>
        <v>0.11</v>
      </c>
    </row>
    <row r="76" spans="2:16">
      <c r="B76" s="1">
        <v>4</v>
      </c>
      <c r="C76" s="6">
        <f t="shared" si="10"/>
        <v>0.26</v>
      </c>
      <c r="F76" s="1">
        <v>4</v>
      </c>
      <c r="G76" s="6">
        <f t="shared" si="11"/>
        <v>0.09</v>
      </c>
      <c r="I76" s="1">
        <v>4</v>
      </c>
      <c r="J76" s="6">
        <f t="shared" si="12"/>
        <v>0.15</v>
      </c>
      <c r="L76" s="1">
        <v>4</v>
      </c>
      <c r="M76" s="6">
        <f t="shared" si="13"/>
        <v>0.12</v>
      </c>
      <c r="O76" s="1">
        <v>4</v>
      </c>
      <c r="P76" s="6">
        <f t="shared" si="14"/>
        <v>0.12</v>
      </c>
    </row>
    <row r="77" spans="2:16">
      <c r="B77" s="1">
        <v>5</v>
      </c>
      <c r="C77" s="6">
        <f t="shared" si="10"/>
        <v>0.27</v>
      </c>
      <c r="F77" s="1">
        <v>5</v>
      </c>
      <c r="G77" s="6">
        <f t="shared" si="11"/>
        <v>0.1</v>
      </c>
      <c r="I77" s="1">
        <v>5</v>
      </c>
      <c r="J77" s="6">
        <f t="shared" si="12"/>
        <v>0.14</v>
      </c>
      <c r="L77" s="1">
        <v>5</v>
      </c>
      <c r="M77" s="6">
        <f t="shared" si="13"/>
        <v>0.13</v>
      </c>
      <c r="O77" s="1">
        <v>5</v>
      </c>
      <c r="P77" s="6">
        <f t="shared" si="14"/>
        <v>0.13</v>
      </c>
    </row>
    <row r="78" spans="2:16">
      <c r="B78" s="1">
        <v>6</v>
      </c>
      <c r="C78" s="6">
        <f t="shared" si="10"/>
        <v>0.28</v>
      </c>
      <c r="F78" s="1">
        <v>6</v>
      </c>
      <c r="G78" s="6">
        <f t="shared" si="11"/>
        <v>0.11</v>
      </c>
      <c r="I78" s="1">
        <v>6</v>
      </c>
      <c r="J78" s="6">
        <f t="shared" si="12"/>
        <v>0.13</v>
      </c>
      <c r="L78" s="1">
        <v>6</v>
      </c>
      <c r="M78" s="6">
        <f t="shared" si="13"/>
        <v>0.13</v>
      </c>
      <c r="O78" s="1">
        <v>6</v>
      </c>
      <c r="P78" s="6">
        <f t="shared" si="14"/>
        <v>0.14</v>
      </c>
    </row>
    <row r="79" spans="2:16">
      <c r="B79" s="1">
        <v>7</v>
      </c>
      <c r="C79" s="6">
        <f t="shared" si="10"/>
        <v>0.29</v>
      </c>
      <c r="F79" s="1">
        <v>7</v>
      </c>
      <c r="G79" s="6">
        <f t="shared" si="11"/>
        <v>0.12</v>
      </c>
      <c r="I79" s="1">
        <v>7</v>
      </c>
      <c r="J79" s="6">
        <f t="shared" si="12"/>
        <v>0.12</v>
      </c>
      <c r="L79" s="1">
        <v>7</v>
      </c>
      <c r="M79" s="6">
        <f t="shared" si="13"/>
        <v>0.14</v>
      </c>
      <c r="O79" s="1">
        <v>7</v>
      </c>
      <c r="P79" s="6">
        <f t="shared" si="14"/>
        <v>0.15</v>
      </c>
    </row>
    <row r="80" spans="2:16">
      <c r="B80" s="1">
        <v>8</v>
      </c>
      <c r="C80" s="6">
        <f t="shared" si="10"/>
        <v>0.29</v>
      </c>
      <c r="F80" s="1">
        <v>8</v>
      </c>
      <c r="G80" s="6">
        <f t="shared" si="11"/>
        <v>0.13</v>
      </c>
      <c r="I80" s="1">
        <v>8</v>
      </c>
      <c r="J80" s="6">
        <f t="shared" si="12"/>
        <v>0.12</v>
      </c>
      <c r="L80" s="1">
        <v>8</v>
      </c>
      <c r="M80" s="6">
        <f t="shared" si="13"/>
        <v>0.15</v>
      </c>
      <c r="O80" s="1">
        <v>8</v>
      </c>
      <c r="P80" s="6">
        <f t="shared" si="14"/>
        <v>0.15</v>
      </c>
    </row>
    <row r="81" spans="2:16">
      <c r="B81" s="1">
        <v>9</v>
      </c>
      <c r="C81" s="6">
        <f t="shared" si="10"/>
        <v>0.3</v>
      </c>
      <c r="F81" s="1">
        <v>9</v>
      </c>
      <c r="G81" s="6">
        <f t="shared" si="11"/>
        <v>0.13</v>
      </c>
      <c r="I81" s="1">
        <v>9</v>
      </c>
      <c r="J81" s="6">
        <f t="shared" si="12"/>
        <v>0.11</v>
      </c>
      <c r="L81" s="1">
        <v>9</v>
      </c>
      <c r="M81" s="6">
        <f t="shared" si="13"/>
        <v>0.16</v>
      </c>
      <c r="O81" s="1">
        <v>9</v>
      </c>
      <c r="P81" s="6">
        <f t="shared" si="14"/>
        <v>0.16</v>
      </c>
    </row>
    <row r="82" spans="2:16">
      <c r="B82" s="1">
        <v>10</v>
      </c>
      <c r="C82" s="6">
        <f t="shared" si="10"/>
        <v>0.3</v>
      </c>
      <c r="F82" s="1">
        <v>10</v>
      </c>
      <c r="G82" s="6">
        <f t="shared" si="11"/>
        <v>0.14</v>
      </c>
      <c r="I82" s="1">
        <v>10</v>
      </c>
      <c r="J82" s="6">
        <f t="shared" si="12"/>
        <v>0.1</v>
      </c>
      <c r="L82" s="1">
        <v>10</v>
      </c>
      <c r="M82" s="6">
        <f t="shared" si="13"/>
        <v>0.16</v>
      </c>
      <c r="O82" s="1">
        <v>10</v>
      </c>
      <c r="P82" s="6">
        <f t="shared" si="14"/>
        <v>0.17</v>
      </c>
    </row>
    <row r="83" spans="2:16">
      <c r="B83" s="1">
        <v>11</v>
      </c>
      <c r="C83" s="6">
        <f t="shared" si="10"/>
        <v>0.31</v>
      </c>
      <c r="F83" s="1">
        <v>11</v>
      </c>
      <c r="G83" s="6">
        <f t="shared" si="11"/>
        <v>0.14</v>
      </c>
      <c r="I83" s="1">
        <v>11</v>
      </c>
      <c r="J83" s="6">
        <f t="shared" si="12"/>
        <v>0.1</v>
      </c>
      <c r="L83" s="1">
        <v>11</v>
      </c>
      <c r="M83" s="6">
        <f t="shared" si="13"/>
        <v>0.17</v>
      </c>
      <c r="O83" s="1">
        <v>11</v>
      </c>
      <c r="P83" s="6">
        <f t="shared" si="14"/>
        <v>0.17</v>
      </c>
    </row>
    <row r="84" spans="2:16">
      <c r="B84" s="1">
        <v>12</v>
      </c>
      <c r="C84" s="6">
        <f t="shared" si="10"/>
        <v>0.31</v>
      </c>
      <c r="F84" s="1">
        <v>12</v>
      </c>
      <c r="G84" s="6">
        <f t="shared" si="11"/>
        <v>0.14</v>
      </c>
      <c r="I84" s="1">
        <v>12</v>
      </c>
      <c r="J84" s="6">
        <f t="shared" si="12"/>
        <v>0.09</v>
      </c>
      <c r="L84" s="1">
        <v>12</v>
      </c>
      <c r="M84" s="6">
        <f t="shared" si="13"/>
        <v>0.17</v>
      </c>
      <c r="O84" s="1">
        <v>12</v>
      </c>
      <c r="P84" s="6">
        <f t="shared" si="14"/>
        <v>0.18</v>
      </c>
    </row>
    <row r="85" spans="2:16">
      <c r="B85" s="1">
        <v>13</v>
      </c>
      <c r="C85" s="6">
        <f t="shared" si="10"/>
        <v>0.31</v>
      </c>
      <c r="F85" s="1">
        <v>13</v>
      </c>
      <c r="G85" s="6">
        <f t="shared" si="11"/>
        <v>0.15</v>
      </c>
      <c r="I85" s="1">
        <v>13</v>
      </c>
      <c r="J85" s="6">
        <f t="shared" si="12"/>
        <v>0.08</v>
      </c>
      <c r="L85" s="1">
        <v>13</v>
      </c>
      <c r="M85" s="6">
        <f t="shared" si="13"/>
        <v>0.17</v>
      </c>
      <c r="O85" s="1">
        <v>13</v>
      </c>
      <c r="P85" s="6">
        <f t="shared" si="14"/>
        <v>0.18</v>
      </c>
    </row>
    <row r="86" spans="2:16">
      <c r="B86" s="1">
        <v>14</v>
      </c>
      <c r="C86" s="6">
        <f t="shared" si="10"/>
        <v>0.31</v>
      </c>
      <c r="F86" s="1">
        <v>14</v>
      </c>
      <c r="G86" s="6">
        <f t="shared" si="11"/>
        <v>0.15</v>
      </c>
      <c r="I86" s="1">
        <v>14</v>
      </c>
      <c r="J86" s="6">
        <f t="shared" si="12"/>
        <v>0.08</v>
      </c>
      <c r="L86" s="1">
        <v>14</v>
      </c>
      <c r="M86" s="6">
        <f t="shared" si="13"/>
        <v>0.17</v>
      </c>
      <c r="O86" s="1">
        <v>14</v>
      </c>
      <c r="P86" s="6">
        <f t="shared" si="14"/>
        <v>0.18</v>
      </c>
    </row>
    <row r="87" spans="2:16">
      <c r="B87" s="1">
        <v>15</v>
      </c>
      <c r="C87" s="6">
        <f t="shared" si="10"/>
        <v>0.3</v>
      </c>
      <c r="F87" s="1">
        <v>15</v>
      </c>
      <c r="G87" s="6">
        <f t="shared" si="11"/>
        <v>0.15</v>
      </c>
      <c r="I87" s="1">
        <v>15</v>
      </c>
      <c r="J87" s="6">
        <f t="shared" si="12"/>
        <v>0.08</v>
      </c>
      <c r="L87" s="1">
        <v>15</v>
      </c>
      <c r="M87" s="6">
        <f t="shared" si="13"/>
        <v>0.18</v>
      </c>
      <c r="O87" s="1">
        <v>15</v>
      </c>
      <c r="P87" s="6">
        <f t="shared" si="14"/>
        <v>0.19</v>
      </c>
    </row>
    <row r="88" spans="2:16">
      <c r="B88" s="1">
        <v>16</v>
      </c>
      <c r="C88" s="6">
        <f t="shared" si="10"/>
        <v>0.3</v>
      </c>
      <c r="F88" s="1">
        <v>16</v>
      </c>
      <c r="G88" s="6">
        <f t="shared" si="11"/>
        <v>0.15</v>
      </c>
      <c r="I88" s="1">
        <v>16</v>
      </c>
      <c r="J88" s="6">
        <f t="shared" si="12"/>
        <v>0.07</v>
      </c>
      <c r="L88" s="1">
        <v>16</v>
      </c>
      <c r="M88" s="6">
        <f t="shared" si="13"/>
        <v>0.18</v>
      </c>
      <c r="O88" s="1">
        <v>16</v>
      </c>
      <c r="P88" s="6">
        <f t="shared" si="14"/>
        <v>0.19</v>
      </c>
    </row>
    <row r="89" spans="2:16">
      <c r="B89" s="1">
        <v>17</v>
      </c>
      <c r="C89" s="6">
        <f t="shared" si="10"/>
        <v>0.29</v>
      </c>
      <c r="F89" s="1">
        <v>17</v>
      </c>
      <c r="G89" s="6">
        <f t="shared" si="11"/>
        <v>0.15</v>
      </c>
      <c r="I89" s="1">
        <v>17</v>
      </c>
      <c r="J89" s="6">
        <f t="shared" si="12"/>
        <v>0.07</v>
      </c>
      <c r="L89" s="1">
        <v>17</v>
      </c>
      <c r="M89" s="6">
        <f t="shared" si="13"/>
        <v>0.18</v>
      </c>
      <c r="O89" s="1">
        <v>17</v>
      </c>
      <c r="P89" s="6">
        <f t="shared" si="14"/>
        <v>0.19</v>
      </c>
    </row>
    <row r="90" spans="2:16">
      <c r="B90" s="1">
        <v>18</v>
      </c>
      <c r="C90" s="6">
        <f t="shared" si="10"/>
        <v>0.28</v>
      </c>
      <c r="F90" s="1">
        <v>18</v>
      </c>
      <c r="G90" s="6">
        <f t="shared" si="11"/>
        <v>0.15</v>
      </c>
      <c r="I90" s="1">
        <v>18</v>
      </c>
      <c r="J90" s="6">
        <f t="shared" si="12"/>
        <v>0.07</v>
      </c>
      <c r="L90" s="1">
        <v>18</v>
      </c>
      <c r="M90" s="6">
        <f t="shared" si="13"/>
        <v>0.18</v>
      </c>
      <c r="O90" s="1">
        <v>18</v>
      </c>
      <c r="P90" s="6">
        <f t="shared" si="14"/>
        <v>0.19</v>
      </c>
    </row>
    <row r="91" spans="2:16">
      <c r="B91" s="1">
        <v>19</v>
      </c>
      <c r="C91" s="6">
        <f t="shared" si="10"/>
        <v>0.27</v>
      </c>
      <c r="F91" s="1">
        <v>19</v>
      </c>
      <c r="G91" s="6">
        <f t="shared" si="11"/>
        <v>0.15</v>
      </c>
      <c r="I91" s="1">
        <v>19</v>
      </c>
      <c r="J91" s="6">
        <f t="shared" si="12"/>
        <v>0.07</v>
      </c>
      <c r="L91" s="1">
        <v>19</v>
      </c>
      <c r="M91" s="6">
        <f t="shared" si="13"/>
        <v>0.17</v>
      </c>
      <c r="O91" s="1">
        <v>19</v>
      </c>
      <c r="P91" s="6">
        <f t="shared" si="14"/>
        <v>0.19</v>
      </c>
    </row>
    <row r="92" spans="2:16">
      <c r="B92" s="1">
        <v>20</v>
      </c>
      <c r="C92" s="6">
        <f t="shared" si="10"/>
        <v>0.26</v>
      </c>
      <c r="F92" s="1">
        <v>20</v>
      </c>
      <c r="G92" s="6">
        <f t="shared" si="11"/>
        <v>0.14</v>
      </c>
      <c r="I92" s="1">
        <v>20</v>
      </c>
      <c r="J92" s="6">
        <f t="shared" si="12"/>
        <v>0.07</v>
      </c>
      <c r="L92" s="1">
        <v>20</v>
      </c>
      <c r="M92" s="6">
        <f t="shared" si="13"/>
        <v>0.17</v>
      </c>
      <c r="O92" s="1">
        <v>20</v>
      </c>
      <c r="P92" s="6">
        <f t="shared" si="14"/>
        <v>0.18</v>
      </c>
    </row>
    <row r="93" spans="2:16">
      <c r="B93" s="1">
        <v>21</v>
      </c>
      <c r="C93" s="6">
        <f t="shared" si="10"/>
        <v>0.25</v>
      </c>
      <c r="F93" s="1">
        <v>21</v>
      </c>
      <c r="G93" s="6">
        <f t="shared" si="11"/>
        <v>0.14</v>
      </c>
      <c r="I93" s="1">
        <v>21</v>
      </c>
      <c r="J93" s="6">
        <f t="shared" si="12"/>
        <v>0.07</v>
      </c>
      <c r="L93" s="1">
        <v>21</v>
      </c>
      <c r="M93" s="6">
        <f t="shared" si="13"/>
        <v>0.17</v>
      </c>
      <c r="O93" s="1">
        <v>21</v>
      </c>
      <c r="P93" s="6">
        <f t="shared" si="14"/>
        <v>0.18</v>
      </c>
    </row>
    <row r="94" spans="2:16">
      <c r="B94" s="1">
        <v>22</v>
      </c>
      <c r="C94" s="6">
        <f t="shared" si="10"/>
        <v>0.24</v>
      </c>
      <c r="F94" s="1">
        <v>22</v>
      </c>
      <c r="G94" s="6">
        <f t="shared" si="11"/>
        <v>0.13</v>
      </c>
      <c r="I94" s="1">
        <v>22</v>
      </c>
      <c r="J94" s="6">
        <f t="shared" si="12"/>
        <v>0.07</v>
      </c>
      <c r="L94" s="1">
        <v>22</v>
      </c>
      <c r="M94" s="6">
        <f t="shared" si="13"/>
        <v>0.16</v>
      </c>
      <c r="O94" s="1">
        <v>22</v>
      </c>
      <c r="P94" s="6">
        <f t="shared" si="14"/>
        <v>0.18</v>
      </c>
    </row>
    <row r="95" spans="2:16">
      <c r="B95" s="1">
        <v>23</v>
      </c>
      <c r="C95" s="6">
        <f t="shared" si="10"/>
        <v>0.22</v>
      </c>
      <c r="F95" s="1">
        <v>23</v>
      </c>
      <c r="G95" s="6">
        <f t="shared" si="11"/>
        <v>0.13</v>
      </c>
      <c r="I95" s="1">
        <v>23</v>
      </c>
      <c r="J95" s="6">
        <f t="shared" si="12"/>
        <v>0.07</v>
      </c>
      <c r="L95" s="1">
        <v>23</v>
      </c>
      <c r="M95" s="6">
        <f t="shared" si="13"/>
        <v>0.16</v>
      </c>
      <c r="O95" s="1">
        <v>23</v>
      </c>
      <c r="P95" s="6">
        <f t="shared" si="14"/>
        <v>0.17</v>
      </c>
    </row>
    <row r="96" spans="2:16">
      <c r="B96" s="1">
        <v>24</v>
      </c>
      <c r="C96" s="6">
        <f t="shared" si="10"/>
        <v>0.21</v>
      </c>
      <c r="F96" s="1">
        <v>24</v>
      </c>
      <c r="G96" s="6">
        <f t="shared" si="11"/>
        <v>0.12</v>
      </c>
      <c r="I96" s="1">
        <v>24</v>
      </c>
      <c r="J96" s="6">
        <f t="shared" si="12"/>
        <v>0.07</v>
      </c>
      <c r="L96" s="1">
        <v>24</v>
      </c>
      <c r="M96" s="6">
        <f t="shared" si="13"/>
        <v>0.15</v>
      </c>
      <c r="O96" s="1">
        <v>24</v>
      </c>
      <c r="P96" s="6">
        <f t="shared" si="14"/>
        <v>0.17</v>
      </c>
    </row>
    <row r="97" spans="2:16">
      <c r="B97" s="1">
        <v>25</v>
      </c>
      <c r="C97" s="6">
        <f t="shared" si="10"/>
        <v>0.19</v>
      </c>
      <c r="F97" s="1">
        <v>25</v>
      </c>
      <c r="G97" s="6">
        <f t="shared" si="11"/>
        <v>0.12</v>
      </c>
      <c r="I97" s="1">
        <v>25</v>
      </c>
      <c r="J97" s="6">
        <f t="shared" si="12"/>
        <v>0.07</v>
      </c>
      <c r="L97" s="1">
        <v>25</v>
      </c>
      <c r="M97" s="6">
        <f t="shared" si="13"/>
        <v>0.15</v>
      </c>
      <c r="O97" s="1">
        <v>25</v>
      </c>
      <c r="P97" s="6">
        <f t="shared" si="14"/>
        <v>0.16</v>
      </c>
    </row>
    <row r="98" spans="2:16">
      <c r="B98" s="1">
        <v>26</v>
      </c>
      <c r="C98" s="6">
        <f t="shared" si="10"/>
        <v>0.17</v>
      </c>
      <c r="F98" s="1">
        <v>26</v>
      </c>
      <c r="G98" s="6">
        <f t="shared" si="11"/>
        <v>0.11</v>
      </c>
      <c r="I98" s="1">
        <v>26</v>
      </c>
      <c r="J98" s="6">
        <f t="shared" si="12"/>
        <v>0.08</v>
      </c>
      <c r="L98" s="1">
        <v>26</v>
      </c>
      <c r="M98" s="6">
        <f t="shared" si="13"/>
        <v>0.14</v>
      </c>
      <c r="O98" s="1">
        <v>26</v>
      </c>
      <c r="P98" s="6">
        <f t="shared" si="14"/>
        <v>0.16</v>
      </c>
    </row>
    <row r="99" spans="2:16">
      <c r="B99" s="1">
        <v>27</v>
      </c>
      <c r="C99" s="6">
        <f t="shared" si="10"/>
        <v>0.15</v>
      </c>
      <c r="F99" s="1">
        <v>27</v>
      </c>
      <c r="G99" s="6">
        <f t="shared" si="11"/>
        <v>0.1</v>
      </c>
      <c r="I99" s="1">
        <v>27</v>
      </c>
      <c r="J99" s="6">
        <f t="shared" si="12"/>
        <v>0.08</v>
      </c>
      <c r="L99" s="1">
        <v>27</v>
      </c>
      <c r="M99" s="6">
        <f t="shared" si="13"/>
        <v>0.13</v>
      </c>
      <c r="O99" s="1">
        <v>27</v>
      </c>
      <c r="P99" s="6">
        <f t="shared" si="14"/>
        <v>0.15</v>
      </c>
    </row>
    <row r="100" spans="2:16">
      <c r="B100" s="1">
        <v>28</v>
      </c>
      <c r="C100" s="6">
        <f t="shared" si="10"/>
        <v>0.13</v>
      </c>
      <c r="F100" s="1">
        <v>28</v>
      </c>
      <c r="G100" s="6">
        <f t="shared" si="11"/>
        <v>0.09</v>
      </c>
      <c r="I100" s="1">
        <v>28</v>
      </c>
      <c r="J100" s="6">
        <f t="shared" si="12"/>
        <v>0.08</v>
      </c>
      <c r="L100" s="1">
        <v>28</v>
      </c>
      <c r="M100" s="6">
        <f t="shared" si="13"/>
        <v>0.12</v>
      </c>
      <c r="O100" s="1">
        <v>28</v>
      </c>
      <c r="P100" s="6">
        <f t="shared" si="14"/>
        <v>0.14</v>
      </c>
    </row>
    <row r="101" spans="2:16">
      <c r="B101" s="1">
        <v>29</v>
      </c>
      <c r="C101" s="6">
        <f t="shared" si="10"/>
        <v>0.1</v>
      </c>
      <c r="F101" s="1">
        <v>29</v>
      </c>
      <c r="G101" s="6">
        <f t="shared" si="11"/>
        <v>0.08</v>
      </c>
      <c r="I101" s="1">
        <v>29</v>
      </c>
      <c r="J101" s="6">
        <f t="shared" si="12"/>
        <v>0.09</v>
      </c>
      <c r="L101" s="1">
        <v>29</v>
      </c>
      <c r="M101" s="6">
        <f t="shared" si="13"/>
        <v>0.11</v>
      </c>
      <c r="O101" s="1">
        <v>29</v>
      </c>
      <c r="P101" s="6">
        <f t="shared" si="14"/>
        <v>0.13</v>
      </c>
    </row>
    <row r="102" spans="2:16">
      <c r="B102" s="1">
        <v>30</v>
      </c>
      <c r="C102" s="6">
        <f t="shared" si="10"/>
        <v>0.08</v>
      </c>
      <c r="F102" s="1">
        <v>30</v>
      </c>
      <c r="G102" s="6">
        <f t="shared" si="11"/>
        <v>0.07</v>
      </c>
      <c r="I102" s="1">
        <v>30</v>
      </c>
      <c r="J102" s="6">
        <f t="shared" si="12"/>
        <v>0.1</v>
      </c>
      <c r="L102" s="1">
        <v>30</v>
      </c>
      <c r="M102" s="6">
        <f t="shared" si="13"/>
        <v>0.1</v>
      </c>
      <c r="O102" s="1">
        <v>30</v>
      </c>
      <c r="P102" s="6">
        <f t="shared" si="14"/>
        <v>0.12</v>
      </c>
    </row>
    <row r="107" spans="2:15">
      <c r="B107" s="1" t="s">
        <v>168</v>
      </c>
      <c r="F107" s="1" t="s">
        <v>169</v>
      </c>
      <c r="I107" s="1" t="s">
        <v>170</v>
      </c>
      <c r="L107" s="1" t="s">
        <v>171</v>
      </c>
      <c r="O107" s="1" t="s">
        <v>172</v>
      </c>
    </row>
    <row r="108" spans="2:16">
      <c r="B108" s="1" t="s">
        <v>77</v>
      </c>
      <c r="C108" s="1">
        <v>-0.2</v>
      </c>
      <c r="F108" s="1" t="s">
        <v>77</v>
      </c>
      <c r="G108" s="1">
        <v>0.08</v>
      </c>
      <c r="I108" s="1" t="s">
        <v>77</v>
      </c>
      <c r="J108" s="1">
        <v>0.28</v>
      </c>
      <c r="L108" s="1" t="s">
        <v>77</v>
      </c>
      <c r="M108" s="1">
        <v>-0.4</v>
      </c>
      <c r="O108" s="1" t="s">
        <v>77</v>
      </c>
      <c r="P108" s="1">
        <v>0.1</v>
      </c>
    </row>
    <row r="109" spans="2:16">
      <c r="B109" s="1" t="s">
        <v>78</v>
      </c>
      <c r="C109" s="1">
        <v>20</v>
      </c>
      <c r="F109" s="1" t="s">
        <v>78</v>
      </c>
      <c r="G109" s="1">
        <v>12</v>
      </c>
      <c r="I109" s="1" t="s">
        <v>78</v>
      </c>
      <c r="J109" s="1">
        <v>8</v>
      </c>
      <c r="L109" s="1" t="s">
        <v>78</v>
      </c>
      <c r="M109" s="1">
        <v>25</v>
      </c>
      <c r="O109" s="1" t="s">
        <v>78</v>
      </c>
      <c r="P109" s="1">
        <v>16</v>
      </c>
    </row>
    <row r="110" spans="2:16">
      <c r="B110" s="1" t="s">
        <v>162</v>
      </c>
      <c r="C110" s="1" t="s">
        <v>161</v>
      </c>
      <c r="F110" s="1" t="s">
        <v>162</v>
      </c>
      <c r="G110" s="1" t="s">
        <v>161</v>
      </c>
      <c r="I110" s="1" t="s">
        <v>162</v>
      </c>
      <c r="J110" s="1" t="s">
        <v>161</v>
      </c>
      <c r="L110" s="1" t="s">
        <v>162</v>
      </c>
      <c r="M110" s="1" t="s">
        <v>161</v>
      </c>
      <c r="O110" s="1" t="s">
        <v>162</v>
      </c>
      <c r="P110" s="1" t="s">
        <v>161</v>
      </c>
    </row>
    <row r="111" spans="2:16">
      <c r="B111" s="1">
        <v>1</v>
      </c>
      <c r="C111" s="6">
        <f>ROUND(($C$108*B111+$C$109)/100,2)</f>
        <v>0.2</v>
      </c>
      <c r="F111" s="1">
        <v>1</v>
      </c>
      <c r="G111" s="6">
        <f>ROUND(($G$108*(F111+3)+$G$109)/100,2)</f>
        <v>0.12</v>
      </c>
      <c r="I111" s="1">
        <v>1</v>
      </c>
      <c r="J111" s="6">
        <f>ROUND(($J$108*(I111+3)+$J$109)/100,2)</f>
        <v>0.09</v>
      </c>
      <c r="L111" s="1">
        <v>1</v>
      </c>
      <c r="M111" s="6">
        <f>ROUND(($M$108*(L111/2+5)+$M$109)/100,2)</f>
        <v>0.23</v>
      </c>
      <c r="O111" s="1">
        <v>1</v>
      </c>
      <c r="P111" s="6">
        <f>ROUND(($P$108*(O111+3)+$P$109)/100,2)</f>
        <v>0.16</v>
      </c>
    </row>
    <row r="112" spans="2:16">
      <c r="B112" s="1">
        <v>2</v>
      </c>
      <c r="C112" s="6">
        <f t="shared" ref="C112:C140" si="15">ROUND(($C$108*B112+$C$109)/100,2)</f>
        <v>0.2</v>
      </c>
      <c r="F112" s="1">
        <v>2</v>
      </c>
      <c r="G112" s="6">
        <f t="shared" ref="G112:G140" si="16">ROUND(($G$108*(F112+3)+$G$109)/100,2)</f>
        <v>0.12</v>
      </c>
      <c r="I112" s="1">
        <v>2</v>
      </c>
      <c r="J112" s="6">
        <f t="shared" ref="J112:J140" si="17">ROUND(($J$108*(I112+3)+$J$109)/100,2)</f>
        <v>0.09</v>
      </c>
      <c r="L112" s="1">
        <v>2</v>
      </c>
      <c r="M112" s="6">
        <f t="shared" ref="M112:M140" si="18">ROUND(($M$108*(L112/2+5)+$M$109)/100,2)</f>
        <v>0.23</v>
      </c>
      <c r="O112" s="1">
        <v>2</v>
      </c>
      <c r="P112" s="6">
        <f t="shared" ref="P112:P140" si="19">ROUND(($P$108*(O112+3)+$P$109)/100,2)</f>
        <v>0.17</v>
      </c>
    </row>
    <row r="113" spans="2:16">
      <c r="B113" s="1">
        <v>3</v>
      </c>
      <c r="C113" s="6">
        <f t="shared" si="15"/>
        <v>0.19</v>
      </c>
      <c r="F113" s="1">
        <v>3</v>
      </c>
      <c r="G113" s="6">
        <f t="shared" si="16"/>
        <v>0.12</v>
      </c>
      <c r="I113" s="1">
        <v>3</v>
      </c>
      <c r="J113" s="6">
        <f t="shared" si="17"/>
        <v>0.1</v>
      </c>
      <c r="L113" s="1">
        <v>3</v>
      </c>
      <c r="M113" s="6">
        <f t="shared" si="18"/>
        <v>0.22</v>
      </c>
      <c r="O113" s="1">
        <v>3</v>
      </c>
      <c r="P113" s="6">
        <f t="shared" si="19"/>
        <v>0.17</v>
      </c>
    </row>
    <row r="114" spans="2:16">
      <c r="B114" s="1">
        <v>4</v>
      </c>
      <c r="C114" s="6">
        <f t="shared" si="15"/>
        <v>0.19</v>
      </c>
      <c r="F114" s="1">
        <v>4</v>
      </c>
      <c r="G114" s="6">
        <f t="shared" si="16"/>
        <v>0.13</v>
      </c>
      <c r="I114" s="1">
        <v>4</v>
      </c>
      <c r="J114" s="6">
        <f t="shared" si="17"/>
        <v>0.1</v>
      </c>
      <c r="L114" s="1">
        <v>4</v>
      </c>
      <c r="M114" s="6">
        <f t="shared" si="18"/>
        <v>0.22</v>
      </c>
      <c r="O114" s="1">
        <v>4</v>
      </c>
      <c r="P114" s="6">
        <f t="shared" si="19"/>
        <v>0.17</v>
      </c>
    </row>
    <row r="115" spans="2:16">
      <c r="B115" s="1">
        <v>5</v>
      </c>
      <c r="C115" s="6">
        <f t="shared" si="15"/>
        <v>0.19</v>
      </c>
      <c r="F115" s="1">
        <v>5</v>
      </c>
      <c r="G115" s="6">
        <f t="shared" si="16"/>
        <v>0.13</v>
      </c>
      <c r="I115" s="1">
        <v>5</v>
      </c>
      <c r="J115" s="6">
        <f t="shared" si="17"/>
        <v>0.1</v>
      </c>
      <c r="L115" s="1">
        <v>5</v>
      </c>
      <c r="M115" s="6">
        <f t="shared" si="18"/>
        <v>0.22</v>
      </c>
      <c r="O115" s="1">
        <v>5</v>
      </c>
      <c r="P115" s="6">
        <f t="shared" si="19"/>
        <v>0.17</v>
      </c>
    </row>
    <row r="116" spans="2:16">
      <c r="B116" s="1">
        <v>6</v>
      </c>
      <c r="C116" s="6">
        <f t="shared" si="15"/>
        <v>0.19</v>
      </c>
      <c r="F116" s="1">
        <v>6</v>
      </c>
      <c r="G116" s="6">
        <f t="shared" si="16"/>
        <v>0.13</v>
      </c>
      <c r="I116" s="1">
        <v>6</v>
      </c>
      <c r="J116" s="6">
        <f t="shared" si="17"/>
        <v>0.11</v>
      </c>
      <c r="L116" s="1">
        <v>6</v>
      </c>
      <c r="M116" s="6">
        <f t="shared" si="18"/>
        <v>0.22</v>
      </c>
      <c r="O116" s="1">
        <v>6</v>
      </c>
      <c r="P116" s="6">
        <f t="shared" si="19"/>
        <v>0.17</v>
      </c>
    </row>
    <row r="117" spans="2:16">
      <c r="B117" s="1">
        <v>7</v>
      </c>
      <c r="C117" s="6">
        <f t="shared" si="15"/>
        <v>0.19</v>
      </c>
      <c r="F117" s="1">
        <v>7</v>
      </c>
      <c r="G117" s="6">
        <f t="shared" si="16"/>
        <v>0.13</v>
      </c>
      <c r="I117" s="1">
        <v>7</v>
      </c>
      <c r="J117" s="6">
        <f t="shared" si="17"/>
        <v>0.11</v>
      </c>
      <c r="L117" s="1">
        <v>7</v>
      </c>
      <c r="M117" s="6">
        <f t="shared" si="18"/>
        <v>0.22</v>
      </c>
      <c r="O117" s="1">
        <v>7</v>
      </c>
      <c r="P117" s="6">
        <f t="shared" si="19"/>
        <v>0.17</v>
      </c>
    </row>
    <row r="118" spans="2:16">
      <c r="B118" s="1">
        <v>8</v>
      </c>
      <c r="C118" s="6">
        <f t="shared" si="15"/>
        <v>0.18</v>
      </c>
      <c r="F118" s="1">
        <v>8</v>
      </c>
      <c r="G118" s="6">
        <f t="shared" si="16"/>
        <v>0.13</v>
      </c>
      <c r="I118" s="1">
        <v>8</v>
      </c>
      <c r="J118" s="6">
        <f t="shared" si="17"/>
        <v>0.11</v>
      </c>
      <c r="L118" s="1">
        <v>8</v>
      </c>
      <c r="M118" s="6">
        <f t="shared" si="18"/>
        <v>0.21</v>
      </c>
      <c r="O118" s="1">
        <v>8</v>
      </c>
      <c r="P118" s="6">
        <f t="shared" si="19"/>
        <v>0.17</v>
      </c>
    </row>
    <row r="119" spans="2:16">
      <c r="B119" s="1">
        <v>9</v>
      </c>
      <c r="C119" s="6">
        <f t="shared" si="15"/>
        <v>0.18</v>
      </c>
      <c r="F119" s="1">
        <v>9</v>
      </c>
      <c r="G119" s="6">
        <f t="shared" si="16"/>
        <v>0.13</v>
      </c>
      <c r="I119" s="1">
        <v>9</v>
      </c>
      <c r="J119" s="6">
        <f t="shared" si="17"/>
        <v>0.11</v>
      </c>
      <c r="L119" s="1">
        <v>9</v>
      </c>
      <c r="M119" s="6">
        <f t="shared" si="18"/>
        <v>0.21</v>
      </c>
      <c r="O119" s="1">
        <v>9</v>
      </c>
      <c r="P119" s="6">
        <f t="shared" si="19"/>
        <v>0.17</v>
      </c>
    </row>
    <row r="120" spans="2:16">
      <c r="B120" s="1">
        <v>10</v>
      </c>
      <c r="C120" s="6">
        <f t="shared" si="15"/>
        <v>0.18</v>
      </c>
      <c r="F120" s="1">
        <v>10</v>
      </c>
      <c r="G120" s="6">
        <f t="shared" si="16"/>
        <v>0.13</v>
      </c>
      <c r="I120" s="1">
        <v>10</v>
      </c>
      <c r="J120" s="6">
        <f t="shared" si="17"/>
        <v>0.12</v>
      </c>
      <c r="L120" s="1">
        <v>10</v>
      </c>
      <c r="M120" s="6">
        <f t="shared" si="18"/>
        <v>0.21</v>
      </c>
      <c r="O120" s="1">
        <v>10</v>
      </c>
      <c r="P120" s="6">
        <f t="shared" si="19"/>
        <v>0.17</v>
      </c>
    </row>
    <row r="121" spans="2:16">
      <c r="B121" s="1">
        <v>11</v>
      </c>
      <c r="C121" s="6">
        <f t="shared" si="15"/>
        <v>0.18</v>
      </c>
      <c r="F121" s="1">
        <v>11</v>
      </c>
      <c r="G121" s="6">
        <f t="shared" si="16"/>
        <v>0.13</v>
      </c>
      <c r="I121" s="1">
        <v>11</v>
      </c>
      <c r="J121" s="6">
        <f t="shared" si="17"/>
        <v>0.12</v>
      </c>
      <c r="L121" s="1">
        <v>11</v>
      </c>
      <c r="M121" s="6">
        <f t="shared" si="18"/>
        <v>0.21</v>
      </c>
      <c r="O121" s="1">
        <v>11</v>
      </c>
      <c r="P121" s="6">
        <f t="shared" si="19"/>
        <v>0.17</v>
      </c>
    </row>
    <row r="122" spans="2:16">
      <c r="B122" s="1">
        <v>12</v>
      </c>
      <c r="C122" s="6">
        <f t="shared" si="15"/>
        <v>0.18</v>
      </c>
      <c r="F122" s="1">
        <v>12</v>
      </c>
      <c r="G122" s="6">
        <f t="shared" si="16"/>
        <v>0.13</v>
      </c>
      <c r="I122" s="1">
        <v>12</v>
      </c>
      <c r="J122" s="6">
        <f t="shared" si="17"/>
        <v>0.12</v>
      </c>
      <c r="L122" s="1">
        <v>12</v>
      </c>
      <c r="M122" s="6">
        <f t="shared" si="18"/>
        <v>0.21</v>
      </c>
      <c r="O122" s="1">
        <v>12</v>
      </c>
      <c r="P122" s="6">
        <f t="shared" si="19"/>
        <v>0.18</v>
      </c>
    </row>
    <row r="123" spans="2:16">
      <c r="B123" s="1">
        <v>13</v>
      </c>
      <c r="C123" s="6">
        <f t="shared" si="15"/>
        <v>0.17</v>
      </c>
      <c r="F123" s="1">
        <v>13</v>
      </c>
      <c r="G123" s="6">
        <f t="shared" si="16"/>
        <v>0.13</v>
      </c>
      <c r="I123" s="1">
        <v>13</v>
      </c>
      <c r="J123" s="6">
        <f t="shared" si="17"/>
        <v>0.12</v>
      </c>
      <c r="L123" s="1">
        <v>13</v>
      </c>
      <c r="M123" s="6">
        <f t="shared" si="18"/>
        <v>0.2</v>
      </c>
      <c r="O123" s="1">
        <v>13</v>
      </c>
      <c r="P123" s="6">
        <f t="shared" si="19"/>
        <v>0.18</v>
      </c>
    </row>
    <row r="124" spans="2:16">
      <c r="B124" s="1">
        <v>14</v>
      </c>
      <c r="C124" s="6">
        <f t="shared" si="15"/>
        <v>0.17</v>
      </c>
      <c r="F124" s="1">
        <v>14</v>
      </c>
      <c r="G124" s="6">
        <f t="shared" si="16"/>
        <v>0.13</v>
      </c>
      <c r="I124" s="1">
        <v>14</v>
      </c>
      <c r="J124" s="6">
        <f t="shared" si="17"/>
        <v>0.13</v>
      </c>
      <c r="L124" s="1">
        <v>14</v>
      </c>
      <c r="M124" s="6">
        <f t="shared" si="18"/>
        <v>0.2</v>
      </c>
      <c r="O124" s="1">
        <v>14</v>
      </c>
      <c r="P124" s="6">
        <f t="shared" si="19"/>
        <v>0.18</v>
      </c>
    </row>
    <row r="125" spans="2:16">
      <c r="B125" s="1">
        <v>15</v>
      </c>
      <c r="C125" s="6">
        <f t="shared" si="15"/>
        <v>0.17</v>
      </c>
      <c r="F125" s="1">
        <v>15</v>
      </c>
      <c r="G125" s="6">
        <f t="shared" si="16"/>
        <v>0.13</v>
      </c>
      <c r="I125" s="1">
        <v>15</v>
      </c>
      <c r="J125" s="6">
        <f t="shared" si="17"/>
        <v>0.13</v>
      </c>
      <c r="L125" s="1">
        <v>15</v>
      </c>
      <c r="M125" s="6">
        <f t="shared" si="18"/>
        <v>0.2</v>
      </c>
      <c r="O125" s="1">
        <v>15</v>
      </c>
      <c r="P125" s="6">
        <f t="shared" si="19"/>
        <v>0.18</v>
      </c>
    </row>
    <row r="126" spans="2:16">
      <c r="B126" s="1">
        <v>16</v>
      </c>
      <c r="C126" s="6">
        <f t="shared" si="15"/>
        <v>0.17</v>
      </c>
      <c r="F126" s="1">
        <v>16</v>
      </c>
      <c r="G126" s="6">
        <f t="shared" si="16"/>
        <v>0.14</v>
      </c>
      <c r="I126" s="1">
        <v>16</v>
      </c>
      <c r="J126" s="6">
        <f t="shared" si="17"/>
        <v>0.13</v>
      </c>
      <c r="L126" s="1">
        <v>16</v>
      </c>
      <c r="M126" s="6">
        <f t="shared" si="18"/>
        <v>0.2</v>
      </c>
      <c r="O126" s="1">
        <v>16</v>
      </c>
      <c r="P126" s="6">
        <f t="shared" si="19"/>
        <v>0.18</v>
      </c>
    </row>
    <row r="127" spans="2:16">
      <c r="B127" s="1">
        <v>17</v>
      </c>
      <c r="C127" s="6">
        <f t="shared" si="15"/>
        <v>0.17</v>
      </c>
      <c r="F127" s="1">
        <v>17</v>
      </c>
      <c r="G127" s="6">
        <f t="shared" si="16"/>
        <v>0.14</v>
      </c>
      <c r="I127" s="1">
        <v>17</v>
      </c>
      <c r="J127" s="6">
        <f t="shared" si="17"/>
        <v>0.14</v>
      </c>
      <c r="L127" s="1">
        <v>17</v>
      </c>
      <c r="M127" s="6">
        <f t="shared" si="18"/>
        <v>0.2</v>
      </c>
      <c r="O127" s="1">
        <v>17</v>
      </c>
      <c r="P127" s="6">
        <f t="shared" si="19"/>
        <v>0.18</v>
      </c>
    </row>
    <row r="128" spans="2:16">
      <c r="B128" s="1">
        <v>18</v>
      </c>
      <c r="C128" s="6">
        <f t="shared" si="15"/>
        <v>0.16</v>
      </c>
      <c r="F128" s="1">
        <v>18</v>
      </c>
      <c r="G128" s="6">
        <f t="shared" si="16"/>
        <v>0.14</v>
      </c>
      <c r="I128" s="1">
        <v>18</v>
      </c>
      <c r="J128" s="6">
        <f t="shared" si="17"/>
        <v>0.14</v>
      </c>
      <c r="L128" s="1">
        <v>18</v>
      </c>
      <c r="M128" s="6">
        <f t="shared" si="18"/>
        <v>0.19</v>
      </c>
      <c r="O128" s="1">
        <v>18</v>
      </c>
      <c r="P128" s="6">
        <f t="shared" si="19"/>
        <v>0.18</v>
      </c>
    </row>
    <row r="129" spans="2:16">
      <c r="B129" s="1">
        <v>19</v>
      </c>
      <c r="C129" s="6">
        <f t="shared" si="15"/>
        <v>0.16</v>
      </c>
      <c r="F129" s="1">
        <v>19</v>
      </c>
      <c r="G129" s="6">
        <f t="shared" si="16"/>
        <v>0.14</v>
      </c>
      <c r="I129" s="1">
        <v>19</v>
      </c>
      <c r="J129" s="6">
        <f t="shared" si="17"/>
        <v>0.14</v>
      </c>
      <c r="L129" s="1">
        <v>19</v>
      </c>
      <c r="M129" s="6">
        <f t="shared" si="18"/>
        <v>0.19</v>
      </c>
      <c r="O129" s="1">
        <v>19</v>
      </c>
      <c r="P129" s="6">
        <f t="shared" si="19"/>
        <v>0.18</v>
      </c>
    </row>
    <row r="130" spans="2:16">
      <c r="B130" s="1">
        <v>20</v>
      </c>
      <c r="C130" s="6">
        <f t="shared" si="15"/>
        <v>0.16</v>
      </c>
      <c r="F130" s="1">
        <v>20</v>
      </c>
      <c r="G130" s="6">
        <f t="shared" si="16"/>
        <v>0.14</v>
      </c>
      <c r="I130" s="1">
        <v>20</v>
      </c>
      <c r="J130" s="6">
        <f t="shared" si="17"/>
        <v>0.14</v>
      </c>
      <c r="L130" s="1">
        <v>20</v>
      </c>
      <c r="M130" s="6">
        <f t="shared" si="18"/>
        <v>0.19</v>
      </c>
      <c r="O130" s="1">
        <v>20</v>
      </c>
      <c r="P130" s="6">
        <f t="shared" si="19"/>
        <v>0.18</v>
      </c>
    </row>
    <row r="131" spans="2:16">
      <c r="B131" s="1">
        <v>21</v>
      </c>
      <c r="C131" s="6">
        <f t="shared" si="15"/>
        <v>0.16</v>
      </c>
      <c r="F131" s="1">
        <v>21</v>
      </c>
      <c r="G131" s="6">
        <f t="shared" si="16"/>
        <v>0.14</v>
      </c>
      <c r="I131" s="1">
        <v>21</v>
      </c>
      <c r="J131" s="6">
        <f t="shared" si="17"/>
        <v>0.15</v>
      </c>
      <c r="L131" s="1">
        <v>21</v>
      </c>
      <c r="M131" s="6">
        <f t="shared" si="18"/>
        <v>0.19</v>
      </c>
      <c r="O131" s="1">
        <v>21</v>
      </c>
      <c r="P131" s="6">
        <f t="shared" si="19"/>
        <v>0.18</v>
      </c>
    </row>
    <row r="132" spans="2:16">
      <c r="B132" s="1">
        <v>22</v>
      </c>
      <c r="C132" s="6">
        <f t="shared" si="15"/>
        <v>0.16</v>
      </c>
      <c r="F132" s="1">
        <v>22</v>
      </c>
      <c r="G132" s="6">
        <f t="shared" si="16"/>
        <v>0.14</v>
      </c>
      <c r="I132" s="1">
        <v>22</v>
      </c>
      <c r="J132" s="6">
        <f t="shared" si="17"/>
        <v>0.15</v>
      </c>
      <c r="L132" s="1">
        <v>22</v>
      </c>
      <c r="M132" s="6">
        <f t="shared" si="18"/>
        <v>0.19</v>
      </c>
      <c r="O132" s="1">
        <v>22</v>
      </c>
      <c r="P132" s="6">
        <f t="shared" si="19"/>
        <v>0.19</v>
      </c>
    </row>
    <row r="133" spans="2:16">
      <c r="B133" s="1">
        <v>23</v>
      </c>
      <c r="C133" s="6">
        <f t="shared" si="15"/>
        <v>0.15</v>
      </c>
      <c r="F133" s="1">
        <v>23</v>
      </c>
      <c r="G133" s="6">
        <f t="shared" si="16"/>
        <v>0.14</v>
      </c>
      <c r="I133" s="1">
        <v>23</v>
      </c>
      <c r="J133" s="6">
        <f t="shared" si="17"/>
        <v>0.15</v>
      </c>
      <c r="L133" s="1">
        <v>23</v>
      </c>
      <c r="M133" s="6">
        <f t="shared" si="18"/>
        <v>0.18</v>
      </c>
      <c r="O133" s="1">
        <v>23</v>
      </c>
      <c r="P133" s="6">
        <f t="shared" si="19"/>
        <v>0.19</v>
      </c>
    </row>
    <row r="134" spans="2:16">
      <c r="B134" s="1">
        <v>24</v>
      </c>
      <c r="C134" s="6">
        <f t="shared" si="15"/>
        <v>0.15</v>
      </c>
      <c r="F134" s="1">
        <v>24</v>
      </c>
      <c r="G134" s="6">
        <f t="shared" si="16"/>
        <v>0.14</v>
      </c>
      <c r="I134" s="1">
        <v>24</v>
      </c>
      <c r="J134" s="6">
        <f t="shared" si="17"/>
        <v>0.16</v>
      </c>
      <c r="L134" s="1">
        <v>24</v>
      </c>
      <c r="M134" s="6">
        <f t="shared" si="18"/>
        <v>0.18</v>
      </c>
      <c r="O134" s="1">
        <v>24</v>
      </c>
      <c r="P134" s="6">
        <f t="shared" si="19"/>
        <v>0.19</v>
      </c>
    </row>
    <row r="135" spans="2:16">
      <c r="B135" s="1">
        <v>25</v>
      </c>
      <c r="C135" s="6">
        <f t="shared" si="15"/>
        <v>0.15</v>
      </c>
      <c r="F135" s="1">
        <v>25</v>
      </c>
      <c r="G135" s="6">
        <f t="shared" si="16"/>
        <v>0.14</v>
      </c>
      <c r="I135" s="1">
        <v>25</v>
      </c>
      <c r="J135" s="6">
        <f t="shared" si="17"/>
        <v>0.16</v>
      </c>
      <c r="L135" s="1">
        <v>25</v>
      </c>
      <c r="M135" s="6">
        <f t="shared" si="18"/>
        <v>0.18</v>
      </c>
      <c r="O135" s="1">
        <v>25</v>
      </c>
      <c r="P135" s="6">
        <f t="shared" si="19"/>
        <v>0.19</v>
      </c>
    </row>
    <row r="136" spans="2:16">
      <c r="B136" s="1">
        <v>26</v>
      </c>
      <c r="C136" s="6">
        <f t="shared" si="15"/>
        <v>0.15</v>
      </c>
      <c r="F136" s="1">
        <v>26</v>
      </c>
      <c r="G136" s="6">
        <f t="shared" si="16"/>
        <v>0.14</v>
      </c>
      <c r="I136" s="1">
        <v>26</v>
      </c>
      <c r="J136" s="6">
        <f t="shared" si="17"/>
        <v>0.16</v>
      </c>
      <c r="L136" s="1">
        <v>26</v>
      </c>
      <c r="M136" s="6">
        <f t="shared" si="18"/>
        <v>0.18</v>
      </c>
      <c r="O136" s="1">
        <v>26</v>
      </c>
      <c r="P136" s="6">
        <f t="shared" si="19"/>
        <v>0.19</v>
      </c>
    </row>
    <row r="137" spans="2:16">
      <c r="B137" s="1">
        <v>27</v>
      </c>
      <c r="C137" s="6">
        <f t="shared" si="15"/>
        <v>0.15</v>
      </c>
      <c r="F137" s="1">
        <v>27</v>
      </c>
      <c r="G137" s="6">
        <f t="shared" si="16"/>
        <v>0.14</v>
      </c>
      <c r="I137" s="1">
        <v>27</v>
      </c>
      <c r="J137" s="6">
        <f t="shared" si="17"/>
        <v>0.16</v>
      </c>
      <c r="L137" s="1">
        <v>27</v>
      </c>
      <c r="M137" s="6">
        <f t="shared" si="18"/>
        <v>0.18</v>
      </c>
      <c r="O137" s="1">
        <v>27</v>
      </c>
      <c r="P137" s="6">
        <f t="shared" si="19"/>
        <v>0.19</v>
      </c>
    </row>
    <row r="138" spans="2:16">
      <c r="B138" s="1">
        <v>28</v>
      </c>
      <c r="C138" s="6">
        <f t="shared" si="15"/>
        <v>0.14</v>
      </c>
      <c r="F138" s="1">
        <v>28</v>
      </c>
      <c r="G138" s="6">
        <f t="shared" si="16"/>
        <v>0.14</v>
      </c>
      <c r="I138" s="1">
        <v>28</v>
      </c>
      <c r="J138" s="6">
        <f t="shared" si="17"/>
        <v>0.17</v>
      </c>
      <c r="L138" s="1">
        <v>28</v>
      </c>
      <c r="M138" s="6">
        <f t="shared" si="18"/>
        <v>0.17</v>
      </c>
      <c r="O138" s="1">
        <v>28</v>
      </c>
      <c r="P138" s="6">
        <f t="shared" si="19"/>
        <v>0.19</v>
      </c>
    </row>
    <row r="139" spans="2:16">
      <c r="B139" s="1">
        <v>29</v>
      </c>
      <c r="C139" s="6">
        <f t="shared" si="15"/>
        <v>0.14</v>
      </c>
      <c r="F139" s="1">
        <v>29</v>
      </c>
      <c r="G139" s="6">
        <f t="shared" si="16"/>
        <v>0.15</v>
      </c>
      <c r="I139" s="1">
        <v>29</v>
      </c>
      <c r="J139" s="6">
        <f t="shared" si="17"/>
        <v>0.17</v>
      </c>
      <c r="L139" s="1">
        <v>29</v>
      </c>
      <c r="M139" s="6">
        <f t="shared" si="18"/>
        <v>0.17</v>
      </c>
      <c r="O139" s="1">
        <v>29</v>
      </c>
      <c r="P139" s="6">
        <f t="shared" si="19"/>
        <v>0.19</v>
      </c>
    </row>
    <row r="140" spans="2:16">
      <c r="B140" s="1">
        <v>30</v>
      </c>
      <c r="C140" s="6">
        <f t="shared" si="15"/>
        <v>0.14</v>
      </c>
      <c r="F140" s="1">
        <v>30</v>
      </c>
      <c r="G140" s="6">
        <f t="shared" si="16"/>
        <v>0.15</v>
      </c>
      <c r="I140" s="1">
        <v>30</v>
      </c>
      <c r="J140" s="6">
        <f t="shared" si="17"/>
        <v>0.17</v>
      </c>
      <c r="L140" s="1">
        <v>30</v>
      </c>
      <c r="M140" s="6">
        <f t="shared" si="18"/>
        <v>0.17</v>
      </c>
      <c r="O140" s="1">
        <v>30</v>
      </c>
      <c r="P140" s="6">
        <f t="shared" si="19"/>
        <v>0.19</v>
      </c>
    </row>
    <row r="144" spans="2:21">
      <c r="B144" s="1" t="s">
        <v>173</v>
      </c>
      <c r="F144" s="1" t="s">
        <v>174</v>
      </c>
      <c r="I144" s="1" t="s">
        <v>175</v>
      </c>
      <c r="L144" s="1" t="s">
        <v>176</v>
      </c>
      <c r="O144" s="1" t="s">
        <v>177</v>
      </c>
      <c r="R144" s="1" t="s">
        <v>178</v>
      </c>
      <c r="U144" s="1" t="s">
        <v>179</v>
      </c>
    </row>
    <row r="145" spans="2:22">
      <c r="B145" s="1" t="s">
        <v>77</v>
      </c>
      <c r="C145" s="1">
        <v>1.26</v>
      </c>
      <c r="F145" s="1" t="s">
        <v>77</v>
      </c>
      <c r="G145" s="1">
        <v>1.6</v>
      </c>
      <c r="I145" s="1" t="s">
        <v>77</v>
      </c>
      <c r="J145" s="1">
        <v>1.2</v>
      </c>
      <c r="L145" s="1" t="s">
        <v>77</v>
      </c>
      <c r="M145" s="1">
        <v>1.1</v>
      </c>
      <c r="O145" s="1" t="s">
        <v>77</v>
      </c>
      <c r="P145" s="1">
        <v>1.16</v>
      </c>
      <c r="R145" s="1" t="s">
        <v>77</v>
      </c>
      <c r="S145" s="1">
        <v>1.44</v>
      </c>
      <c r="U145" s="1" t="s">
        <v>77</v>
      </c>
      <c r="V145" s="1">
        <v>1.16</v>
      </c>
    </row>
    <row r="146" spans="2:22">
      <c r="B146" s="1" t="s">
        <v>78</v>
      </c>
      <c r="C146" s="1">
        <v>-0.1</v>
      </c>
      <c r="F146" s="1" t="s">
        <v>78</v>
      </c>
      <c r="G146" s="1">
        <v>1</v>
      </c>
      <c r="I146" s="1" t="s">
        <v>78</v>
      </c>
      <c r="J146" s="1">
        <v>0.5</v>
      </c>
      <c r="L146" s="1" t="s">
        <v>78</v>
      </c>
      <c r="M146" s="1">
        <v>-0.14</v>
      </c>
      <c r="O146" s="1" t="s">
        <v>78</v>
      </c>
      <c r="P146" s="1">
        <v>0.24</v>
      </c>
      <c r="R146" s="1" t="s">
        <v>78</v>
      </c>
      <c r="S146" s="1">
        <v>-0.6</v>
      </c>
      <c r="U146" s="1" t="s">
        <v>78</v>
      </c>
      <c r="V146" s="1">
        <v>-0.6</v>
      </c>
    </row>
    <row r="147" spans="2:22">
      <c r="B147" s="1" t="s">
        <v>162</v>
      </c>
      <c r="C147" s="1" t="s">
        <v>161</v>
      </c>
      <c r="F147" s="1" t="s">
        <v>162</v>
      </c>
      <c r="G147" s="1" t="s">
        <v>161</v>
      </c>
      <c r="I147" s="1" t="s">
        <v>162</v>
      </c>
      <c r="J147" s="1" t="s">
        <v>161</v>
      </c>
      <c r="L147" s="1" t="s">
        <v>162</v>
      </c>
      <c r="M147" s="1" t="s">
        <v>161</v>
      </c>
      <c r="O147" s="1" t="s">
        <v>162</v>
      </c>
      <c r="P147" s="1" t="s">
        <v>161</v>
      </c>
      <c r="R147" s="1" t="s">
        <v>162</v>
      </c>
      <c r="S147" s="1" t="s">
        <v>161</v>
      </c>
      <c r="U147" s="1" t="s">
        <v>162</v>
      </c>
      <c r="V147" s="1" t="s">
        <v>161</v>
      </c>
    </row>
    <row r="148" spans="2:22">
      <c r="B148" s="1">
        <v>1</v>
      </c>
      <c r="C148" s="6">
        <f>($C$145^(B148/10)+$C$146)/10</f>
        <v>0.0923380304557162</v>
      </c>
      <c r="F148" s="1">
        <v>1</v>
      </c>
      <c r="G148" s="6">
        <f>($G$145^(-F148/10)+$G$146)/10</f>
        <v>0.195408705132867</v>
      </c>
      <c r="I148" s="1">
        <v>1</v>
      </c>
      <c r="J148" s="6">
        <f>($J$145^(-I148/10)+$J$146)/10</f>
        <v>0.148193304456191</v>
      </c>
      <c r="L148" s="1">
        <v>1</v>
      </c>
      <c r="M148" s="6">
        <f>($M$145^(L148/10)+$M$146)/10</f>
        <v>0.0869576582776887</v>
      </c>
      <c r="O148" s="1">
        <v>1</v>
      </c>
      <c r="P148" s="6">
        <f>($P$145^(O148/10)+$P$146)/10</f>
        <v>0.125495268994096</v>
      </c>
      <c r="R148" s="1">
        <v>1</v>
      </c>
      <c r="S148" s="6">
        <f>($S$145^(R148/10)+$S$146)/10</f>
        <v>0.0437137289336648</v>
      </c>
      <c r="U148" s="1">
        <v>1</v>
      </c>
      <c r="V148" s="6">
        <f>($V$145^(U148/10)+$V$146)/10</f>
        <v>0.0414952689940964</v>
      </c>
    </row>
    <row r="149" spans="2:22">
      <c r="B149" s="1">
        <v>2</v>
      </c>
      <c r="C149" s="6">
        <f t="shared" ref="C149:C177" si="20">($C$145^(B149/10)+$C$146)/10</f>
        <v>0.094730724775551</v>
      </c>
      <c r="F149" s="1">
        <v>2</v>
      </c>
      <c r="G149" s="6">
        <f t="shared" ref="G149:G177" si="21">($G$145^(-F149/10)+$G$146)/10</f>
        <v>0.191028210151304</v>
      </c>
      <c r="I149" s="1">
        <v>2</v>
      </c>
      <c r="J149" s="6">
        <f t="shared" ref="J149:J177" si="22">($J$145^(-I149/10)+$J$146)/10</f>
        <v>0.146419250400263</v>
      </c>
      <c r="L149" s="1">
        <v>2</v>
      </c>
      <c r="M149" s="6">
        <f t="shared" ref="M149:M177" si="23">($M$145^(L149/10)+$M$146)/10</f>
        <v>0.0879244876491456</v>
      </c>
      <c r="O149" s="1">
        <v>2</v>
      </c>
      <c r="P149" s="6">
        <f t="shared" ref="P149:P177" si="24">($P$145^(O149/10)+$P$146)/10</f>
        <v>0.12701289628184</v>
      </c>
      <c r="R149" s="1">
        <v>2</v>
      </c>
      <c r="S149" s="6">
        <f t="shared" ref="S149:S177" si="25">($S$145^(R149/10)+$S$146)/10</f>
        <v>0.047565375693257</v>
      </c>
      <c r="U149" s="1">
        <v>2</v>
      </c>
      <c r="V149" s="6">
        <f t="shared" ref="V149:V177" si="26">($V$145^(U149/10)+$V$146)/10</f>
        <v>0.0430128962818399</v>
      </c>
    </row>
    <row r="150" spans="2:22">
      <c r="B150" s="1">
        <v>3</v>
      </c>
      <c r="C150" s="6">
        <f t="shared" si="20"/>
        <v>0.0971793610172958</v>
      </c>
      <c r="F150" s="1">
        <v>3</v>
      </c>
      <c r="G150" s="6">
        <f t="shared" si="21"/>
        <v>0.186848836610984</v>
      </c>
      <c r="I150" s="1">
        <v>3</v>
      </c>
      <c r="J150" s="6">
        <f t="shared" si="22"/>
        <v>0.144677248099907</v>
      </c>
      <c r="L150" s="1">
        <v>3</v>
      </c>
      <c r="M150" s="6">
        <f t="shared" si="23"/>
        <v>0.0889005759421095</v>
      </c>
      <c r="O150" s="1">
        <v>3</v>
      </c>
      <c r="P150" s="6">
        <f t="shared" si="24"/>
        <v>0.128553216179863</v>
      </c>
      <c r="R150" s="1">
        <v>3</v>
      </c>
      <c r="S150" s="6">
        <f t="shared" si="25"/>
        <v>0.0515600621729828</v>
      </c>
      <c r="U150" s="1">
        <v>3</v>
      </c>
      <c r="V150" s="6">
        <f t="shared" si="26"/>
        <v>0.044553216179863</v>
      </c>
    </row>
    <row r="151" spans="2:22">
      <c r="B151" s="1">
        <v>4</v>
      </c>
      <c r="C151" s="6">
        <f t="shared" si="20"/>
        <v>0.0996852471201222</v>
      </c>
      <c r="F151" s="1">
        <v>4</v>
      </c>
      <c r="G151" s="6">
        <f t="shared" si="21"/>
        <v>0.1828613504335</v>
      </c>
      <c r="I151" s="1">
        <v>4</v>
      </c>
      <c r="J151" s="6">
        <f t="shared" si="22"/>
        <v>0.142966718477486</v>
      </c>
      <c r="L151" s="1">
        <v>4</v>
      </c>
      <c r="M151" s="6">
        <f t="shared" si="23"/>
        <v>0.0898860118254085</v>
      </c>
      <c r="O151" s="1">
        <v>4</v>
      </c>
      <c r="P151" s="6">
        <f t="shared" si="24"/>
        <v>0.130116568003731</v>
      </c>
      <c r="R151" s="1">
        <v>4</v>
      </c>
      <c r="S151" s="6">
        <f t="shared" si="25"/>
        <v>0.0557031004803153</v>
      </c>
      <c r="U151" s="1">
        <v>4</v>
      </c>
      <c r="V151" s="6">
        <f t="shared" si="26"/>
        <v>0.046116568003731</v>
      </c>
    </row>
    <row r="152" spans="2:22">
      <c r="B152" s="1">
        <v>5</v>
      </c>
      <c r="C152" s="6">
        <f t="shared" si="20"/>
        <v>0.102249721603218</v>
      </c>
      <c r="F152" s="1">
        <v>5</v>
      </c>
      <c r="G152" s="6">
        <f t="shared" si="21"/>
        <v>0.179056941504209</v>
      </c>
      <c r="I152" s="1">
        <v>5</v>
      </c>
      <c r="J152" s="6">
        <f t="shared" si="22"/>
        <v>0.141287092917528</v>
      </c>
      <c r="L152" s="1">
        <v>5</v>
      </c>
      <c r="M152" s="6">
        <f t="shared" si="23"/>
        <v>0.0908808848170152</v>
      </c>
      <c r="O152" s="1">
        <v>5</v>
      </c>
      <c r="P152" s="6">
        <f t="shared" si="24"/>
        <v>0.13170329614269</v>
      </c>
      <c r="R152" s="1">
        <v>5</v>
      </c>
      <c r="S152" s="6">
        <f t="shared" si="25"/>
        <v>0.06</v>
      </c>
      <c r="U152" s="1">
        <v>5</v>
      </c>
      <c r="V152" s="6">
        <f t="shared" si="26"/>
        <v>0.0477032961426901</v>
      </c>
    </row>
    <row r="153" spans="2:22">
      <c r="B153" s="1">
        <v>6</v>
      </c>
      <c r="C153" s="6">
        <f t="shared" si="20"/>
        <v>0.104874154280758</v>
      </c>
      <c r="F153" s="1">
        <v>6</v>
      </c>
      <c r="G153" s="6">
        <f t="shared" si="21"/>
        <v>0.175427204206815</v>
      </c>
      <c r="I153" s="1">
        <v>6</v>
      </c>
      <c r="J153" s="6">
        <f t="shared" si="22"/>
        <v>0.139637813077714</v>
      </c>
      <c r="L153" s="1">
        <v>6</v>
      </c>
      <c r="M153" s="6">
        <f t="shared" si="23"/>
        <v>0.0918852852921785</v>
      </c>
      <c r="O153" s="1">
        <v>6</v>
      </c>
      <c r="P153" s="6">
        <f t="shared" si="24"/>
        <v>0.133313750135532</v>
      </c>
      <c r="R153" s="1">
        <v>6</v>
      </c>
      <c r="S153" s="6">
        <f t="shared" si="25"/>
        <v>0.0644564747203978</v>
      </c>
      <c r="U153" s="1">
        <v>6</v>
      </c>
      <c r="V153" s="6">
        <f t="shared" si="26"/>
        <v>0.0493137501355316</v>
      </c>
    </row>
    <row r="154" spans="2:22">
      <c r="B154" s="1">
        <v>7</v>
      </c>
      <c r="C154" s="6">
        <f t="shared" si="20"/>
        <v>0.107559946993589</v>
      </c>
      <c r="F154" s="1">
        <v>7</v>
      </c>
      <c r="G154" s="6">
        <f t="shared" si="21"/>
        <v>0.171964118851645</v>
      </c>
      <c r="I154" s="1">
        <v>7</v>
      </c>
      <c r="J154" s="6">
        <f t="shared" si="22"/>
        <v>0.138018330703272</v>
      </c>
      <c r="L154" s="1">
        <v>7</v>
      </c>
      <c r="M154" s="6">
        <f t="shared" si="23"/>
        <v>0.0928993044916333</v>
      </c>
      <c r="O154" s="1">
        <v>7</v>
      </c>
      <c r="P154" s="6">
        <f t="shared" si="24"/>
        <v>0.134948284747592</v>
      </c>
      <c r="R154" s="1">
        <v>7</v>
      </c>
      <c r="S154" s="6">
        <f t="shared" si="25"/>
        <v>0.0690784508319084</v>
      </c>
      <c r="U154" s="1">
        <v>7</v>
      </c>
      <c r="V154" s="6">
        <f t="shared" si="26"/>
        <v>0.0509482847475922</v>
      </c>
    </row>
    <row r="155" spans="2:22">
      <c r="B155" s="1">
        <v>8</v>
      </c>
      <c r="C155" s="6">
        <f t="shared" si="20"/>
        <v>0.110308534358023</v>
      </c>
      <c r="F155" s="1">
        <v>8</v>
      </c>
      <c r="G155" s="6">
        <f t="shared" si="21"/>
        <v>0.168660033956632</v>
      </c>
      <c r="I155" s="1">
        <v>8</v>
      </c>
      <c r="J155" s="6">
        <f t="shared" si="22"/>
        <v>0.136428107444721</v>
      </c>
      <c r="L155" s="1">
        <v>8</v>
      </c>
      <c r="M155" s="6">
        <f t="shared" si="23"/>
        <v>0.0939230345298891</v>
      </c>
      <c r="O155" s="1">
        <v>8</v>
      </c>
      <c r="P155" s="6">
        <f t="shared" si="24"/>
        <v>0.136607260048905</v>
      </c>
      <c r="R155" s="1">
        <v>8</v>
      </c>
      <c r="S155" s="6">
        <f t="shared" si="25"/>
        <v>0.0738720746075793</v>
      </c>
      <c r="U155" s="1">
        <v>8</v>
      </c>
      <c r="V155" s="6">
        <f t="shared" si="26"/>
        <v>0.0526072600489048</v>
      </c>
    </row>
    <row r="156" spans="2:22">
      <c r="B156" s="1">
        <v>9</v>
      </c>
      <c r="C156" s="6">
        <f t="shared" si="20"/>
        <v>0.113121384532139</v>
      </c>
      <c r="F156" s="1">
        <v>9</v>
      </c>
      <c r="G156" s="6">
        <f t="shared" si="21"/>
        <v>0.16550764934181</v>
      </c>
      <c r="I156" s="1">
        <v>9</v>
      </c>
      <c r="J156" s="6">
        <f t="shared" si="22"/>
        <v>0.134866614678919</v>
      </c>
      <c r="L156" s="1">
        <v>9</v>
      </c>
      <c r="M156" s="6">
        <f t="shared" si="23"/>
        <v>0.0949565684035974</v>
      </c>
      <c r="O156" s="1">
        <v>9</v>
      </c>
      <c r="P156" s="6">
        <f t="shared" si="24"/>
        <v>0.138291041493518</v>
      </c>
      <c r="R156" s="1">
        <v>9</v>
      </c>
      <c r="S156" s="6">
        <f t="shared" si="25"/>
        <v>0.0788437205763783</v>
      </c>
      <c r="U156" s="1">
        <v>9</v>
      </c>
      <c r="V156" s="6">
        <f t="shared" si="26"/>
        <v>0.0542910414935175</v>
      </c>
    </row>
    <row r="157" spans="2:22">
      <c r="B157" s="1">
        <v>10</v>
      </c>
      <c r="C157" s="6">
        <f t="shared" si="20"/>
        <v>0.116</v>
      </c>
      <c r="F157" s="1">
        <v>10</v>
      </c>
      <c r="G157" s="6">
        <f t="shared" si="21"/>
        <v>0.1625</v>
      </c>
      <c r="I157" s="1">
        <v>10</v>
      </c>
      <c r="J157" s="6">
        <f t="shared" si="22"/>
        <v>0.133333333333333</v>
      </c>
      <c r="L157" s="1">
        <v>10</v>
      </c>
      <c r="M157" s="6">
        <f t="shared" si="23"/>
        <v>0.096</v>
      </c>
      <c r="O157" s="1">
        <v>10</v>
      </c>
      <c r="P157" s="6">
        <f t="shared" si="24"/>
        <v>0.14</v>
      </c>
      <c r="R157" s="1">
        <v>10</v>
      </c>
      <c r="S157" s="6">
        <f t="shared" si="25"/>
        <v>0.084</v>
      </c>
      <c r="U157" s="1">
        <v>10</v>
      </c>
      <c r="V157" s="6">
        <f t="shared" si="26"/>
        <v>0.056</v>
      </c>
    </row>
    <row r="158" spans="2:22">
      <c r="B158" s="1">
        <v>11</v>
      </c>
      <c r="C158" s="6">
        <f t="shared" si="20"/>
        <v>0.118945918374202</v>
      </c>
      <c r="F158" s="1">
        <v>11</v>
      </c>
      <c r="G158" s="6">
        <f t="shared" si="21"/>
        <v>0.159630440708042</v>
      </c>
      <c r="I158" s="1">
        <v>11</v>
      </c>
      <c r="J158" s="6">
        <f t="shared" si="22"/>
        <v>0.131827753713493</v>
      </c>
      <c r="L158" s="1">
        <v>11</v>
      </c>
      <c r="M158" s="6">
        <f t="shared" si="23"/>
        <v>0.0970534241054576</v>
      </c>
      <c r="O158" s="1">
        <v>11</v>
      </c>
      <c r="P158" s="6">
        <f t="shared" si="24"/>
        <v>0.141734512033152</v>
      </c>
      <c r="R158" s="1">
        <v>11</v>
      </c>
      <c r="S158" s="6">
        <f t="shared" si="25"/>
        <v>0.0893477696644773</v>
      </c>
      <c r="U158" s="1">
        <v>11</v>
      </c>
      <c r="V158" s="6">
        <f t="shared" si="26"/>
        <v>0.0577345120331518</v>
      </c>
    </row>
    <row r="159" spans="2:22">
      <c r="B159" s="1">
        <v>12</v>
      </c>
      <c r="C159" s="6">
        <f t="shared" si="20"/>
        <v>0.121960713217194</v>
      </c>
      <c r="F159" s="1">
        <v>12</v>
      </c>
      <c r="G159" s="6">
        <f t="shared" si="21"/>
        <v>0.156892631344565</v>
      </c>
      <c r="I159" s="1">
        <v>12</v>
      </c>
      <c r="J159" s="6">
        <f t="shared" si="22"/>
        <v>0.130349375333552</v>
      </c>
      <c r="L159" s="1">
        <v>12</v>
      </c>
      <c r="M159" s="6">
        <f t="shared" si="23"/>
        <v>0.0981169364140602</v>
      </c>
      <c r="O159" s="1">
        <v>12</v>
      </c>
      <c r="P159" s="6">
        <f t="shared" si="24"/>
        <v>0.143494959686934</v>
      </c>
      <c r="R159" s="1">
        <v>12</v>
      </c>
      <c r="S159" s="6">
        <f t="shared" si="25"/>
        <v>0.0948941409982901</v>
      </c>
      <c r="U159" s="1">
        <v>12</v>
      </c>
      <c r="V159" s="6">
        <f t="shared" si="26"/>
        <v>0.0594949596869343</v>
      </c>
    </row>
    <row r="160" spans="2:22">
      <c r="B160" s="1">
        <v>13</v>
      </c>
      <c r="C160" s="6">
        <f t="shared" si="20"/>
        <v>0.125045994881793</v>
      </c>
      <c r="F160" s="1">
        <v>13</v>
      </c>
      <c r="G160" s="6">
        <f t="shared" si="21"/>
        <v>0.154280522881865</v>
      </c>
      <c r="I160" s="1">
        <v>13</v>
      </c>
      <c r="J160" s="6">
        <f t="shared" si="22"/>
        <v>0.128897706749923</v>
      </c>
      <c r="L160" s="1">
        <v>13</v>
      </c>
      <c r="M160" s="6">
        <f t="shared" si="23"/>
        <v>0.0991906335363205</v>
      </c>
      <c r="O160" s="1">
        <v>13</v>
      </c>
      <c r="P160" s="6">
        <f t="shared" si="24"/>
        <v>0.145281730768641</v>
      </c>
      <c r="R160" s="1">
        <v>13</v>
      </c>
      <c r="S160" s="6">
        <f t="shared" si="25"/>
        <v>0.100646489529095</v>
      </c>
      <c r="U160" s="1">
        <v>13</v>
      </c>
      <c r="V160" s="6">
        <f t="shared" si="26"/>
        <v>0.061281730768641</v>
      </c>
    </row>
    <row r="161" spans="2:22">
      <c r="B161" s="1">
        <v>14</v>
      </c>
      <c r="C161" s="6">
        <f t="shared" si="20"/>
        <v>0.128203411371354</v>
      </c>
      <c r="F161" s="1">
        <v>14</v>
      </c>
      <c r="G161" s="6">
        <f t="shared" si="21"/>
        <v>0.151788344020937</v>
      </c>
      <c r="I161" s="1">
        <v>14</v>
      </c>
      <c r="J161" s="6">
        <f t="shared" si="22"/>
        <v>0.127472265397905</v>
      </c>
      <c r="L161" s="1">
        <v>14</v>
      </c>
      <c r="M161" s="6">
        <f t="shared" si="23"/>
        <v>0.100274613007949</v>
      </c>
      <c r="O161" s="1">
        <v>14</v>
      </c>
      <c r="P161" s="6">
        <f t="shared" si="24"/>
        <v>0.147095218884328</v>
      </c>
      <c r="R161" s="1">
        <v>14</v>
      </c>
      <c r="S161" s="6">
        <f t="shared" si="25"/>
        <v>0.106612464691654</v>
      </c>
      <c r="U161" s="1">
        <v>14</v>
      </c>
      <c r="V161" s="6">
        <f t="shared" si="26"/>
        <v>0.063095218884328</v>
      </c>
    </row>
    <row r="162" spans="2:22">
      <c r="B162" s="1">
        <v>15</v>
      </c>
      <c r="C162" s="6">
        <f t="shared" si="20"/>
        <v>0.131434649220055</v>
      </c>
      <c r="F162" s="1">
        <v>15</v>
      </c>
      <c r="G162" s="6">
        <f t="shared" si="21"/>
        <v>0.149410588440131</v>
      </c>
      <c r="I162" s="1">
        <v>15</v>
      </c>
      <c r="J162" s="6">
        <f t="shared" si="22"/>
        <v>0.126072577431273</v>
      </c>
      <c r="L162" s="1">
        <v>15</v>
      </c>
      <c r="M162" s="6">
        <f t="shared" si="23"/>
        <v>0.101368973298717</v>
      </c>
      <c r="O162" s="1">
        <v>15</v>
      </c>
      <c r="P162" s="6">
        <f t="shared" si="24"/>
        <v>0.14893582352552</v>
      </c>
      <c r="R162" s="1">
        <v>15</v>
      </c>
      <c r="S162" s="6">
        <f t="shared" si="25"/>
        <v>0.1128</v>
      </c>
      <c r="U162" s="1">
        <v>15</v>
      </c>
      <c r="V162" s="6">
        <f t="shared" si="26"/>
        <v>0.0649358235255205</v>
      </c>
    </row>
    <row r="163" spans="2:22">
      <c r="B163" s="1">
        <v>16</v>
      </c>
      <c r="C163" s="6">
        <f t="shared" si="20"/>
        <v>0.134741434393755</v>
      </c>
      <c r="F163" s="1">
        <v>16</v>
      </c>
      <c r="G163" s="6">
        <f t="shared" si="21"/>
        <v>0.147142002629259</v>
      </c>
      <c r="I163" s="1">
        <v>16</v>
      </c>
      <c r="J163" s="6">
        <f t="shared" si="22"/>
        <v>0.124698177564762</v>
      </c>
      <c r="L163" s="1">
        <v>16</v>
      </c>
      <c r="M163" s="6">
        <f t="shared" si="23"/>
        <v>0.102473813821396</v>
      </c>
      <c r="O163" s="1">
        <v>16</v>
      </c>
      <c r="P163" s="6">
        <f t="shared" si="24"/>
        <v>0.150803950157217</v>
      </c>
      <c r="R163" s="1">
        <v>16</v>
      </c>
      <c r="S163" s="6">
        <f t="shared" si="25"/>
        <v>0.119217323597373</v>
      </c>
      <c r="U163" s="1">
        <v>16</v>
      </c>
      <c r="V163" s="6">
        <f t="shared" si="26"/>
        <v>0.0668039501572166</v>
      </c>
    </row>
    <row r="164" spans="2:22">
      <c r="B164" s="1">
        <v>17</v>
      </c>
      <c r="C164" s="6">
        <f t="shared" si="20"/>
        <v>0.138125533211922</v>
      </c>
      <c r="F164" s="1">
        <v>17</v>
      </c>
      <c r="G164" s="6">
        <f t="shared" si="21"/>
        <v>0.144977574282278</v>
      </c>
      <c r="I164" s="1">
        <v>17</v>
      </c>
      <c r="J164" s="6">
        <f t="shared" si="22"/>
        <v>0.123348608919393</v>
      </c>
      <c r="L164" s="1">
        <v>17</v>
      </c>
      <c r="M164" s="6">
        <f t="shared" si="23"/>
        <v>0.103589234940797</v>
      </c>
      <c r="O164" s="1">
        <v>17</v>
      </c>
      <c r="P164" s="6">
        <f t="shared" si="24"/>
        <v>0.152700010307207</v>
      </c>
      <c r="R164" s="1">
        <v>17</v>
      </c>
      <c r="S164" s="6">
        <f t="shared" si="25"/>
        <v>0.125872969197948</v>
      </c>
      <c r="U164" s="1">
        <v>17</v>
      </c>
      <c r="V164" s="6">
        <f t="shared" si="26"/>
        <v>0.0687000103072069</v>
      </c>
    </row>
    <row r="165" spans="2:22">
      <c r="B165" s="1">
        <v>18</v>
      </c>
      <c r="C165" s="6">
        <f t="shared" si="20"/>
        <v>0.141588753291109</v>
      </c>
      <c r="F165" s="1">
        <v>18</v>
      </c>
      <c r="G165" s="6">
        <f t="shared" si="21"/>
        <v>0.142912521222895</v>
      </c>
      <c r="I165" s="1">
        <v>18</v>
      </c>
      <c r="J165" s="6">
        <f t="shared" si="22"/>
        <v>0.122023422870601</v>
      </c>
      <c r="L165" s="1">
        <v>18</v>
      </c>
      <c r="M165" s="6">
        <f t="shared" si="23"/>
        <v>0.104715337982878</v>
      </c>
      <c r="O165" s="1">
        <v>18</v>
      </c>
      <c r="P165" s="6">
        <f t="shared" si="24"/>
        <v>0.15462442165673</v>
      </c>
      <c r="R165" s="1">
        <v>18</v>
      </c>
      <c r="S165" s="6">
        <f t="shared" si="25"/>
        <v>0.132775787434914</v>
      </c>
      <c r="U165" s="1">
        <v>18</v>
      </c>
      <c r="V165" s="6">
        <f t="shared" si="26"/>
        <v>0.0706244216567295</v>
      </c>
    </row>
    <row r="166" spans="2:22">
      <c r="B166" s="1">
        <v>19</v>
      </c>
      <c r="C166" s="6">
        <f t="shared" si="20"/>
        <v>0.145132944510495</v>
      </c>
      <c r="F166" s="1">
        <v>19</v>
      </c>
      <c r="G166" s="6">
        <f t="shared" si="21"/>
        <v>0.140942280838631</v>
      </c>
      <c r="I166" s="1">
        <v>19</v>
      </c>
      <c r="J166" s="6">
        <f t="shared" si="22"/>
        <v>0.120722178899099</v>
      </c>
      <c r="L166" s="1">
        <v>19</v>
      </c>
      <c r="M166" s="6">
        <f t="shared" si="23"/>
        <v>0.105852225243957</v>
      </c>
      <c r="O166" s="1">
        <v>19</v>
      </c>
      <c r="P166" s="6">
        <f t="shared" si="24"/>
        <v>0.15657760813248</v>
      </c>
      <c r="R166" s="1">
        <v>19</v>
      </c>
      <c r="S166" s="6">
        <f t="shared" si="25"/>
        <v>0.139934957629985</v>
      </c>
      <c r="U166" s="1">
        <v>19</v>
      </c>
      <c r="V166" s="6">
        <f t="shared" si="26"/>
        <v>0.0725776081324803</v>
      </c>
    </row>
    <row r="167" spans="2:22">
      <c r="B167" s="1">
        <v>20</v>
      </c>
      <c r="C167" s="6">
        <f t="shared" si="20"/>
        <v>0.14876</v>
      </c>
      <c r="F167" s="1">
        <v>20</v>
      </c>
      <c r="G167" s="6">
        <f t="shared" si="21"/>
        <v>0.1390625</v>
      </c>
      <c r="I167" s="1">
        <v>20</v>
      </c>
      <c r="J167" s="6">
        <f t="shared" si="22"/>
        <v>0.119444444444444</v>
      </c>
      <c r="L167" s="1">
        <v>20</v>
      </c>
      <c r="M167" s="6">
        <f t="shared" si="23"/>
        <v>0.107</v>
      </c>
      <c r="O167" s="1">
        <v>20</v>
      </c>
      <c r="P167" s="6">
        <f t="shared" si="24"/>
        <v>0.15856</v>
      </c>
      <c r="R167" s="1">
        <v>20</v>
      </c>
      <c r="S167" s="6">
        <f t="shared" si="25"/>
        <v>0.14736</v>
      </c>
      <c r="U167" s="1">
        <v>20</v>
      </c>
      <c r="V167" s="6">
        <f t="shared" si="26"/>
        <v>0.07456</v>
      </c>
    </row>
    <row r="168" spans="2:22">
      <c r="B168" s="1">
        <v>21</v>
      </c>
      <c r="C168" s="6">
        <f t="shared" si="20"/>
        <v>0.152471857151495</v>
      </c>
      <c r="F168" s="1">
        <v>21</v>
      </c>
      <c r="G168" s="6">
        <f t="shared" si="21"/>
        <v>0.137269025442526</v>
      </c>
      <c r="I168" s="1">
        <v>21</v>
      </c>
      <c r="J168" s="6">
        <f t="shared" si="22"/>
        <v>0.118189794761244</v>
      </c>
      <c r="L168" s="1">
        <v>21</v>
      </c>
      <c r="M168" s="6">
        <f t="shared" si="23"/>
        <v>0.108158766516003</v>
      </c>
      <c r="O168" s="1">
        <v>21</v>
      </c>
      <c r="P168" s="6">
        <f t="shared" si="24"/>
        <v>0.160572033958456</v>
      </c>
      <c r="R168" s="1">
        <v>21</v>
      </c>
      <c r="S168" s="6">
        <f t="shared" si="25"/>
        <v>0.155060788316847</v>
      </c>
      <c r="U168" s="1">
        <v>21</v>
      </c>
      <c r="V168" s="6">
        <f t="shared" si="26"/>
        <v>0.0765720339584561</v>
      </c>
    </row>
    <row r="169" spans="2:22">
      <c r="B169" s="1">
        <v>22</v>
      </c>
      <c r="C169" s="6">
        <f t="shared" si="20"/>
        <v>0.156270498653665</v>
      </c>
      <c r="F169" s="1">
        <v>22</v>
      </c>
      <c r="G169" s="6">
        <f t="shared" si="21"/>
        <v>0.135557894590353</v>
      </c>
      <c r="I169" s="1">
        <v>22</v>
      </c>
      <c r="J169" s="6">
        <f t="shared" si="22"/>
        <v>0.11695781277796</v>
      </c>
      <c r="L169" s="1">
        <v>22</v>
      </c>
      <c r="M169" s="6">
        <f t="shared" si="23"/>
        <v>0.109328630055466</v>
      </c>
      <c r="O169" s="1">
        <v>22</v>
      </c>
      <c r="P169" s="6">
        <f t="shared" si="24"/>
        <v>0.162614153236844</v>
      </c>
      <c r="R169" s="1">
        <v>22</v>
      </c>
      <c r="S169" s="6">
        <f t="shared" si="25"/>
        <v>0.163047563037538</v>
      </c>
      <c r="U169" s="1">
        <v>22</v>
      </c>
      <c r="V169" s="6">
        <f t="shared" si="26"/>
        <v>0.0786141532368438</v>
      </c>
    </row>
    <row r="170" spans="2:22">
      <c r="B170" s="1">
        <v>23</v>
      </c>
      <c r="C170" s="6">
        <f t="shared" si="20"/>
        <v>0.160157953551059</v>
      </c>
      <c r="F170" s="1">
        <v>23</v>
      </c>
      <c r="G170" s="6">
        <f t="shared" si="21"/>
        <v>0.133925326801166</v>
      </c>
      <c r="I170" s="1">
        <v>23</v>
      </c>
      <c r="J170" s="6">
        <f t="shared" si="22"/>
        <v>0.115748088958269</v>
      </c>
      <c r="L170" s="1">
        <v>23</v>
      </c>
      <c r="M170" s="6">
        <f t="shared" si="23"/>
        <v>0.110509696889953</v>
      </c>
      <c r="O170" s="1">
        <v>23</v>
      </c>
      <c r="P170" s="6">
        <f t="shared" si="24"/>
        <v>0.164686807691624</v>
      </c>
      <c r="R170" s="1">
        <v>23</v>
      </c>
      <c r="S170" s="6">
        <f t="shared" si="25"/>
        <v>0.171330944921897</v>
      </c>
      <c r="U170" s="1">
        <v>23</v>
      </c>
      <c r="V170" s="6">
        <f t="shared" si="26"/>
        <v>0.0806868076916236</v>
      </c>
    </row>
    <row r="171" spans="2:22">
      <c r="B171" s="1">
        <v>24</v>
      </c>
      <c r="C171" s="6">
        <f t="shared" si="20"/>
        <v>0.164136298327906</v>
      </c>
      <c r="F171" s="1">
        <v>24</v>
      </c>
      <c r="G171" s="6">
        <f t="shared" si="21"/>
        <v>0.132367715013086</v>
      </c>
      <c r="I171" s="1">
        <v>24</v>
      </c>
      <c r="J171" s="6">
        <f t="shared" si="22"/>
        <v>0.114560221164921</v>
      </c>
      <c r="L171" s="1">
        <v>24</v>
      </c>
      <c r="M171" s="6">
        <f t="shared" si="23"/>
        <v>0.111702074308744</v>
      </c>
      <c r="O171" s="1">
        <v>24</v>
      </c>
      <c r="P171" s="6">
        <f t="shared" si="24"/>
        <v>0.16679045390582</v>
      </c>
      <c r="R171" s="1">
        <v>24</v>
      </c>
      <c r="S171" s="6">
        <f t="shared" si="25"/>
        <v>0.179921949155982</v>
      </c>
      <c r="U171" s="1">
        <v>24</v>
      </c>
      <c r="V171" s="6">
        <f t="shared" si="26"/>
        <v>0.0827904539058205</v>
      </c>
    </row>
    <row r="172" spans="2:22">
      <c r="B172" s="1">
        <v>25</v>
      </c>
      <c r="C172" s="6">
        <f t="shared" si="20"/>
        <v>0.168207658017269</v>
      </c>
      <c r="F172" s="1">
        <v>25</v>
      </c>
      <c r="G172" s="6">
        <f t="shared" si="21"/>
        <v>0.130881617775082</v>
      </c>
      <c r="I172" s="1">
        <v>25</v>
      </c>
      <c r="J172" s="6">
        <f t="shared" si="22"/>
        <v>0.113393814526061</v>
      </c>
      <c r="L172" s="1">
        <v>25</v>
      </c>
      <c r="M172" s="6">
        <f t="shared" si="23"/>
        <v>0.112905870628588</v>
      </c>
      <c r="O172" s="1">
        <v>25</v>
      </c>
      <c r="P172" s="6">
        <f t="shared" si="24"/>
        <v>0.168925555289604</v>
      </c>
      <c r="R172" s="1">
        <v>25</v>
      </c>
      <c r="S172" s="6">
        <f t="shared" si="25"/>
        <v>0.188832</v>
      </c>
      <c r="U172" s="1">
        <v>25</v>
      </c>
      <c r="V172" s="6">
        <f t="shared" si="26"/>
        <v>0.0849255552896038</v>
      </c>
    </row>
    <row r="173" spans="2:22">
      <c r="B173" s="1">
        <v>26</v>
      </c>
      <c r="C173" s="6">
        <f t="shared" si="20"/>
        <v>0.172374207336132</v>
      </c>
      <c r="F173" s="1">
        <v>26</v>
      </c>
      <c r="G173" s="6">
        <f t="shared" si="21"/>
        <v>0.129463751643287</v>
      </c>
      <c r="I173" s="1">
        <v>26</v>
      </c>
      <c r="J173" s="6">
        <f t="shared" si="22"/>
        <v>0.112248481303968</v>
      </c>
      <c r="L173" s="1">
        <v>26</v>
      </c>
      <c r="M173" s="6">
        <f t="shared" si="23"/>
        <v>0.114121195203536</v>
      </c>
      <c r="O173" s="1">
        <v>26</v>
      </c>
      <c r="P173" s="6">
        <f t="shared" si="24"/>
        <v>0.171092582182371</v>
      </c>
      <c r="R173" s="1">
        <v>26</v>
      </c>
      <c r="S173" s="6">
        <f t="shared" si="25"/>
        <v>0.198072945980217</v>
      </c>
      <c r="U173" s="1">
        <v>26</v>
      </c>
      <c r="V173" s="6">
        <f t="shared" si="26"/>
        <v>0.0870925821823713</v>
      </c>
    </row>
    <row r="174" spans="2:22">
      <c r="B174" s="1">
        <v>27</v>
      </c>
      <c r="C174" s="6">
        <f t="shared" si="20"/>
        <v>0.176638171847021</v>
      </c>
      <c r="F174" s="1">
        <v>27</v>
      </c>
      <c r="G174" s="6">
        <f t="shared" si="21"/>
        <v>0.128110983926424</v>
      </c>
      <c r="I174" s="1">
        <v>27</v>
      </c>
      <c r="J174" s="6">
        <f t="shared" si="22"/>
        <v>0.111123840766161</v>
      </c>
      <c r="L174" s="1">
        <v>27</v>
      </c>
      <c r="M174" s="6">
        <f t="shared" si="23"/>
        <v>0.115348158434876</v>
      </c>
      <c r="O174" s="1">
        <v>27</v>
      </c>
      <c r="P174" s="6">
        <f t="shared" si="24"/>
        <v>0.17329201195636</v>
      </c>
      <c r="R174" s="1">
        <v>27</v>
      </c>
      <c r="S174" s="6">
        <f t="shared" si="25"/>
        <v>0.207657075645045</v>
      </c>
      <c r="U174" s="1">
        <v>27</v>
      </c>
      <c r="V174" s="6">
        <f t="shared" si="26"/>
        <v>0.0892920119563601</v>
      </c>
    </row>
    <row r="175" spans="2:22">
      <c r="B175" s="1">
        <v>28</v>
      </c>
      <c r="C175" s="6">
        <f t="shared" si="20"/>
        <v>0.181001829146797</v>
      </c>
      <c r="F175" s="1">
        <v>28</v>
      </c>
      <c r="G175" s="6">
        <f t="shared" si="21"/>
        <v>0.12682032576431</v>
      </c>
      <c r="I175" s="1">
        <v>28</v>
      </c>
      <c r="J175" s="6">
        <f t="shared" si="22"/>
        <v>0.110019519058834</v>
      </c>
      <c r="L175" s="1">
        <v>28</v>
      </c>
      <c r="M175" s="6">
        <f t="shared" si="23"/>
        <v>0.116586871781166</v>
      </c>
      <c r="O175" s="1">
        <v>28</v>
      </c>
      <c r="P175" s="6">
        <f t="shared" si="24"/>
        <v>0.175524329121806</v>
      </c>
      <c r="R175" s="1">
        <v>28</v>
      </c>
      <c r="S175" s="6">
        <f t="shared" si="25"/>
        <v>0.217597133906276</v>
      </c>
      <c r="U175" s="1">
        <v>28</v>
      </c>
      <c r="V175" s="6">
        <f t="shared" si="26"/>
        <v>0.0915243291218062</v>
      </c>
    </row>
    <row r="176" spans="2:22">
      <c r="B176" s="1">
        <v>29</v>
      </c>
      <c r="C176" s="6">
        <f t="shared" si="20"/>
        <v>0.185467510083224</v>
      </c>
      <c r="F176" s="1">
        <v>29</v>
      </c>
      <c r="G176" s="6">
        <f t="shared" si="21"/>
        <v>0.125588925524144</v>
      </c>
      <c r="I176" s="1">
        <v>29</v>
      </c>
      <c r="J176" s="6">
        <f t="shared" si="22"/>
        <v>0.108935149082582</v>
      </c>
      <c r="L176" s="1">
        <v>29</v>
      </c>
      <c r="M176" s="6">
        <f t="shared" si="23"/>
        <v>0.117837447768353</v>
      </c>
      <c r="O176" s="1">
        <v>29</v>
      </c>
      <c r="P176" s="6">
        <f t="shared" si="24"/>
        <v>0.177790025433677</v>
      </c>
      <c r="R176" s="1">
        <v>29</v>
      </c>
      <c r="S176" s="6">
        <f t="shared" si="25"/>
        <v>0.227906338987178</v>
      </c>
      <c r="U176" s="1">
        <v>29</v>
      </c>
      <c r="V176" s="6">
        <f t="shared" si="26"/>
        <v>0.0937900254336772</v>
      </c>
    </row>
    <row r="177" spans="2:22">
      <c r="B177" s="1">
        <v>30</v>
      </c>
      <c r="C177" s="6">
        <f t="shared" si="20"/>
        <v>0.1900376</v>
      </c>
      <c r="F177" s="1">
        <v>30</v>
      </c>
      <c r="G177" s="6">
        <f t="shared" si="21"/>
        <v>0.1244140625</v>
      </c>
      <c r="I177" s="1">
        <v>30</v>
      </c>
      <c r="J177" s="6">
        <f t="shared" si="22"/>
        <v>0.10787037037037</v>
      </c>
      <c r="L177" s="1">
        <v>30</v>
      </c>
      <c r="M177" s="6">
        <f t="shared" si="23"/>
        <v>0.1191</v>
      </c>
      <c r="O177" s="1">
        <v>30</v>
      </c>
      <c r="P177" s="6">
        <f t="shared" si="24"/>
        <v>0.1800896</v>
      </c>
      <c r="R177" s="1">
        <v>30</v>
      </c>
      <c r="S177" s="6">
        <f t="shared" si="25"/>
        <v>0.2385984</v>
      </c>
      <c r="U177" s="1">
        <v>30</v>
      </c>
      <c r="V177" s="6">
        <f t="shared" si="26"/>
        <v>0.0960896</v>
      </c>
    </row>
    <row r="182" spans="2:6">
      <c r="B182" s="1" t="s">
        <v>180</v>
      </c>
      <c r="F182" s="1" t="s">
        <v>181</v>
      </c>
    </row>
    <row r="183" spans="2:7">
      <c r="B183" s="1" t="s">
        <v>77</v>
      </c>
      <c r="C183" s="1">
        <v>1.05</v>
      </c>
      <c r="F183" s="1" t="s">
        <v>77</v>
      </c>
      <c r="G183" s="1">
        <v>1.02</v>
      </c>
    </row>
    <row r="184" spans="2:7">
      <c r="B184" s="1" t="s">
        <v>78</v>
      </c>
      <c r="C184" s="1">
        <v>-0.96</v>
      </c>
      <c r="F184" s="1" t="s">
        <v>78</v>
      </c>
      <c r="G184" s="1">
        <v>-0.9</v>
      </c>
    </row>
    <row r="185" spans="2:7">
      <c r="B185" s="1" t="s">
        <v>162</v>
      </c>
      <c r="C185" s="1" t="s">
        <v>161</v>
      </c>
      <c r="F185" s="1" t="s">
        <v>162</v>
      </c>
      <c r="G185" s="1" t="s">
        <v>161</v>
      </c>
    </row>
    <row r="186" spans="2:7">
      <c r="B186" s="1">
        <v>1</v>
      </c>
      <c r="C186" s="6">
        <f>($C$183^(B186/10)+$C$184)</f>
        <v>0.0448909381985119</v>
      </c>
      <c r="F186" s="1">
        <v>1</v>
      </c>
      <c r="G186" s="6">
        <f>($G$183^(F186/10)+$G$184)</f>
        <v>0.101982224744745</v>
      </c>
    </row>
    <row r="187" spans="2:7">
      <c r="B187" s="1">
        <v>2</v>
      </c>
      <c r="C187" s="6">
        <f t="shared" ref="C187:C215" si="27">($C$183^(B187/10)+$C$184)</f>
        <v>0.0498057976734854</v>
      </c>
      <c r="F187" s="1">
        <v>2</v>
      </c>
      <c r="G187" s="6">
        <f t="shared" ref="G187:G215" si="28">($G$183^(F187/10)+$G$184)</f>
        <v>0.103968378704429</v>
      </c>
    </row>
    <row r="188" spans="2:7">
      <c r="B188" s="1">
        <v>3</v>
      </c>
      <c r="C188" s="6">
        <f t="shared" si="27"/>
        <v>0.0547446954224053</v>
      </c>
      <c r="F188" s="1">
        <v>3</v>
      </c>
      <c r="G188" s="6">
        <f t="shared" si="28"/>
        <v>0.105958469667639</v>
      </c>
    </row>
    <row r="189" spans="2:7">
      <c r="B189" s="1">
        <v>4</v>
      </c>
      <c r="C189" s="6">
        <f t="shared" si="27"/>
        <v>0.059707749014984</v>
      </c>
      <c r="F189" s="1">
        <v>4</v>
      </c>
      <c r="G189" s="6">
        <f t="shared" si="28"/>
        <v>0.1079525054384</v>
      </c>
    </row>
    <row r="190" spans="2:7">
      <c r="B190" s="1">
        <v>5</v>
      </c>
      <c r="C190" s="6">
        <f t="shared" si="27"/>
        <v>0.06469507659596</v>
      </c>
      <c r="F190" s="1">
        <v>5</v>
      </c>
      <c r="G190" s="6">
        <f t="shared" si="28"/>
        <v>0.109950493836208</v>
      </c>
    </row>
    <row r="191" spans="2:7">
      <c r="B191" s="1">
        <v>6</v>
      </c>
      <c r="C191" s="6">
        <f t="shared" si="27"/>
        <v>0.0697067968879101</v>
      </c>
      <c r="F191" s="1">
        <v>6</v>
      </c>
      <c r="G191" s="6">
        <f t="shared" si="28"/>
        <v>0.111952442696058</v>
      </c>
    </row>
    <row r="192" spans="2:7">
      <c r="B192" s="1">
        <v>7</v>
      </c>
      <c r="C192" s="6">
        <f t="shared" si="27"/>
        <v>0.0747430291940765</v>
      </c>
      <c r="F192" s="1">
        <v>7</v>
      </c>
      <c r="G192" s="6">
        <f t="shared" si="28"/>
        <v>0.113958359868475</v>
      </c>
    </row>
    <row r="193" spans="2:7">
      <c r="B193" s="1">
        <v>8</v>
      </c>
      <c r="C193" s="6">
        <f t="shared" si="27"/>
        <v>0.0798038934012055</v>
      </c>
      <c r="F193" s="1">
        <v>8</v>
      </c>
      <c r="G193" s="6">
        <f t="shared" si="28"/>
        <v>0.115968253219548</v>
      </c>
    </row>
    <row r="194" spans="2:7">
      <c r="B194" s="1">
        <v>9</v>
      </c>
      <c r="C194" s="6">
        <f t="shared" si="27"/>
        <v>0.0848895099824027</v>
      </c>
      <c r="F194" s="1">
        <v>9</v>
      </c>
      <c r="G194" s="6">
        <f t="shared" si="28"/>
        <v>0.117982130630955</v>
      </c>
    </row>
    <row r="195" spans="2:7">
      <c r="B195" s="1">
        <v>10</v>
      </c>
      <c r="C195" s="6">
        <f t="shared" si="27"/>
        <v>0.0900000000000001</v>
      </c>
      <c r="F195" s="1">
        <v>10</v>
      </c>
      <c r="G195" s="6">
        <f t="shared" si="28"/>
        <v>0.12</v>
      </c>
    </row>
    <row r="196" spans="2:7">
      <c r="B196" s="1">
        <v>11</v>
      </c>
      <c r="C196" s="6">
        <f t="shared" si="27"/>
        <v>0.0951354851084376</v>
      </c>
      <c r="F196" s="1">
        <v>11</v>
      </c>
      <c r="G196" s="6">
        <f t="shared" si="28"/>
        <v>0.12202186923964</v>
      </c>
    </row>
    <row r="197" spans="2:7">
      <c r="B197" s="1">
        <v>12</v>
      </c>
      <c r="C197" s="6">
        <f t="shared" si="27"/>
        <v>0.10029608755716</v>
      </c>
      <c r="F197" s="1">
        <v>12</v>
      </c>
      <c r="G197" s="6">
        <f t="shared" si="28"/>
        <v>0.124047746278518</v>
      </c>
    </row>
    <row r="198" spans="2:7">
      <c r="B198" s="1">
        <v>13</v>
      </c>
      <c r="C198" s="6">
        <f t="shared" si="27"/>
        <v>0.105481930193526</v>
      </c>
      <c r="F198" s="1">
        <v>13</v>
      </c>
      <c r="G198" s="6">
        <f t="shared" si="28"/>
        <v>0.126077639060992</v>
      </c>
    </row>
    <row r="199" spans="2:7">
      <c r="B199" s="1">
        <v>14</v>
      </c>
      <c r="C199" s="6">
        <f t="shared" si="27"/>
        <v>0.110693136465733</v>
      </c>
      <c r="F199" s="1">
        <v>14</v>
      </c>
      <c r="G199" s="6">
        <f t="shared" si="28"/>
        <v>0.128111555547168</v>
      </c>
    </row>
    <row r="200" spans="2:7">
      <c r="B200" s="1">
        <v>15</v>
      </c>
      <c r="C200" s="6">
        <f t="shared" si="27"/>
        <v>0.115929830425758</v>
      </c>
      <c r="F200" s="1">
        <v>15</v>
      </c>
      <c r="G200" s="6">
        <f t="shared" si="28"/>
        <v>0.130149503712932</v>
      </c>
    </row>
    <row r="201" spans="2:7">
      <c r="B201" s="1">
        <v>16</v>
      </c>
      <c r="C201" s="6">
        <f t="shared" si="27"/>
        <v>0.121192136732306</v>
      </c>
      <c r="F201" s="1">
        <v>16</v>
      </c>
      <c r="G201" s="6">
        <f t="shared" si="28"/>
        <v>0.132191491549979</v>
      </c>
    </row>
    <row r="202" spans="2:7">
      <c r="B202" s="1">
        <v>17</v>
      </c>
      <c r="C202" s="6">
        <f t="shared" si="27"/>
        <v>0.12648018065378</v>
      </c>
      <c r="F202" s="1">
        <v>17</v>
      </c>
      <c r="G202" s="6">
        <f t="shared" si="28"/>
        <v>0.134237527065845</v>
      </c>
    </row>
    <row r="203" spans="2:7">
      <c r="B203" s="1">
        <v>18</v>
      </c>
      <c r="C203" s="6">
        <f t="shared" si="27"/>
        <v>0.131794088071266</v>
      </c>
      <c r="F203" s="1">
        <v>18</v>
      </c>
      <c r="G203" s="6">
        <f t="shared" si="28"/>
        <v>0.136287618283938</v>
      </c>
    </row>
    <row r="204" spans="2:7">
      <c r="B204" s="1">
        <v>19</v>
      </c>
      <c r="C204" s="6">
        <f t="shared" si="27"/>
        <v>0.137133985481523</v>
      </c>
      <c r="F204" s="1">
        <v>19</v>
      </c>
      <c r="G204" s="6">
        <f t="shared" si="28"/>
        <v>0.138341773243574</v>
      </c>
    </row>
    <row r="205" spans="2:7">
      <c r="B205" s="1">
        <v>20</v>
      </c>
      <c r="C205" s="6">
        <f t="shared" si="27"/>
        <v>0.1425</v>
      </c>
      <c r="F205" s="1">
        <v>20</v>
      </c>
      <c r="G205" s="6">
        <f t="shared" si="28"/>
        <v>0.1404</v>
      </c>
    </row>
    <row r="206" spans="2:7">
      <c r="B206" s="1">
        <v>21</v>
      </c>
      <c r="C206" s="6">
        <f t="shared" si="27"/>
        <v>0.147892259363859</v>
      </c>
      <c r="F206" s="1">
        <v>21</v>
      </c>
      <c r="G206" s="6">
        <f t="shared" si="28"/>
        <v>0.142462306624433</v>
      </c>
    </row>
    <row r="207" spans="2:7">
      <c r="B207" s="1">
        <v>22</v>
      </c>
      <c r="C207" s="6">
        <f t="shared" si="27"/>
        <v>0.153310891935018</v>
      </c>
      <c r="F207" s="1">
        <v>22</v>
      </c>
      <c r="G207" s="6">
        <f t="shared" si="28"/>
        <v>0.144528701204088</v>
      </c>
    </row>
    <row r="208" spans="2:7">
      <c r="B208" s="1">
        <v>23</v>
      </c>
      <c r="C208" s="6">
        <f t="shared" si="27"/>
        <v>0.158756026703202</v>
      </c>
      <c r="F208" s="1">
        <v>23</v>
      </c>
      <c r="G208" s="6">
        <f t="shared" si="28"/>
        <v>0.146599191842211</v>
      </c>
    </row>
    <row r="209" spans="2:7">
      <c r="B209" s="1">
        <v>24</v>
      </c>
      <c r="C209" s="6">
        <f t="shared" si="27"/>
        <v>0.16422779328902</v>
      </c>
      <c r="F209" s="1">
        <v>24</v>
      </c>
      <c r="G209" s="6">
        <f t="shared" si="28"/>
        <v>0.148673786658111</v>
      </c>
    </row>
    <row r="210" spans="2:7">
      <c r="B210" s="1">
        <v>25</v>
      </c>
      <c r="C210" s="6">
        <f t="shared" si="27"/>
        <v>0.169726321947046</v>
      </c>
      <c r="F210" s="1">
        <v>25</v>
      </c>
      <c r="G210" s="6">
        <f t="shared" si="28"/>
        <v>0.150752493787191</v>
      </c>
    </row>
    <row r="211" spans="2:7">
      <c r="B211" s="1">
        <v>26</v>
      </c>
      <c r="C211" s="6">
        <f t="shared" si="27"/>
        <v>0.175251743568921</v>
      </c>
      <c r="F211" s="1">
        <v>26</v>
      </c>
      <c r="G211" s="6">
        <f t="shared" si="28"/>
        <v>0.152835321380978</v>
      </c>
    </row>
    <row r="212" spans="2:7">
      <c r="B212" s="1">
        <v>27</v>
      </c>
      <c r="C212" s="6">
        <f t="shared" si="27"/>
        <v>0.180804189686469</v>
      </c>
      <c r="F212" s="1">
        <v>27</v>
      </c>
      <c r="G212" s="6">
        <f t="shared" si="28"/>
        <v>0.154922277607161</v>
      </c>
    </row>
    <row r="213" spans="2:7">
      <c r="B213" s="1">
        <v>28</v>
      </c>
      <c r="C213" s="6">
        <f t="shared" si="27"/>
        <v>0.186383792474829</v>
      </c>
      <c r="F213" s="1">
        <v>28</v>
      </c>
      <c r="G213" s="6">
        <f t="shared" si="28"/>
        <v>0.157013370649617</v>
      </c>
    </row>
    <row r="214" spans="2:7">
      <c r="B214" s="1">
        <v>29</v>
      </c>
      <c r="C214" s="6">
        <f t="shared" si="27"/>
        <v>0.191990684755599</v>
      </c>
      <c r="F214" s="1">
        <v>29</v>
      </c>
      <c r="G214" s="6">
        <f t="shared" si="28"/>
        <v>0.159108608708446</v>
      </c>
    </row>
    <row r="215" spans="2:7">
      <c r="B215" s="1">
        <v>30</v>
      </c>
      <c r="C215" s="6">
        <f t="shared" si="27"/>
        <v>0.197625</v>
      </c>
      <c r="F215" s="1">
        <v>30</v>
      </c>
      <c r="G215" s="6">
        <f t="shared" si="28"/>
        <v>0.161208</v>
      </c>
    </row>
    <row r="220" spans="2:6">
      <c r="B220" s="1" t="s">
        <v>182</v>
      </c>
      <c r="F220" s="1" t="s">
        <v>183</v>
      </c>
    </row>
    <row r="221" spans="2:7">
      <c r="B221" s="1" t="s">
        <v>77</v>
      </c>
      <c r="C221" s="1">
        <v>1</v>
      </c>
      <c r="F221" s="1" t="s">
        <v>77</v>
      </c>
      <c r="G221" s="1">
        <v>1</v>
      </c>
    </row>
    <row r="222" spans="2:7">
      <c r="B222" s="1" t="s">
        <v>78</v>
      </c>
      <c r="C222" s="1">
        <v>1.4</v>
      </c>
      <c r="F222" s="1" t="s">
        <v>78</v>
      </c>
      <c r="G222" s="1">
        <v>-0.1</v>
      </c>
    </row>
    <row r="223" spans="2:7">
      <c r="B223" s="1" t="s">
        <v>162</v>
      </c>
      <c r="C223" s="1" t="s">
        <v>161</v>
      </c>
      <c r="F223" s="1" t="s">
        <v>162</v>
      </c>
      <c r="G223" s="1" t="s">
        <v>161</v>
      </c>
    </row>
    <row r="224" spans="2:7">
      <c r="B224" s="1">
        <v>1</v>
      </c>
      <c r="C224" s="6">
        <f>((-1/SQRT(36-B224)+$C$222)/2)-0.42</f>
        <v>0.195484574527148</v>
      </c>
      <c r="F224" s="1">
        <v>1</v>
      </c>
      <c r="G224" s="6">
        <f>(1/SQRT(32-F224)+$G$222)/2</f>
        <v>0.0398026510133875</v>
      </c>
    </row>
    <row r="225" spans="2:7">
      <c r="B225" s="1">
        <v>2</v>
      </c>
      <c r="C225" s="6">
        <f t="shared" ref="C225:C253" si="29">((-1/SQRT(36-B225)+$C$222)/2)-0.42</f>
        <v>0.194250707428746</v>
      </c>
      <c r="F225" s="1">
        <v>2</v>
      </c>
      <c r="G225" s="6">
        <f t="shared" ref="G225:G253" si="30">(1/SQRT(32-F225)+$G$222)/2</f>
        <v>0.0412870929175277</v>
      </c>
    </row>
    <row r="226" spans="2:7">
      <c r="B226" s="1">
        <v>3</v>
      </c>
      <c r="C226" s="6">
        <f t="shared" si="29"/>
        <v>0.192961172022151</v>
      </c>
      <c r="F226" s="1">
        <v>3</v>
      </c>
      <c r="G226" s="6">
        <f t="shared" si="30"/>
        <v>0.0428476690885259</v>
      </c>
    </row>
    <row r="227" spans="2:7">
      <c r="B227" s="1">
        <v>4</v>
      </c>
      <c r="C227" s="6">
        <f t="shared" si="29"/>
        <v>0.191611652351681</v>
      </c>
      <c r="F227" s="1">
        <v>4</v>
      </c>
      <c r="G227" s="6">
        <f t="shared" si="30"/>
        <v>0.0444911182523068</v>
      </c>
    </row>
    <row r="228" spans="2:7">
      <c r="B228" s="1">
        <v>5</v>
      </c>
      <c r="C228" s="6">
        <f t="shared" si="29"/>
        <v>0.190197348986613</v>
      </c>
      <c r="F228" s="1">
        <v>5</v>
      </c>
      <c r="G228" s="6">
        <f t="shared" si="30"/>
        <v>0.0462250448649376</v>
      </c>
    </row>
    <row r="229" spans="2:7">
      <c r="B229" s="1">
        <v>6</v>
      </c>
      <c r="C229" s="6">
        <f t="shared" si="29"/>
        <v>0.188712907082472</v>
      </c>
      <c r="F229" s="1">
        <v>6</v>
      </c>
      <c r="G229" s="6">
        <f t="shared" si="30"/>
        <v>0.048058067569092</v>
      </c>
    </row>
    <row r="230" spans="2:7">
      <c r="B230" s="1">
        <v>7</v>
      </c>
      <c r="C230" s="6">
        <f t="shared" si="29"/>
        <v>0.187152330911474</v>
      </c>
      <c r="F230" s="1">
        <v>7</v>
      </c>
      <c r="G230" s="6">
        <f t="shared" si="30"/>
        <v>0.05</v>
      </c>
    </row>
    <row r="231" spans="2:7">
      <c r="B231" s="1">
        <v>8</v>
      </c>
      <c r="C231" s="6">
        <f t="shared" si="29"/>
        <v>0.185508881747693</v>
      </c>
      <c r="F231" s="1">
        <v>8</v>
      </c>
      <c r="G231" s="6">
        <f t="shared" si="30"/>
        <v>0.0520620726159658</v>
      </c>
    </row>
    <row r="232" spans="2:7">
      <c r="B232" s="1">
        <v>9</v>
      </c>
      <c r="C232" s="6">
        <f t="shared" si="29"/>
        <v>0.183774955135062</v>
      </c>
      <c r="F232" s="1">
        <v>9</v>
      </c>
      <c r="G232" s="6">
        <f t="shared" si="30"/>
        <v>0.0542572070285374</v>
      </c>
    </row>
    <row r="233" spans="2:7">
      <c r="B233" s="1">
        <v>10</v>
      </c>
      <c r="C233" s="6">
        <f t="shared" si="29"/>
        <v>0.181941932430908</v>
      </c>
      <c r="F233" s="1">
        <v>10</v>
      </c>
      <c r="G233" s="6">
        <f t="shared" si="30"/>
        <v>0.0566003581778052</v>
      </c>
    </row>
    <row r="234" spans="2:7">
      <c r="B234" s="1">
        <v>11</v>
      </c>
      <c r="C234" s="6">
        <f t="shared" si="29"/>
        <v>0.18</v>
      </c>
      <c r="F234" s="1">
        <v>11</v>
      </c>
      <c r="G234" s="6">
        <f t="shared" si="30"/>
        <v>0.0591089451179962</v>
      </c>
    </row>
    <row r="235" spans="2:7">
      <c r="B235" s="1">
        <v>12</v>
      </c>
      <c r="C235" s="6">
        <f t="shared" si="29"/>
        <v>0.177937927384034</v>
      </c>
      <c r="F235" s="1">
        <v>12</v>
      </c>
      <c r="G235" s="6">
        <f t="shared" si="30"/>
        <v>0.0618033988749895</v>
      </c>
    </row>
    <row r="236" spans="2:7">
      <c r="B236" s="1">
        <v>13</v>
      </c>
      <c r="C236" s="6">
        <f t="shared" si="29"/>
        <v>0.175742792971463</v>
      </c>
      <c r="F236" s="1">
        <v>13</v>
      </c>
      <c r="G236" s="6">
        <f t="shared" si="30"/>
        <v>0.0647078669352809</v>
      </c>
    </row>
    <row r="237" spans="2:7">
      <c r="B237" s="1">
        <v>14</v>
      </c>
      <c r="C237" s="6">
        <f t="shared" si="29"/>
        <v>0.173399641822195</v>
      </c>
      <c r="F237" s="1">
        <v>14</v>
      </c>
      <c r="G237" s="6">
        <f t="shared" si="30"/>
        <v>0.0678511301977579</v>
      </c>
    </row>
    <row r="238" spans="2:7">
      <c r="B238" s="1">
        <v>15</v>
      </c>
      <c r="C238" s="6">
        <f t="shared" si="29"/>
        <v>0.170891054882004</v>
      </c>
      <c r="F238" s="1">
        <v>15</v>
      </c>
      <c r="G238" s="6">
        <f t="shared" si="30"/>
        <v>0.0712678125181665</v>
      </c>
    </row>
    <row r="239" spans="2:7">
      <c r="B239" s="1">
        <v>16</v>
      </c>
      <c r="C239" s="6">
        <f t="shared" si="29"/>
        <v>0.168196601125011</v>
      </c>
      <c r="F239" s="1">
        <v>16</v>
      </c>
      <c r="G239" s="6">
        <f t="shared" si="30"/>
        <v>0.075</v>
      </c>
    </row>
    <row r="240" spans="2:7">
      <c r="B240" s="1">
        <v>17</v>
      </c>
      <c r="C240" s="6">
        <f t="shared" si="29"/>
        <v>0.165292133064719</v>
      </c>
      <c r="F240" s="1">
        <v>17</v>
      </c>
      <c r="G240" s="6">
        <f t="shared" si="30"/>
        <v>0.0790994448735805</v>
      </c>
    </row>
    <row r="241" spans="2:7">
      <c r="B241" s="1">
        <v>18</v>
      </c>
      <c r="C241" s="6">
        <f t="shared" si="29"/>
        <v>0.162148869802242</v>
      </c>
      <c r="F241" s="1">
        <v>18</v>
      </c>
      <c r="G241" s="6">
        <f t="shared" si="30"/>
        <v>0.0836306209562122</v>
      </c>
    </row>
    <row r="242" spans="2:7">
      <c r="B242" s="1">
        <v>19</v>
      </c>
      <c r="C242" s="6">
        <f t="shared" si="29"/>
        <v>0.158732187481833</v>
      </c>
      <c r="F242" s="1">
        <v>19</v>
      </c>
      <c r="G242" s="6">
        <f t="shared" si="30"/>
        <v>0.0886750490563073</v>
      </c>
    </row>
    <row r="243" spans="2:7">
      <c r="B243" s="1">
        <v>20</v>
      </c>
      <c r="C243" s="6">
        <f t="shared" si="29"/>
        <v>0.155</v>
      </c>
      <c r="F243" s="1">
        <v>20</v>
      </c>
      <c r="G243" s="6">
        <f t="shared" si="30"/>
        <v>0.0943375672974065</v>
      </c>
    </row>
    <row r="244" spans="2:7">
      <c r="B244" s="1">
        <v>21</v>
      </c>
      <c r="C244" s="6">
        <f t="shared" si="29"/>
        <v>0.150900555126419</v>
      </c>
      <c r="F244" s="1">
        <v>21</v>
      </c>
      <c r="G244" s="6">
        <f t="shared" si="30"/>
        <v>0.100755672288882</v>
      </c>
    </row>
    <row r="245" spans="2:7">
      <c r="B245" s="1">
        <v>22</v>
      </c>
      <c r="C245" s="6">
        <f t="shared" si="29"/>
        <v>0.146369379043788</v>
      </c>
      <c r="F245" s="1">
        <v>22</v>
      </c>
      <c r="G245" s="6">
        <f t="shared" si="30"/>
        <v>0.108113883008419</v>
      </c>
    </row>
    <row r="246" spans="2:7">
      <c r="B246" s="1">
        <v>23</v>
      </c>
      <c r="C246" s="6">
        <f t="shared" si="29"/>
        <v>0.141324950943693</v>
      </c>
      <c r="F246" s="1">
        <v>23</v>
      </c>
      <c r="G246" s="6">
        <f t="shared" si="30"/>
        <v>0.116666666666667</v>
      </c>
    </row>
    <row r="247" spans="2:7">
      <c r="B247" s="1">
        <v>24</v>
      </c>
      <c r="C247" s="6">
        <f t="shared" si="29"/>
        <v>0.135662432702594</v>
      </c>
      <c r="F247" s="1">
        <v>24</v>
      </c>
      <c r="G247" s="6">
        <f t="shared" si="30"/>
        <v>0.126776695296637</v>
      </c>
    </row>
    <row r="248" spans="2:7">
      <c r="B248" s="1">
        <v>25</v>
      </c>
      <c r="C248" s="6">
        <f t="shared" si="29"/>
        <v>0.129244327711118</v>
      </c>
      <c r="F248" s="1">
        <v>25</v>
      </c>
      <c r="G248" s="6">
        <f t="shared" si="30"/>
        <v>0.138982236504614</v>
      </c>
    </row>
    <row r="249" spans="2:7">
      <c r="B249" s="1">
        <v>26</v>
      </c>
      <c r="C249" s="6">
        <f t="shared" si="29"/>
        <v>0.121886116991581</v>
      </c>
      <c r="F249" s="1">
        <v>26</v>
      </c>
      <c r="G249" s="6">
        <f t="shared" si="30"/>
        <v>0.154124145231932</v>
      </c>
    </row>
    <row r="250" spans="2:7">
      <c r="B250" s="1">
        <v>27</v>
      </c>
      <c r="C250" s="6">
        <f t="shared" si="29"/>
        <v>0.113333333333333</v>
      </c>
      <c r="F250" s="1">
        <v>27</v>
      </c>
      <c r="G250" s="6">
        <f t="shared" si="30"/>
        <v>0.173606797749979</v>
      </c>
    </row>
    <row r="251" spans="2:7">
      <c r="B251" s="1">
        <v>28</v>
      </c>
      <c r="C251" s="6">
        <f t="shared" si="29"/>
        <v>0.103223304703363</v>
      </c>
      <c r="F251" s="1">
        <v>28</v>
      </c>
      <c r="G251" s="6">
        <f t="shared" si="30"/>
        <v>0.2</v>
      </c>
    </row>
    <row r="252" spans="2:7">
      <c r="B252" s="1">
        <v>29</v>
      </c>
      <c r="C252" s="6">
        <f t="shared" si="29"/>
        <v>0.0910177634953863</v>
      </c>
      <c r="F252" s="1">
        <v>29</v>
      </c>
      <c r="G252" s="6">
        <f t="shared" si="30"/>
        <v>0.238675134594813</v>
      </c>
    </row>
    <row r="253" spans="2:7">
      <c r="B253" s="1">
        <v>30</v>
      </c>
      <c r="C253" s="6">
        <f t="shared" si="29"/>
        <v>0.0758758547680684</v>
      </c>
      <c r="F253" s="1">
        <v>30</v>
      </c>
      <c r="G253" s="6">
        <f t="shared" si="30"/>
        <v>0.303553390593274</v>
      </c>
    </row>
  </sheetData>
  <mergeCells count="2">
    <mergeCell ref="B2:E2"/>
    <mergeCell ref="B14:F14"/>
  </mergeCells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基础参数</vt:lpstr>
      <vt:lpstr>数值基础框架</vt:lpstr>
      <vt:lpstr>危险框架</vt:lpstr>
      <vt:lpstr>牌效标准</vt:lpstr>
      <vt:lpstr>掉率曲线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小芒果</cp:lastModifiedBy>
  <dcterms:created xsi:type="dcterms:W3CDTF">2023-05-12T11:15:00Z</dcterms:created>
  <dcterms:modified xsi:type="dcterms:W3CDTF">2025-01-27T09:46:37Z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8887CE9676924E4B889B6D244B601D3C_12</vt:lpwstr>
  </property>
</Properties>
</file>