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26" i="1" l="1"/>
  <c r="N426" i="1" s="1"/>
  <c r="O426" i="1" s="1"/>
  <c r="C425" i="1"/>
  <c r="B425" i="1" s="1"/>
  <c r="C424" i="1"/>
  <c r="B424" i="1" s="1"/>
  <c r="C423" i="1"/>
  <c r="B423" i="1"/>
  <c r="C422" i="1"/>
  <c r="N421" i="1"/>
  <c r="O421" i="1" s="1"/>
  <c r="C421" i="1"/>
  <c r="B421" i="1" s="1"/>
  <c r="C420" i="1"/>
  <c r="B420" i="1"/>
  <c r="C419" i="1"/>
  <c r="N418" i="1"/>
  <c r="O418" i="1" s="1"/>
  <c r="C418" i="1"/>
  <c r="B418" i="1" s="1"/>
  <c r="C417" i="1"/>
  <c r="B417" i="1"/>
  <c r="C416" i="1"/>
  <c r="C415" i="1"/>
  <c r="N415" i="1" s="1"/>
  <c r="O415" i="1" s="1"/>
  <c r="B415" i="1"/>
  <c r="O414" i="1"/>
  <c r="C414" i="1"/>
  <c r="N414" i="1" s="1"/>
  <c r="B414" i="1"/>
  <c r="C413" i="1"/>
  <c r="B413" i="1"/>
  <c r="C412" i="1"/>
  <c r="O411" i="1"/>
  <c r="C411" i="1"/>
  <c r="N411" i="1" s="1"/>
  <c r="B411" i="1"/>
  <c r="O410" i="1"/>
  <c r="N410" i="1"/>
  <c r="C410" i="1"/>
  <c r="B410" i="1"/>
  <c r="C409" i="1"/>
  <c r="C408" i="1"/>
  <c r="B408" i="1"/>
  <c r="C407" i="1"/>
  <c r="C406" i="1"/>
  <c r="N406" i="1" s="1"/>
  <c r="O406" i="1" s="1"/>
  <c r="B406" i="1"/>
  <c r="N405" i="1"/>
  <c r="O405" i="1" s="1"/>
  <c r="C405" i="1"/>
  <c r="B405" i="1" s="1"/>
  <c r="N404" i="1"/>
  <c r="O404" i="1" s="1"/>
  <c r="C404" i="1"/>
  <c r="B404" i="1" s="1"/>
  <c r="C403" i="1"/>
  <c r="B403" i="1"/>
  <c r="C402" i="1"/>
  <c r="O401" i="1"/>
  <c r="N401" i="1"/>
  <c r="C401" i="1"/>
  <c r="B401" i="1" s="1"/>
  <c r="C400" i="1"/>
  <c r="N400" i="1" s="1"/>
  <c r="O400" i="1" s="1"/>
  <c r="B400" i="1"/>
  <c r="C399" i="1"/>
  <c r="N398" i="1"/>
  <c r="O398" i="1" s="1"/>
  <c r="C398" i="1"/>
  <c r="B398" i="1" s="1"/>
  <c r="C397" i="1"/>
  <c r="N397" i="1" s="1"/>
  <c r="B397" i="1"/>
  <c r="C396" i="1"/>
  <c r="C395" i="1"/>
  <c r="N395" i="1" s="1"/>
  <c r="O395" i="1" s="1"/>
  <c r="C394" i="1"/>
  <c r="B394" i="1"/>
  <c r="C393" i="1"/>
  <c r="N392" i="1"/>
  <c r="O392" i="1" s="1"/>
  <c r="C392" i="1"/>
  <c r="B392" i="1"/>
  <c r="O391" i="1"/>
  <c r="C391" i="1"/>
  <c r="N391" i="1" s="1"/>
  <c r="N390" i="1"/>
  <c r="O390" i="1" s="1"/>
  <c r="C390" i="1"/>
  <c r="B390" i="1"/>
  <c r="C389" i="1"/>
  <c r="N389" i="1" s="1"/>
  <c r="B389" i="1"/>
  <c r="O388" i="1"/>
  <c r="C388" i="1"/>
  <c r="N388" i="1" s="1"/>
  <c r="C387" i="1"/>
  <c r="B387" i="1"/>
  <c r="C386" i="1"/>
  <c r="N386" i="1" s="1"/>
  <c r="O386" i="1" s="1"/>
  <c r="N385" i="1"/>
  <c r="O385" i="1" s="1"/>
  <c r="C385" i="1"/>
  <c r="B385" i="1"/>
  <c r="N384" i="1"/>
  <c r="C384" i="1"/>
  <c r="B384" i="1" s="1"/>
  <c r="C383" i="1"/>
  <c r="N383" i="1" s="1"/>
  <c r="O383" i="1" s="1"/>
  <c r="B383" i="1"/>
  <c r="N382" i="1"/>
  <c r="O382" i="1" s="1"/>
  <c r="C382" i="1"/>
  <c r="B382" i="1"/>
  <c r="C381" i="1"/>
  <c r="B381" i="1" s="1"/>
  <c r="C380" i="1"/>
  <c r="B380" i="1"/>
  <c r="C379" i="1"/>
  <c r="C378" i="1"/>
  <c r="C377" i="1"/>
  <c r="N377" i="1" s="1"/>
  <c r="O377" i="1" s="1"/>
  <c r="B377" i="1"/>
  <c r="C376" i="1"/>
  <c r="C375" i="1"/>
  <c r="B375" i="1"/>
  <c r="C374" i="1"/>
  <c r="N374" i="1" s="1"/>
  <c r="O374" i="1" s="1"/>
  <c r="B374" i="1"/>
  <c r="C373" i="1"/>
  <c r="B373" i="1"/>
  <c r="C372" i="1"/>
  <c r="C371" i="1"/>
  <c r="B371" i="1"/>
  <c r="C370" i="1"/>
  <c r="N369" i="1"/>
  <c r="O369" i="1" s="1"/>
  <c r="C369" i="1"/>
  <c r="B369" i="1" s="1"/>
  <c r="C368" i="1"/>
  <c r="B368" i="1"/>
  <c r="C367" i="1"/>
  <c r="C366" i="1"/>
  <c r="C365" i="1"/>
  <c r="B365" i="1"/>
  <c r="C364" i="1"/>
  <c r="N363" i="1"/>
  <c r="O363" i="1" s="1"/>
  <c r="C363" i="1"/>
  <c r="B363" i="1" s="1"/>
  <c r="O362" i="1"/>
  <c r="C362" i="1"/>
  <c r="N362" i="1" s="1"/>
  <c r="B362" i="1"/>
  <c r="C361" i="1"/>
  <c r="B361" i="1"/>
  <c r="C360" i="1"/>
  <c r="B360" i="1"/>
  <c r="C359" i="1"/>
  <c r="N359" i="1" s="1"/>
  <c r="O359" i="1" s="1"/>
  <c r="C358" i="1"/>
  <c r="B358" i="1"/>
  <c r="C357" i="1"/>
  <c r="N357" i="1" s="1"/>
  <c r="B357" i="1"/>
  <c r="C356" i="1"/>
  <c r="B356" i="1"/>
  <c r="C355" i="1"/>
  <c r="C354" i="1"/>
  <c r="B354" i="1" s="1"/>
  <c r="O353" i="1"/>
  <c r="C353" i="1"/>
  <c r="N353" i="1" s="1"/>
  <c r="O352" i="1"/>
  <c r="N352" i="1"/>
  <c r="C352" i="1"/>
  <c r="B352" i="1"/>
  <c r="N351" i="1"/>
  <c r="O351" i="1" s="1"/>
  <c r="C351" i="1"/>
  <c r="B351" i="1" s="1"/>
  <c r="O350" i="1"/>
  <c r="C350" i="1"/>
  <c r="N350" i="1" s="1"/>
  <c r="O349" i="1"/>
  <c r="N349" i="1"/>
  <c r="C349" i="1"/>
  <c r="B349" i="1"/>
  <c r="C348" i="1"/>
  <c r="N348" i="1" s="1"/>
  <c r="O348" i="1" s="1"/>
  <c r="B348" i="1"/>
  <c r="N347" i="1"/>
  <c r="C347" i="1"/>
  <c r="B347" i="1"/>
  <c r="C346" i="1"/>
  <c r="B346" i="1"/>
  <c r="C345" i="1"/>
  <c r="N345" i="1" s="1"/>
  <c r="O345" i="1" s="1"/>
  <c r="B345" i="1"/>
  <c r="A345" i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C344" i="1"/>
  <c r="B344" i="1"/>
  <c r="N343" i="1"/>
  <c r="C343" i="1"/>
  <c r="B343" i="1" s="1"/>
  <c r="N342" i="1"/>
  <c r="O342" i="1" s="1"/>
  <c r="C342" i="1"/>
  <c r="B342" i="1"/>
  <c r="N341" i="1"/>
  <c r="O341" i="1" s="1"/>
  <c r="C341" i="1"/>
  <c r="B341" i="1"/>
  <c r="O340" i="1"/>
  <c r="N340" i="1"/>
  <c r="C340" i="1"/>
  <c r="B340" i="1" s="1"/>
  <c r="C339" i="1"/>
  <c r="B339" i="1"/>
  <c r="C338" i="1"/>
  <c r="N337" i="1"/>
  <c r="O337" i="1" s="1"/>
  <c r="C337" i="1"/>
  <c r="B337" i="1" s="1"/>
  <c r="C336" i="1"/>
  <c r="B336" i="1"/>
  <c r="C335" i="1"/>
  <c r="N334" i="1"/>
  <c r="C334" i="1"/>
  <c r="B334" i="1"/>
  <c r="C333" i="1"/>
  <c r="N333" i="1" s="1"/>
  <c r="O333" i="1" s="1"/>
  <c r="B333" i="1"/>
  <c r="C332" i="1"/>
  <c r="C331" i="1"/>
  <c r="B331" i="1" s="1"/>
  <c r="C330" i="1"/>
  <c r="N330" i="1" s="1"/>
  <c r="O330" i="1" s="1"/>
  <c r="B330" i="1"/>
  <c r="C329" i="1"/>
  <c r="N328" i="1"/>
  <c r="O328" i="1" s="1"/>
  <c r="C328" i="1"/>
  <c r="B328" i="1" s="1"/>
  <c r="C327" i="1"/>
  <c r="B327" i="1"/>
  <c r="C326" i="1"/>
  <c r="C325" i="1"/>
  <c r="N325" i="1" s="1"/>
  <c r="O325" i="1" s="1"/>
  <c r="B325" i="1"/>
  <c r="O324" i="1"/>
  <c r="C324" i="1"/>
  <c r="N324" i="1" s="1"/>
  <c r="N323" i="1"/>
  <c r="O323" i="1" s="1"/>
  <c r="C323" i="1"/>
  <c r="B323" i="1"/>
  <c r="C322" i="1"/>
  <c r="C321" i="1"/>
  <c r="N321" i="1" s="1"/>
  <c r="O321" i="1" s="1"/>
  <c r="N320" i="1"/>
  <c r="O320" i="1" s="1"/>
  <c r="C320" i="1"/>
  <c r="B320" i="1"/>
  <c r="C319" i="1"/>
  <c r="N319" i="1" s="1"/>
  <c r="O319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N318" i="1"/>
  <c r="O318" i="1" s="1"/>
  <c r="C318" i="1"/>
  <c r="B318" i="1"/>
  <c r="C317" i="1"/>
  <c r="B317" i="1" s="1"/>
  <c r="A317" i="1"/>
  <c r="A318" i="1" s="1"/>
  <c r="N316" i="1"/>
  <c r="O316" i="1" s="1"/>
  <c r="C316" i="1"/>
  <c r="B316" i="1"/>
  <c r="C315" i="1"/>
  <c r="B315" i="1"/>
  <c r="N314" i="1"/>
  <c r="O314" i="1" s="1"/>
  <c r="C314" i="1"/>
  <c r="B314" i="1" s="1"/>
  <c r="C313" i="1"/>
  <c r="B313" i="1"/>
  <c r="C312" i="1"/>
  <c r="C311" i="1"/>
  <c r="C310" i="1"/>
  <c r="B310" i="1"/>
  <c r="C309" i="1"/>
  <c r="C308" i="1"/>
  <c r="N308" i="1" s="1"/>
  <c r="O308" i="1" s="1"/>
  <c r="C307" i="1"/>
  <c r="C306" i="1"/>
  <c r="N305" i="1"/>
  <c r="O305" i="1" s="1"/>
  <c r="C305" i="1"/>
  <c r="B305" i="1" s="1"/>
  <c r="O304" i="1"/>
  <c r="C304" i="1"/>
  <c r="N304" i="1" s="1"/>
  <c r="O303" i="1"/>
  <c r="N303" i="1"/>
  <c r="C303" i="1"/>
  <c r="B303" i="1"/>
  <c r="C302" i="1"/>
  <c r="N302" i="1" s="1"/>
  <c r="O302" i="1" s="1"/>
  <c r="B302" i="1"/>
  <c r="C301" i="1"/>
  <c r="N301" i="1" s="1"/>
  <c r="O301" i="1" s="1"/>
  <c r="N300" i="1"/>
  <c r="C300" i="1"/>
  <c r="B300" i="1"/>
  <c r="C299" i="1"/>
  <c r="N299" i="1" s="1"/>
  <c r="O299" i="1" s="1"/>
  <c r="B299" i="1"/>
  <c r="N298" i="1"/>
  <c r="C298" i="1"/>
  <c r="B298" i="1"/>
  <c r="C297" i="1"/>
  <c r="B297" i="1"/>
  <c r="C296" i="1"/>
  <c r="B296" i="1"/>
  <c r="C295" i="1"/>
  <c r="B295" i="1"/>
  <c r="N294" i="1"/>
  <c r="O294" i="1" s="1"/>
  <c r="C294" i="1"/>
  <c r="N293" i="1"/>
  <c r="O293" i="1" s="1"/>
  <c r="C293" i="1"/>
  <c r="B293" i="1"/>
  <c r="C292" i="1"/>
  <c r="B292" i="1"/>
  <c r="C291" i="1"/>
  <c r="B291" i="1" s="1"/>
  <c r="C290" i="1"/>
  <c r="B290" i="1" s="1"/>
  <c r="C289" i="1"/>
  <c r="C288" i="1"/>
  <c r="C287" i="1"/>
  <c r="B287" i="1"/>
  <c r="C286" i="1"/>
  <c r="C285" i="1"/>
  <c r="B285" i="1"/>
  <c r="C284" i="1"/>
  <c r="N284" i="1" s="1"/>
  <c r="O284" i="1" s="1"/>
  <c r="B284" i="1"/>
  <c r="C283" i="1"/>
  <c r="B283" i="1"/>
  <c r="C282" i="1"/>
  <c r="N283" i="1" s="1"/>
  <c r="B282" i="1"/>
  <c r="C281" i="1"/>
  <c r="N281" i="1" s="1"/>
  <c r="O281" i="1" s="1"/>
  <c r="B281" i="1"/>
  <c r="N280" i="1"/>
  <c r="O280" i="1" s="1"/>
  <c r="C280" i="1"/>
  <c r="B280" i="1"/>
  <c r="X279" i="1"/>
  <c r="N279" i="1"/>
  <c r="O279" i="1" s="1"/>
  <c r="C279" i="1"/>
  <c r="B279" i="1"/>
  <c r="O278" i="1"/>
  <c r="C278" i="1"/>
  <c r="N278" i="1" s="1"/>
  <c r="B278" i="1"/>
  <c r="C277" i="1"/>
  <c r="C276" i="1"/>
  <c r="N276" i="1" s="1"/>
  <c r="O276" i="1" s="1"/>
  <c r="C275" i="1"/>
  <c r="B275" i="1"/>
  <c r="C274" i="1"/>
  <c r="N274" i="1" s="1"/>
  <c r="O274" i="1" s="1"/>
  <c r="B274" i="1"/>
  <c r="C273" i="1"/>
  <c r="B273" i="1"/>
  <c r="C272" i="1"/>
  <c r="N272" i="1" s="1"/>
  <c r="O272" i="1" s="1"/>
  <c r="B272" i="1"/>
  <c r="C271" i="1"/>
  <c r="N271" i="1" s="1"/>
  <c r="O271" i="1" s="1"/>
  <c r="B271" i="1"/>
  <c r="N270" i="1"/>
  <c r="O270" i="1" s="1"/>
  <c r="C270" i="1"/>
  <c r="B270" i="1"/>
  <c r="N269" i="1"/>
  <c r="C269" i="1"/>
  <c r="B269" i="1"/>
  <c r="N268" i="1"/>
  <c r="O268" i="1" s="1"/>
  <c r="C268" i="1"/>
  <c r="B268" i="1"/>
  <c r="O267" i="1"/>
  <c r="N267" i="1"/>
  <c r="C267" i="1"/>
  <c r="B267" i="1"/>
  <c r="O266" i="1"/>
  <c r="N266" i="1"/>
  <c r="C266" i="1"/>
  <c r="B266" i="1"/>
  <c r="C265" i="1"/>
  <c r="B265" i="1"/>
  <c r="C264" i="1"/>
  <c r="C263" i="1"/>
  <c r="B263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C262" i="1"/>
  <c r="B262" i="1"/>
  <c r="C261" i="1"/>
  <c r="N261" i="1" s="1"/>
  <c r="O261" i="1" s="1"/>
  <c r="C260" i="1"/>
  <c r="C259" i="1"/>
  <c r="C258" i="1"/>
  <c r="N258" i="1" s="1"/>
  <c r="O258" i="1" s="1"/>
  <c r="B258" i="1"/>
  <c r="N257" i="1"/>
  <c r="O257" i="1" s="1"/>
  <c r="C257" i="1"/>
  <c r="B257" i="1" s="1"/>
  <c r="C256" i="1"/>
  <c r="C255" i="1"/>
  <c r="N255" i="1" s="1"/>
  <c r="O255" i="1" s="1"/>
  <c r="B255" i="1"/>
  <c r="C254" i="1"/>
  <c r="N254" i="1" s="1"/>
  <c r="O254" i="1" s="1"/>
  <c r="B254" i="1"/>
  <c r="C253" i="1"/>
  <c r="N252" i="1"/>
  <c r="C252" i="1"/>
  <c r="B252" i="1" s="1"/>
  <c r="N251" i="1"/>
  <c r="O251" i="1" s="1"/>
  <c r="C251" i="1"/>
  <c r="B251" i="1" s="1"/>
  <c r="C250" i="1"/>
  <c r="N250" i="1" s="1"/>
  <c r="O250" i="1" s="1"/>
  <c r="O249" i="1"/>
  <c r="C249" i="1"/>
  <c r="N249" i="1" s="1"/>
  <c r="B249" i="1"/>
  <c r="C248" i="1"/>
  <c r="N248" i="1" s="1"/>
  <c r="O248" i="1" s="1"/>
  <c r="B248" i="1"/>
  <c r="C247" i="1"/>
  <c r="N247" i="1" s="1"/>
  <c r="O247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C246" i="1"/>
  <c r="N246" i="1" s="1"/>
  <c r="O246" i="1" s="1"/>
  <c r="C245" i="1"/>
  <c r="N245" i="1" s="1"/>
  <c r="O245" i="1" s="1"/>
  <c r="N244" i="1"/>
  <c r="O244" i="1" s="1"/>
  <c r="C244" i="1"/>
  <c r="B244" i="1"/>
  <c r="C243" i="1"/>
  <c r="B243" i="1"/>
  <c r="C242" i="1"/>
  <c r="N242" i="1" s="1"/>
  <c r="O242" i="1" s="1"/>
  <c r="B242" i="1"/>
  <c r="N241" i="1"/>
  <c r="O241" i="1" s="1"/>
  <c r="C241" i="1"/>
  <c r="B241" i="1"/>
  <c r="N240" i="1"/>
  <c r="O240" i="1" s="1"/>
  <c r="C240" i="1"/>
  <c r="B240" i="1"/>
  <c r="C239" i="1"/>
  <c r="B239" i="1"/>
  <c r="C238" i="1"/>
  <c r="P237" i="1"/>
  <c r="O237" i="1"/>
  <c r="C237" i="1"/>
  <c r="N237" i="1" s="1"/>
  <c r="B237" i="1"/>
  <c r="C236" i="1"/>
  <c r="N236" i="1" s="1"/>
  <c r="O236" i="1" s="1"/>
  <c r="B236" i="1"/>
  <c r="N235" i="1"/>
  <c r="O235" i="1" s="1"/>
  <c r="C235" i="1"/>
  <c r="B235" i="1"/>
  <c r="N234" i="1"/>
  <c r="O234" i="1" s="1"/>
  <c r="C234" i="1"/>
  <c r="B234" i="1"/>
  <c r="N233" i="1"/>
  <c r="O233" i="1" s="1"/>
  <c r="C233" i="1"/>
  <c r="B233" i="1"/>
  <c r="O232" i="1"/>
  <c r="N232" i="1"/>
  <c r="C232" i="1"/>
  <c r="B232" i="1"/>
  <c r="N231" i="1"/>
  <c r="O231" i="1" s="1"/>
  <c r="C231" i="1"/>
  <c r="B231" i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C230" i="1"/>
  <c r="B230" i="1"/>
  <c r="A230" i="1"/>
  <c r="C229" i="1"/>
  <c r="A229" i="1"/>
  <c r="C228" i="1"/>
  <c r="B228" i="1" s="1"/>
  <c r="O227" i="1"/>
  <c r="C227" i="1"/>
  <c r="N227" i="1" s="1"/>
  <c r="N226" i="1"/>
  <c r="B226" i="1"/>
  <c r="N225" i="1"/>
  <c r="O225" i="1" s="1"/>
  <c r="B225" i="1"/>
  <c r="O224" i="1"/>
  <c r="N224" i="1"/>
  <c r="B224" i="1"/>
  <c r="N223" i="1"/>
  <c r="O223" i="1" s="1"/>
  <c r="B223" i="1"/>
  <c r="N222" i="1"/>
  <c r="O222" i="1" s="1"/>
  <c r="B222" i="1"/>
  <c r="O221" i="1"/>
  <c r="N221" i="1"/>
  <c r="B221" i="1"/>
  <c r="N220" i="1"/>
  <c r="O220" i="1" s="1"/>
  <c r="B220" i="1"/>
  <c r="O219" i="1"/>
  <c r="N219" i="1"/>
  <c r="B219" i="1"/>
  <c r="N218" i="1"/>
  <c r="O218" i="1" s="1"/>
  <c r="B218" i="1"/>
  <c r="R217" i="1"/>
  <c r="N217" i="1"/>
  <c r="O217" i="1" s="1"/>
  <c r="B217" i="1"/>
  <c r="O216" i="1"/>
  <c r="N216" i="1"/>
  <c r="B216" i="1"/>
  <c r="O215" i="1"/>
  <c r="N215" i="1"/>
  <c r="B215" i="1"/>
  <c r="O214" i="1"/>
  <c r="N214" i="1"/>
  <c r="B214" i="1"/>
  <c r="N213" i="1"/>
  <c r="B213" i="1"/>
  <c r="P212" i="1"/>
  <c r="N212" i="1"/>
  <c r="O212" i="1" s="1"/>
  <c r="B212" i="1"/>
  <c r="O211" i="1"/>
  <c r="N211" i="1"/>
  <c r="B211" i="1"/>
  <c r="N210" i="1"/>
  <c r="O210" i="1" s="1"/>
  <c r="B210" i="1"/>
  <c r="O209" i="1"/>
  <c r="N209" i="1"/>
  <c r="B209" i="1"/>
  <c r="N208" i="1"/>
  <c r="O208" i="1" s="1"/>
  <c r="B208" i="1"/>
  <c r="N207" i="1"/>
  <c r="O207" i="1" s="1"/>
  <c r="B207" i="1"/>
  <c r="O206" i="1"/>
  <c r="N206" i="1"/>
  <c r="B206" i="1"/>
  <c r="N205" i="1"/>
  <c r="B205" i="1"/>
  <c r="O204" i="1"/>
  <c r="N204" i="1"/>
  <c r="B204" i="1"/>
  <c r="N203" i="1"/>
  <c r="O203" i="1" s="1"/>
  <c r="B203" i="1"/>
  <c r="O202" i="1"/>
  <c r="N202" i="1"/>
  <c r="B202" i="1"/>
  <c r="O201" i="1"/>
  <c r="N201" i="1"/>
  <c r="B201" i="1"/>
  <c r="N200" i="1"/>
  <c r="O200" i="1" s="1"/>
  <c r="B200" i="1"/>
  <c r="O199" i="1"/>
  <c r="N199" i="1"/>
  <c r="B199" i="1"/>
  <c r="N198" i="1"/>
  <c r="B198" i="1"/>
  <c r="P197" i="1"/>
  <c r="N197" i="1"/>
  <c r="O197" i="1" s="1"/>
  <c r="B197" i="1"/>
  <c r="O196" i="1"/>
  <c r="N196" i="1"/>
  <c r="B196" i="1"/>
  <c r="N195" i="1"/>
  <c r="O195" i="1" s="1"/>
  <c r="B195" i="1"/>
  <c r="O194" i="1"/>
  <c r="N194" i="1"/>
  <c r="B194" i="1"/>
  <c r="N193" i="1"/>
  <c r="O193" i="1" s="1"/>
  <c r="B193" i="1"/>
  <c r="N192" i="1"/>
  <c r="O192" i="1" s="1"/>
  <c r="B192" i="1"/>
  <c r="O191" i="1"/>
  <c r="N191" i="1"/>
  <c r="B191" i="1"/>
  <c r="N190" i="1"/>
  <c r="O190" i="1" s="1"/>
  <c r="B190" i="1"/>
  <c r="O189" i="1"/>
  <c r="N189" i="1"/>
  <c r="B189" i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N188" i="1"/>
  <c r="O188" i="1" s="1"/>
  <c r="B188" i="1"/>
  <c r="N187" i="1"/>
  <c r="O187" i="1" s="1"/>
  <c r="B187" i="1"/>
  <c r="N186" i="1"/>
  <c r="O186" i="1" s="1"/>
  <c r="B186" i="1"/>
  <c r="N185" i="1"/>
  <c r="O185" i="1" s="1"/>
  <c r="B185" i="1"/>
  <c r="O184" i="1"/>
  <c r="N184" i="1"/>
  <c r="B184" i="1"/>
  <c r="N183" i="1"/>
  <c r="B183" i="1"/>
  <c r="O182" i="1"/>
  <c r="N182" i="1"/>
  <c r="B182" i="1"/>
  <c r="O181" i="1"/>
  <c r="N181" i="1"/>
  <c r="B181" i="1"/>
  <c r="N180" i="1"/>
  <c r="O180" i="1" s="1"/>
  <c r="B180" i="1"/>
  <c r="O179" i="1"/>
  <c r="N179" i="1"/>
  <c r="B179" i="1"/>
  <c r="N178" i="1"/>
  <c r="O178" i="1" s="1"/>
  <c r="B178" i="1"/>
  <c r="C177" i="1"/>
  <c r="B177" i="1" s="1"/>
  <c r="N176" i="1"/>
  <c r="O176" i="1" s="1"/>
  <c r="B176" i="1"/>
  <c r="O175" i="1"/>
  <c r="N175" i="1"/>
  <c r="B175" i="1"/>
  <c r="N174" i="1"/>
  <c r="O174" i="1" s="1"/>
  <c r="B174" i="1"/>
  <c r="N173" i="1"/>
  <c r="O173" i="1" s="1"/>
  <c r="B173" i="1"/>
  <c r="O172" i="1"/>
  <c r="N172" i="1"/>
  <c r="B172" i="1"/>
  <c r="O171" i="1"/>
  <c r="N171" i="1"/>
  <c r="B171" i="1"/>
  <c r="N170" i="1"/>
  <c r="O170" i="1" s="1"/>
  <c r="B170" i="1"/>
  <c r="O169" i="1"/>
  <c r="N169" i="1"/>
  <c r="B169" i="1"/>
  <c r="O168" i="1"/>
  <c r="N168" i="1"/>
  <c r="B168" i="1"/>
  <c r="N167" i="1"/>
  <c r="O167" i="1" s="1"/>
  <c r="B167" i="1"/>
  <c r="O166" i="1"/>
  <c r="N166" i="1"/>
  <c r="B166" i="1"/>
  <c r="N165" i="1"/>
  <c r="O165" i="1" s="1"/>
  <c r="B165" i="1"/>
  <c r="N164" i="1"/>
  <c r="B164" i="1"/>
  <c r="O163" i="1"/>
  <c r="N163" i="1"/>
  <c r="B163" i="1"/>
  <c r="N162" i="1"/>
  <c r="O162" i="1" s="1"/>
  <c r="B162" i="1"/>
  <c r="N161" i="1"/>
  <c r="O161" i="1" s="1"/>
  <c r="B161" i="1"/>
  <c r="N160" i="1"/>
  <c r="O160" i="1" s="1"/>
  <c r="B160" i="1"/>
  <c r="N159" i="1"/>
  <c r="O159" i="1" s="1"/>
  <c r="B159" i="1"/>
  <c r="O158" i="1"/>
  <c r="N158" i="1"/>
  <c r="B158" i="1"/>
  <c r="N157" i="1"/>
  <c r="O157" i="1" s="1"/>
  <c r="B157" i="1"/>
  <c r="O156" i="1"/>
  <c r="N156" i="1"/>
  <c r="B156" i="1"/>
  <c r="N155" i="1"/>
  <c r="B155" i="1"/>
  <c r="N154" i="1"/>
  <c r="O154" i="1" s="1"/>
  <c r="B154" i="1"/>
  <c r="O153" i="1"/>
  <c r="N153" i="1"/>
  <c r="B153" i="1"/>
  <c r="N152" i="1"/>
  <c r="O152" i="1" s="1"/>
  <c r="B152" i="1"/>
  <c r="N151" i="1"/>
  <c r="O151" i="1" s="1"/>
  <c r="B151" i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N150" i="1"/>
  <c r="O150" i="1" s="1"/>
  <c r="B150" i="1"/>
  <c r="N149" i="1"/>
  <c r="P149" i="1" s="1"/>
  <c r="B149" i="1"/>
  <c r="O148" i="1"/>
  <c r="N148" i="1"/>
  <c r="B148" i="1"/>
  <c r="O147" i="1"/>
  <c r="N147" i="1"/>
  <c r="B147" i="1"/>
  <c r="O146" i="1"/>
  <c r="N146" i="1"/>
  <c r="B146" i="1"/>
  <c r="O145" i="1"/>
  <c r="N145" i="1"/>
  <c r="B145" i="1"/>
  <c r="A145" i="1"/>
  <c r="A146" i="1" s="1"/>
  <c r="A147" i="1" s="1"/>
  <c r="A148" i="1" s="1"/>
  <c r="A149" i="1" s="1"/>
  <c r="A150" i="1" s="1"/>
  <c r="N144" i="1"/>
  <c r="O144" i="1" s="1"/>
  <c r="B144" i="1"/>
  <c r="A144" i="1"/>
  <c r="C143" i="1"/>
  <c r="N143" i="1" s="1"/>
  <c r="O143" i="1" s="1"/>
  <c r="B143" i="1"/>
  <c r="A143" i="1"/>
  <c r="O142" i="1"/>
  <c r="N142" i="1"/>
  <c r="B142" i="1"/>
  <c r="A142" i="1"/>
  <c r="N141" i="1"/>
  <c r="O141" i="1" s="1"/>
  <c r="B141" i="1"/>
  <c r="N140" i="1"/>
  <c r="O140" i="1" s="1"/>
  <c r="B140" i="1"/>
  <c r="N139" i="1"/>
  <c r="O139" i="1" s="1"/>
  <c r="B139" i="1"/>
  <c r="N138" i="1"/>
  <c r="O138" i="1" s="1"/>
  <c r="B138" i="1"/>
  <c r="O137" i="1"/>
  <c r="N137" i="1"/>
  <c r="B137" i="1"/>
  <c r="N136" i="1"/>
  <c r="B136" i="1"/>
  <c r="N135" i="1"/>
  <c r="O135" i="1" s="1"/>
  <c r="B135" i="1"/>
  <c r="N134" i="1"/>
  <c r="O134" i="1" s="1"/>
  <c r="B134" i="1"/>
  <c r="N133" i="1"/>
  <c r="O133" i="1" s="1"/>
  <c r="B133" i="1"/>
  <c r="O132" i="1"/>
  <c r="N132" i="1"/>
  <c r="B132" i="1"/>
  <c r="N131" i="1"/>
  <c r="O131" i="1" s="1"/>
  <c r="B131" i="1"/>
  <c r="P130" i="1"/>
  <c r="N130" i="1"/>
  <c r="O130" i="1" s="1"/>
  <c r="B130" i="1"/>
  <c r="N129" i="1"/>
  <c r="O129" i="1" s="1"/>
  <c r="B129" i="1"/>
  <c r="N128" i="1"/>
  <c r="O128" i="1" s="1"/>
  <c r="B128" i="1"/>
  <c r="B127" i="1"/>
  <c r="N126" i="1"/>
  <c r="O126" i="1" s="1"/>
  <c r="C126" i="1"/>
  <c r="N127" i="1" s="1"/>
  <c r="O127" i="1" s="1"/>
  <c r="B126" i="1"/>
  <c r="C125" i="1"/>
  <c r="B125" i="1"/>
  <c r="C124" i="1"/>
  <c r="O123" i="1"/>
  <c r="N123" i="1"/>
  <c r="B123" i="1"/>
  <c r="N122" i="1"/>
  <c r="B122" i="1"/>
  <c r="N121" i="1"/>
  <c r="O121" i="1" s="1"/>
  <c r="B121" i="1"/>
  <c r="N120" i="1"/>
  <c r="O120" i="1" s="1"/>
  <c r="B120" i="1"/>
  <c r="O119" i="1"/>
  <c r="N119" i="1"/>
  <c r="B119" i="1"/>
  <c r="N118" i="1"/>
  <c r="O118" i="1" s="1"/>
  <c r="B118" i="1"/>
  <c r="O117" i="1"/>
  <c r="N117" i="1"/>
  <c r="B117" i="1"/>
  <c r="O116" i="1"/>
  <c r="N116" i="1"/>
  <c r="B116" i="1"/>
  <c r="N115" i="1"/>
  <c r="O115" i="1" s="1"/>
  <c r="B115" i="1"/>
  <c r="O114" i="1"/>
  <c r="N114" i="1"/>
  <c r="B114" i="1"/>
  <c r="N113" i="1"/>
  <c r="O113" i="1" s="1"/>
  <c r="B113" i="1"/>
  <c r="O112" i="1"/>
  <c r="N112" i="1"/>
  <c r="P116" i="1" s="1"/>
  <c r="B112" i="1"/>
  <c r="O111" i="1"/>
  <c r="N111" i="1"/>
  <c r="B111" i="1"/>
  <c r="N110" i="1"/>
  <c r="O110" i="1" s="1"/>
  <c r="B110" i="1"/>
  <c r="O109" i="1"/>
  <c r="N109" i="1"/>
  <c r="B109" i="1"/>
  <c r="N108" i="1"/>
  <c r="O108" i="1" s="1"/>
  <c r="B108" i="1"/>
  <c r="O107" i="1"/>
  <c r="N107" i="1"/>
  <c r="P111" i="1" s="1"/>
  <c r="B107" i="1"/>
  <c r="O106" i="1"/>
  <c r="N106" i="1"/>
  <c r="B106" i="1"/>
  <c r="N105" i="1"/>
  <c r="O105" i="1" s="1"/>
  <c r="B105" i="1"/>
  <c r="O104" i="1"/>
  <c r="N104" i="1"/>
  <c r="B104" i="1"/>
  <c r="N103" i="1"/>
  <c r="O103" i="1" s="1"/>
  <c r="B103" i="1"/>
  <c r="O102" i="1"/>
  <c r="N102" i="1"/>
  <c r="P106" i="1" s="1"/>
  <c r="B102" i="1"/>
  <c r="O101" i="1"/>
  <c r="N101" i="1"/>
  <c r="B101" i="1"/>
  <c r="N100" i="1"/>
  <c r="O100" i="1" s="1"/>
  <c r="B100" i="1"/>
  <c r="O99" i="1"/>
  <c r="N99" i="1"/>
  <c r="B99" i="1"/>
  <c r="N98" i="1"/>
  <c r="Q120" i="1" s="1"/>
  <c r="B98" i="1"/>
  <c r="O97" i="1"/>
  <c r="N97" i="1"/>
  <c r="P101" i="1" s="1"/>
  <c r="B97" i="1"/>
  <c r="O96" i="1"/>
  <c r="N96" i="1"/>
  <c r="B96" i="1"/>
  <c r="O95" i="1"/>
  <c r="N95" i="1"/>
  <c r="B95" i="1"/>
  <c r="O94" i="1"/>
  <c r="N94" i="1"/>
  <c r="B94" i="1"/>
  <c r="N93" i="1"/>
  <c r="O93" i="1" s="1"/>
  <c r="B93" i="1"/>
  <c r="O92" i="1"/>
  <c r="N92" i="1"/>
  <c r="P96" i="1" s="1"/>
  <c r="B92" i="1"/>
  <c r="O91" i="1"/>
  <c r="N91" i="1"/>
  <c r="B91" i="1"/>
  <c r="N90" i="1"/>
  <c r="O90" i="1" s="1"/>
  <c r="B90" i="1"/>
  <c r="O89" i="1"/>
  <c r="N89" i="1"/>
  <c r="B89" i="1"/>
  <c r="N88" i="1"/>
  <c r="O88" i="1" s="1"/>
  <c r="B88" i="1"/>
  <c r="R87" i="1"/>
  <c r="N87" i="1"/>
  <c r="C87" i="1"/>
  <c r="B87" i="1"/>
  <c r="C86" i="1"/>
  <c r="N86" i="1" s="1"/>
  <c r="O86" i="1" s="1"/>
  <c r="N85" i="1"/>
  <c r="O85" i="1" s="1"/>
  <c r="B85" i="1"/>
  <c r="O84" i="1"/>
  <c r="N84" i="1"/>
  <c r="B84" i="1"/>
  <c r="N83" i="1"/>
  <c r="O83" i="1" s="1"/>
  <c r="B83" i="1"/>
  <c r="O82" i="1"/>
  <c r="N82" i="1"/>
  <c r="B82" i="1"/>
  <c r="N81" i="1"/>
  <c r="O81" i="1" s="1"/>
  <c r="B81" i="1"/>
  <c r="O80" i="1"/>
  <c r="N80" i="1"/>
  <c r="B80" i="1"/>
  <c r="N79" i="1"/>
  <c r="O79" i="1" s="1"/>
  <c r="B79" i="1"/>
  <c r="N78" i="1"/>
  <c r="O78" i="1" s="1"/>
  <c r="B78" i="1"/>
  <c r="N77" i="1"/>
  <c r="O77" i="1" s="1"/>
  <c r="B77" i="1"/>
  <c r="O76" i="1"/>
  <c r="N76" i="1"/>
  <c r="B76" i="1"/>
  <c r="N75" i="1"/>
  <c r="O75" i="1" s="1"/>
  <c r="B75" i="1"/>
  <c r="O74" i="1"/>
  <c r="N74" i="1"/>
  <c r="B74" i="1"/>
  <c r="B73" i="1"/>
  <c r="C72" i="1"/>
  <c r="C71" i="1"/>
  <c r="N71" i="1" s="1"/>
  <c r="O71" i="1" s="1"/>
  <c r="B71" i="1"/>
  <c r="N70" i="1"/>
  <c r="O70" i="1" s="1"/>
  <c r="C70" i="1"/>
  <c r="B70" i="1"/>
  <c r="C69" i="1"/>
  <c r="N69" i="1" s="1"/>
  <c r="O69" i="1" s="1"/>
  <c r="C68" i="1"/>
  <c r="B68" i="1"/>
  <c r="C67" i="1"/>
  <c r="N67" i="1" s="1"/>
  <c r="C66" i="1"/>
  <c r="C65" i="1"/>
  <c r="B65" i="1" s="1"/>
  <c r="C64" i="1"/>
  <c r="N64" i="1" s="1"/>
  <c r="O64" i="1" s="1"/>
  <c r="N63" i="1"/>
  <c r="O63" i="1" s="1"/>
  <c r="C63" i="1"/>
  <c r="B63" i="1" s="1"/>
  <c r="O62" i="1"/>
  <c r="C62" i="1"/>
  <c r="N62" i="1" s="1"/>
  <c r="N61" i="1"/>
  <c r="O61" i="1" s="1"/>
  <c r="C61" i="1"/>
  <c r="B61" i="1"/>
  <c r="N60" i="1"/>
  <c r="O60" i="1" s="1"/>
  <c r="C60" i="1"/>
  <c r="B60" i="1"/>
  <c r="O59" i="1"/>
  <c r="N59" i="1"/>
  <c r="C59" i="1"/>
  <c r="B59" i="1"/>
  <c r="C58" i="1"/>
  <c r="B58" i="1"/>
  <c r="C57" i="1"/>
  <c r="C56" i="1"/>
  <c r="B56" i="1"/>
  <c r="C55" i="1"/>
  <c r="C54" i="1"/>
  <c r="N54" i="1" s="1"/>
  <c r="O54" i="1" s="1"/>
  <c r="B54" i="1"/>
  <c r="O53" i="1"/>
  <c r="N53" i="1"/>
  <c r="B53" i="1"/>
  <c r="O52" i="1"/>
  <c r="N52" i="1"/>
  <c r="B52" i="1"/>
  <c r="O51" i="1"/>
  <c r="N51" i="1"/>
  <c r="B51" i="1"/>
  <c r="O50" i="1"/>
  <c r="N50" i="1"/>
  <c r="B50" i="1"/>
  <c r="N49" i="1"/>
  <c r="O49" i="1" s="1"/>
  <c r="B49" i="1"/>
  <c r="O48" i="1"/>
  <c r="N48" i="1"/>
  <c r="P52" i="1" s="1"/>
  <c r="B48" i="1"/>
  <c r="O47" i="1"/>
  <c r="N47" i="1"/>
  <c r="B47" i="1"/>
  <c r="N46" i="1"/>
  <c r="O46" i="1" s="1"/>
  <c r="B46" i="1"/>
  <c r="O45" i="1"/>
  <c r="N45" i="1"/>
  <c r="B45" i="1"/>
  <c r="N44" i="1"/>
  <c r="O44" i="1" s="1"/>
  <c r="B44" i="1"/>
  <c r="O43" i="1"/>
  <c r="N43" i="1"/>
  <c r="B43" i="1"/>
  <c r="O42" i="1"/>
  <c r="N42" i="1"/>
  <c r="B42" i="1"/>
  <c r="N41" i="1"/>
  <c r="O41" i="1" s="1"/>
  <c r="B41" i="1"/>
  <c r="O40" i="1"/>
  <c r="N40" i="1"/>
  <c r="B40" i="1"/>
  <c r="N39" i="1"/>
  <c r="O39" i="1" s="1"/>
  <c r="B39" i="1"/>
  <c r="O38" i="1"/>
  <c r="N38" i="1"/>
  <c r="P42" i="1" s="1"/>
  <c r="B38" i="1"/>
  <c r="N37" i="1"/>
  <c r="O37" i="1" s="1"/>
  <c r="B37" i="1"/>
  <c r="O36" i="1"/>
  <c r="N36" i="1"/>
  <c r="B36" i="1"/>
  <c r="N35" i="1"/>
  <c r="O35" i="1" s="1"/>
  <c r="B35" i="1"/>
  <c r="N34" i="1"/>
  <c r="O34" i="1" s="1"/>
  <c r="B34" i="1"/>
  <c r="N33" i="1"/>
  <c r="B33" i="1"/>
  <c r="N32" i="1"/>
  <c r="O32" i="1" s="1"/>
  <c r="J32" i="1"/>
  <c r="B32" i="1" s="1"/>
  <c r="O31" i="1"/>
  <c r="N31" i="1"/>
  <c r="J31" i="1"/>
  <c r="B31" i="1" s="1"/>
  <c r="N30" i="1"/>
  <c r="O30" i="1" s="1"/>
  <c r="J30" i="1"/>
  <c r="B30" i="1" s="1"/>
  <c r="O29" i="1"/>
  <c r="N29" i="1"/>
  <c r="J29" i="1"/>
  <c r="B29" i="1" s="1"/>
  <c r="N28" i="1"/>
  <c r="B28" i="1"/>
  <c r="B27" i="1"/>
  <c r="N26" i="1"/>
  <c r="O26" i="1" s="1"/>
  <c r="C26" i="1"/>
  <c r="O25" i="1"/>
  <c r="N25" i="1"/>
  <c r="B25" i="1"/>
  <c r="N24" i="1"/>
  <c r="O24" i="1" s="1"/>
  <c r="B24" i="1"/>
  <c r="O23" i="1"/>
  <c r="N23" i="1"/>
  <c r="B23" i="1"/>
  <c r="N22" i="1"/>
  <c r="O22" i="1" s="1"/>
  <c r="B22" i="1"/>
  <c r="O21" i="1"/>
  <c r="N21" i="1"/>
  <c r="B21" i="1"/>
  <c r="N20" i="1"/>
  <c r="O20" i="1" s="1"/>
  <c r="B20" i="1"/>
  <c r="N19" i="1"/>
  <c r="B19" i="1"/>
  <c r="N18" i="1"/>
  <c r="B18" i="1"/>
  <c r="N17" i="1"/>
  <c r="O17" i="1" s="1"/>
  <c r="B17" i="1"/>
  <c r="N16" i="1"/>
  <c r="O16" i="1" s="1"/>
  <c r="B16" i="1"/>
  <c r="O15" i="1"/>
  <c r="N15" i="1"/>
  <c r="B15" i="1"/>
  <c r="N14" i="1"/>
  <c r="B14" i="1"/>
  <c r="O13" i="1"/>
  <c r="N13" i="1"/>
  <c r="B13" i="1"/>
  <c r="O12" i="1"/>
  <c r="N12" i="1"/>
  <c r="B12" i="1"/>
  <c r="O11" i="1"/>
  <c r="N11" i="1"/>
  <c r="B11" i="1"/>
  <c r="N10" i="1"/>
  <c r="O10" i="1" s="1"/>
  <c r="B10" i="1"/>
  <c r="O9" i="1"/>
  <c r="N9" i="1"/>
  <c r="B9" i="1"/>
  <c r="N8" i="1"/>
  <c r="O8" i="1" s="1"/>
  <c r="B8" i="1"/>
  <c r="P7" i="1"/>
  <c r="S7" i="1" s="1"/>
  <c r="O7" i="1"/>
  <c r="N7" i="1"/>
  <c r="B7" i="1"/>
  <c r="N6" i="1"/>
  <c r="O6" i="1" s="1"/>
  <c r="B6" i="1"/>
  <c r="N5" i="1"/>
  <c r="O5" i="1" s="1"/>
  <c r="B5" i="1"/>
  <c r="O4" i="1"/>
  <c r="N4" i="1"/>
  <c r="B4" i="1"/>
  <c r="N3" i="1"/>
  <c r="O3" i="1" s="1"/>
  <c r="B3" i="1"/>
  <c r="O2" i="1"/>
  <c r="B2" i="1"/>
  <c r="V2" i="1" l="1"/>
  <c r="Q161" i="1"/>
  <c r="P47" i="1"/>
  <c r="O122" i="1"/>
  <c r="O136" i="1"/>
  <c r="P140" i="1"/>
  <c r="O19" i="1"/>
  <c r="P12" i="1"/>
  <c r="N27" i="1"/>
  <c r="O27" i="1" s="1"/>
  <c r="B26" i="1"/>
  <c r="B67" i="1"/>
  <c r="O164" i="1"/>
  <c r="P164" i="1"/>
  <c r="S27" i="1"/>
  <c r="P91" i="1"/>
  <c r="O87" i="1"/>
  <c r="O252" i="1"/>
  <c r="P252" i="1"/>
  <c r="P27" i="1"/>
  <c r="B72" i="1"/>
  <c r="N73" i="1"/>
  <c r="O73" i="1" s="1"/>
  <c r="N72" i="1"/>
  <c r="O72" i="1" s="1"/>
  <c r="P37" i="1"/>
  <c r="S37" i="1" s="1"/>
  <c r="O33" i="1"/>
  <c r="B366" i="1"/>
  <c r="N366" i="1"/>
  <c r="O366" i="1" s="1"/>
  <c r="B407" i="1"/>
  <c r="N408" i="1"/>
  <c r="O408" i="1" s="1"/>
  <c r="N407" i="1"/>
  <c r="T2" i="1"/>
  <c r="S17" i="1"/>
  <c r="P17" i="1"/>
  <c r="O14" i="1"/>
  <c r="P32" i="1"/>
  <c r="S32" i="1" s="1"/>
  <c r="O28" i="1"/>
  <c r="N56" i="1"/>
  <c r="O56" i="1" s="1"/>
  <c r="N65" i="1"/>
  <c r="O65" i="1" s="1"/>
  <c r="B69" i="1"/>
  <c r="P121" i="1"/>
  <c r="P135" i="1"/>
  <c r="P144" i="1"/>
  <c r="O269" i="1"/>
  <c r="P272" i="1"/>
  <c r="B288" i="1"/>
  <c r="N288" i="1"/>
  <c r="O300" i="1"/>
  <c r="O67" i="1"/>
  <c r="B55" i="1"/>
  <c r="N55" i="1"/>
  <c r="O55" i="1" s="1"/>
  <c r="B393" i="1"/>
  <c r="N393" i="1"/>
  <c r="O393" i="1" s="1"/>
  <c r="B124" i="1"/>
  <c r="N124" i="1"/>
  <c r="O124" i="1" s="1"/>
  <c r="N68" i="1"/>
  <c r="O68" i="1" s="1"/>
  <c r="S22" i="1"/>
  <c r="P22" i="1"/>
  <c r="O18" i="1"/>
  <c r="B57" i="1"/>
  <c r="N58" i="1"/>
  <c r="N57" i="1"/>
  <c r="O57" i="1" s="1"/>
  <c r="P66" i="1"/>
  <c r="N66" i="1"/>
  <c r="O66" i="1" s="1"/>
  <c r="B86" i="1"/>
  <c r="N125" i="1"/>
  <c r="O125" i="1" s="1"/>
  <c r="O205" i="1"/>
  <c r="Q225" i="1"/>
  <c r="B260" i="1"/>
  <c r="N260" i="1"/>
  <c r="O260" i="1" s="1"/>
  <c r="B326" i="1"/>
  <c r="N326" i="1"/>
  <c r="O326" i="1" s="1"/>
  <c r="P154" i="1"/>
  <c r="N273" i="1"/>
  <c r="B372" i="1"/>
  <c r="N373" i="1"/>
  <c r="O373" i="1" s="1"/>
  <c r="N372" i="1"/>
  <c r="O372" i="1" s="1"/>
  <c r="U2" i="1"/>
  <c r="P172" i="1"/>
  <c r="P207" i="1"/>
  <c r="N228" i="1"/>
  <c r="N287" i="1"/>
  <c r="O287" i="1" s="1"/>
  <c r="N291" i="1"/>
  <c r="O291" i="1" s="1"/>
  <c r="B294" i="1"/>
  <c r="N295" i="1"/>
  <c r="O295" i="1" s="1"/>
  <c r="N322" i="1"/>
  <c r="B322" i="1"/>
  <c r="O389" i="1"/>
  <c r="P393" i="1"/>
  <c r="P202" i="1"/>
  <c r="Q237" i="1"/>
  <c r="O198" i="1"/>
  <c r="B238" i="1"/>
  <c r="N239" i="1"/>
  <c r="O239" i="1" s="1"/>
  <c r="N263" i="1"/>
  <c r="N292" i="1"/>
  <c r="O292" i="1" s="1"/>
  <c r="P388" i="1"/>
  <c r="N394" i="1"/>
  <c r="O397" i="1"/>
  <c r="N424" i="1"/>
  <c r="O424" i="1" s="1"/>
  <c r="S12" i="1"/>
  <c r="B62" i="1"/>
  <c r="B64" i="1"/>
  <c r="B66" i="1"/>
  <c r="O98" i="1"/>
  <c r="O149" i="1"/>
  <c r="Q202" i="1"/>
  <c r="P187" i="1"/>
  <c r="O183" i="1"/>
  <c r="P222" i="1"/>
  <c r="N238" i="1"/>
  <c r="B245" i="1"/>
  <c r="N253" i="1"/>
  <c r="B264" i="1"/>
  <c r="N265" i="1"/>
  <c r="O265" i="1" s="1"/>
  <c r="N275" i="1"/>
  <c r="O275" i="1" s="1"/>
  <c r="O283" i="1"/>
  <c r="N285" i="1"/>
  <c r="O285" i="1" s="1"/>
  <c r="B289" i="1"/>
  <c r="N289" i="1"/>
  <c r="O289" i="1" s="1"/>
  <c r="B308" i="1"/>
  <c r="N327" i="1"/>
  <c r="N331" i="1"/>
  <c r="O331" i="1" s="1"/>
  <c r="N354" i="1"/>
  <c r="B364" i="1"/>
  <c r="N364" i="1"/>
  <c r="O364" i="1" s="1"/>
  <c r="B378" i="1"/>
  <c r="N378" i="1"/>
  <c r="O378" i="1" s="1"/>
  <c r="O384" i="1"/>
  <c r="B395" i="1"/>
  <c r="B229" i="1"/>
  <c r="N230" i="1"/>
  <c r="O230" i="1" s="1"/>
  <c r="B370" i="1"/>
  <c r="N370" i="1"/>
  <c r="O226" i="1"/>
  <c r="P167" i="1"/>
  <c r="P192" i="1"/>
  <c r="P217" i="1"/>
  <c r="N256" i="1"/>
  <c r="O256" i="1" s="1"/>
  <c r="N264" i="1"/>
  <c r="O264" i="1" s="1"/>
  <c r="N282" i="1"/>
  <c r="O282" i="1" s="1"/>
  <c r="B286" i="1"/>
  <c r="N286" i="1"/>
  <c r="O286" i="1" s="1"/>
  <c r="B312" i="1"/>
  <c r="N313" i="1"/>
  <c r="O313" i="1" s="1"/>
  <c r="N312" i="1"/>
  <c r="B338" i="1"/>
  <c r="N339" i="1"/>
  <c r="O339" i="1" s="1"/>
  <c r="N338" i="1"/>
  <c r="P346" i="1"/>
  <c r="B402" i="1"/>
  <c r="N402" i="1"/>
  <c r="N409" i="1"/>
  <c r="O409" i="1" s="1"/>
  <c r="B409" i="1"/>
  <c r="N425" i="1"/>
  <c r="O425" i="1" s="1"/>
  <c r="P159" i="1"/>
  <c r="P182" i="1"/>
  <c r="N360" i="1"/>
  <c r="N361" i="1"/>
  <c r="O361" i="1" s="1"/>
  <c r="O155" i="1"/>
  <c r="N229" i="1"/>
  <c r="O229" i="1" s="1"/>
  <c r="B261" i="1"/>
  <c r="N262" i="1"/>
  <c r="O262" i="1" s="1"/>
  <c r="B311" i="1"/>
  <c r="N311" i="1"/>
  <c r="O311" i="1" s="1"/>
  <c r="N177" i="1"/>
  <c r="O177" i="1" s="1"/>
  <c r="Q181" i="1"/>
  <c r="O213" i="1"/>
  <c r="P227" i="1"/>
  <c r="N243" i="1"/>
  <c r="B246" i="1"/>
  <c r="N259" i="1"/>
  <c r="O259" i="1" s="1"/>
  <c r="P282" i="1"/>
  <c r="N290" i="1"/>
  <c r="O290" i="1" s="1"/>
  <c r="N296" i="1"/>
  <c r="O296" i="1" s="1"/>
  <c r="N297" i="1"/>
  <c r="O297" i="1" s="1"/>
  <c r="B309" i="1"/>
  <c r="N309" i="1"/>
  <c r="O309" i="1" s="1"/>
  <c r="O343" i="1"/>
  <c r="N375" i="1"/>
  <c r="B399" i="1"/>
  <c r="N399" i="1"/>
  <c r="O399" i="1" s="1"/>
  <c r="N412" i="1"/>
  <c r="N413" i="1"/>
  <c r="O413" i="1" s="1"/>
  <c r="B412" i="1"/>
  <c r="B419" i="1"/>
  <c r="N419" i="1"/>
  <c r="O419" i="1" s="1"/>
  <c r="B277" i="1"/>
  <c r="N277" i="1"/>
  <c r="O277" i="1" s="1"/>
  <c r="P301" i="1"/>
  <c r="O298" i="1"/>
  <c r="B306" i="1"/>
  <c r="N306" i="1"/>
  <c r="P351" i="1"/>
  <c r="O347" i="1"/>
  <c r="B355" i="1"/>
  <c r="N355" i="1"/>
  <c r="O355" i="1" s="1"/>
  <c r="O357" i="1"/>
  <c r="P359" i="1"/>
  <c r="B367" i="1"/>
  <c r="N367" i="1"/>
  <c r="O367" i="1" s="1"/>
  <c r="N387" i="1"/>
  <c r="O387" i="1" s="1"/>
  <c r="B422" i="1"/>
  <c r="N422" i="1"/>
  <c r="B227" i="1"/>
  <c r="B247" i="1"/>
  <c r="B250" i="1"/>
  <c r="B253" i="1"/>
  <c r="B256" i="1"/>
  <c r="B259" i="1"/>
  <c r="B276" i="1"/>
  <c r="B319" i="1"/>
  <c r="B329" i="1"/>
  <c r="N329" i="1"/>
  <c r="O329" i="1" s="1"/>
  <c r="N346" i="1"/>
  <c r="O346" i="1" s="1"/>
  <c r="N358" i="1"/>
  <c r="O358" i="1" s="1"/>
  <c r="N365" i="1"/>
  <c r="N403" i="1"/>
  <c r="O403" i="1" s="1"/>
  <c r="N420" i="1"/>
  <c r="O420" i="1" s="1"/>
  <c r="N307" i="1"/>
  <c r="B332" i="1"/>
  <c r="N332" i="1"/>
  <c r="O334" i="1"/>
  <c r="N356" i="1"/>
  <c r="O356" i="1" s="1"/>
  <c r="N368" i="1"/>
  <c r="O368" i="1" s="1"/>
  <c r="B376" i="1"/>
  <c r="N376" i="1"/>
  <c r="O376" i="1" s="1"/>
  <c r="N381" i="1"/>
  <c r="O381" i="1" s="1"/>
  <c r="B386" i="1"/>
  <c r="B396" i="1"/>
  <c r="N396" i="1"/>
  <c r="O396" i="1" s="1"/>
  <c r="N423" i="1"/>
  <c r="O423" i="1" s="1"/>
  <c r="B426" i="1"/>
  <c r="N310" i="1"/>
  <c r="O310" i="1" s="1"/>
  <c r="N315" i="1"/>
  <c r="O315" i="1" s="1"/>
  <c r="N317" i="1"/>
  <c r="B335" i="1"/>
  <c r="N336" i="1"/>
  <c r="O336" i="1" s="1"/>
  <c r="N335" i="1"/>
  <c r="O335" i="1" s="1"/>
  <c r="N344" i="1"/>
  <c r="O344" i="1" s="1"/>
  <c r="N371" i="1"/>
  <c r="O371" i="1" s="1"/>
  <c r="B379" i="1"/>
  <c r="N380" i="1"/>
  <c r="O380" i="1" s="1"/>
  <c r="N379" i="1"/>
  <c r="N417" i="1"/>
  <c r="B416" i="1"/>
  <c r="N416" i="1"/>
  <c r="O416" i="1" s="1"/>
  <c r="B301" i="1"/>
  <c r="B304" i="1"/>
  <c r="B307" i="1"/>
  <c r="B321" i="1"/>
  <c r="B324" i="1"/>
  <c r="B350" i="1"/>
  <c r="B353" i="1"/>
  <c r="B359" i="1"/>
  <c r="B388" i="1"/>
  <c r="B391" i="1"/>
  <c r="P311" i="1" l="1"/>
  <c r="O307" i="1"/>
  <c r="P426" i="1"/>
  <c r="O422" i="1"/>
  <c r="O360" i="1"/>
  <c r="P364" i="1"/>
  <c r="P374" i="1"/>
  <c r="O370" i="1"/>
  <c r="P242" i="1"/>
  <c r="O238" i="1"/>
  <c r="Q253" i="1"/>
  <c r="P262" i="1"/>
  <c r="O58" i="1"/>
  <c r="P61" i="1"/>
  <c r="P292" i="1"/>
  <c r="O288" i="1"/>
  <c r="P411" i="1"/>
  <c r="O407" i="1"/>
  <c r="P297" i="1"/>
  <c r="P378" i="1"/>
  <c r="O375" i="1"/>
  <c r="Q275" i="1"/>
  <c r="O338" i="1"/>
  <c r="P341" i="1"/>
  <c r="O263" i="1"/>
  <c r="P267" i="1"/>
  <c r="O228" i="1"/>
  <c r="P232" i="1"/>
  <c r="O354" i="1"/>
  <c r="P356" i="1"/>
  <c r="P287" i="1"/>
  <c r="P277" i="1"/>
  <c r="O273" i="1"/>
  <c r="S374" i="1"/>
  <c r="P1" i="1"/>
  <c r="P383" i="1"/>
  <c r="O379" i="1"/>
  <c r="P369" i="1"/>
  <c r="O365" i="1"/>
  <c r="O322" i="1"/>
  <c r="P326" i="1"/>
  <c r="P177" i="1"/>
  <c r="P57" i="1"/>
  <c r="P125" i="1"/>
  <c r="S356" i="1"/>
  <c r="P306" i="1"/>
  <c r="O306" i="1"/>
  <c r="P247" i="1"/>
  <c r="O243" i="1"/>
  <c r="O312" i="1"/>
  <c r="P315" i="1"/>
  <c r="P331" i="1"/>
  <c r="O327" i="1"/>
  <c r="Q140" i="1"/>
  <c r="P421" i="1"/>
  <c r="O417" i="1"/>
  <c r="P401" i="1"/>
  <c r="T4" i="1"/>
  <c r="P71" i="1"/>
  <c r="P321" i="1"/>
  <c r="O317" i="1"/>
  <c r="S333" i="1"/>
  <c r="O332" i="1"/>
  <c r="P336" i="1"/>
  <c r="O412" i="1"/>
  <c r="P416" i="1"/>
  <c r="P406" i="1"/>
  <c r="O402" i="1"/>
  <c r="P257" i="1"/>
  <c r="O253" i="1"/>
  <c r="O394" i="1"/>
  <c r="P396" i="1"/>
  <c r="S315" i="1"/>
</calcChain>
</file>

<file path=xl/sharedStrings.xml><?xml version="1.0" encoding="utf-8"?>
<sst xmlns="http://schemas.openxmlformats.org/spreadsheetml/2006/main" count="66" uniqueCount="66">
  <si>
    <t>日期</t>
  </si>
  <si>
    <t>广发</t>
  </si>
  <si>
    <t>10月收益</t>
  </si>
  <si>
    <t>11月收益</t>
  </si>
  <si>
    <t>12月收益</t>
  </si>
  <si>
    <t>银证+1300</t>
  </si>
  <si>
    <t xml:space="preserve"> 银证1000</t>
  </si>
  <si>
    <t>实际亏损13195</t>
  </si>
  <si>
    <t>银证这个时候转了1w进去，应该第二天要转出来！</t>
  </si>
  <si>
    <t>银证+2000</t>
  </si>
  <si>
    <t>证转银 10400</t>
  </si>
  <si>
    <t>银转证 20000</t>
  </si>
  <si>
    <t>银转证2900</t>
  </si>
  <si>
    <t>银证出去了20000</t>
  </si>
  <si>
    <t>转入了10000元,取出了5000，净入5000</t>
  </si>
  <si>
    <t>最近银证转出到卡上1.7w</t>
  </si>
  <si>
    <t>取出5000到银行卡</t>
  </si>
  <si>
    <t>出了2500</t>
  </si>
  <si>
    <t>证转银5996</t>
  </si>
  <si>
    <t>需要转出5000</t>
  </si>
  <si>
    <t>需要转出13000</t>
  </si>
  <si>
    <t>被云意电气和兆日科技坑的</t>
    <phoneticPr fontId="3" type="noConversion"/>
  </si>
  <si>
    <t>忽略新股的收益</t>
  </si>
  <si>
    <t>总额</t>
    <phoneticPr fontId="3" type="noConversion"/>
  </si>
  <si>
    <t>华泰</t>
    <phoneticPr fontId="3" type="noConversion"/>
  </si>
  <si>
    <t>国金</t>
    <phoneticPr fontId="3" type="noConversion"/>
  </si>
  <si>
    <t>百度理财</t>
    <phoneticPr fontId="3" type="noConversion"/>
  </si>
  <si>
    <t>支付宝</t>
    <phoneticPr fontId="3" type="noConversion"/>
  </si>
  <si>
    <t>工行</t>
    <phoneticPr fontId="3" type="noConversion"/>
  </si>
  <si>
    <t>邮政储蓄</t>
    <phoneticPr fontId="3" type="noConversion"/>
  </si>
  <si>
    <t>东莞农商</t>
    <phoneticPr fontId="3" type="noConversion"/>
  </si>
  <si>
    <t>现金</t>
    <phoneticPr fontId="3" type="noConversion"/>
  </si>
  <si>
    <t>陆金所</t>
    <phoneticPr fontId="3" type="noConversion"/>
  </si>
  <si>
    <t>盈亏</t>
    <phoneticPr fontId="3" type="noConversion"/>
  </si>
  <si>
    <t>天盈利</t>
    <phoneticPr fontId="3" type="noConversion"/>
  </si>
  <si>
    <t>股票总额</t>
    <phoneticPr fontId="3" type="noConversion"/>
  </si>
  <si>
    <t>可用仓位</t>
    <phoneticPr fontId="3" type="noConversion"/>
  </si>
  <si>
    <t>周收益率</t>
    <phoneticPr fontId="3" type="noConversion"/>
  </si>
  <si>
    <t>盈利天数</t>
    <phoneticPr fontId="3" type="noConversion"/>
  </si>
  <si>
    <t>亏损天数</t>
    <phoneticPr fontId="3" type="noConversion"/>
  </si>
  <si>
    <t>银证+20000</t>
    <phoneticPr fontId="3" type="noConversion"/>
  </si>
  <si>
    <t>银证转出2000到基金</t>
    <phoneticPr fontId="3" type="noConversion"/>
  </si>
  <si>
    <t>银转证 2400 到股票</t>
    <phoneticPr fontId="3" type="noConversion"/>
  </si>
  <si>
    <t>打新股转入了40000</t>
    <phoneticPr fontId="3" type="noConversion"/>
  </si>
  <si>
    <t>证券转银行2000</t>
    <phoneticPr fontId="3" type="noConversion"/>
  </si>
  <si>
    <t>银证转出40000到卡外+收盘后继续转900</t>
    <phoneticPr fontId="3" type="noConversion"/>
  </si>
  <si>
    <t>银行转入46000为了打新</t>
    <phoneticPr fontId="3" type="noConversion"/>
  </si>
  <si>
    <t>转出银行1000</t>
    <phoneticPr fontId="3" type="noConversion"/>
  </si>
  <si>
    <t>转出了8000到工行卡</t>
    <phoneticPr fontId="3" type="noConversion"/>
  </si>
  <si>
    <t>国金转入了3k，华泰入了5k</t>
    <phoneticPr fontId="3" type="noConversion"/>
  </si>
  <si>
    <t>提出了1w到京东</t>
    <phoneticPr fontId="3" type="noConversion"/>
  </si>
  <si>
    <t>继续提取了1w出来 到银行卡</t>
    <phoneticPr fontId="3" type="noConversion"/>
  </si>
  <si>
    <t>取出了500到陆金所</t>
    <phoneticPr fontId="3" type="noConversion"/>
  </si>
  <si>
    <t>取出5000到银行卡</t>
    <phoneticPr fontId="3" type="noConversion"/>
  </si>
  <si>
    <t>转出2000块</t>
    <phoneticPr fontId="3" type="noConversion"/>
  </si>
  <si>
    <t>工资暂时取出了1w</t>
    <phoneticPr fontId="3" type="noConversion"/>
  </si>
  <si>
    <t>存回了5k</t>
    <phoneticPr fontId="3" type="noConversion"/>
  </si>
  <si>
    <t>存回了1k</t>
    <phoneticPr fontId="3" type="noConversion"/>
  </si>
  <si>
    <t>转移到银行卡1.7k</t>
    <phoneticPr fontId="3" type="noConversion"/>
  </si>
  <si>
    <t>转出了1k</t>
    <phoneticPr fontId="3" type="noConversion"/>
  </si>
  <si>
    <t>转了200出工行</t>
    <phoneticPr fontId="3" type="noConversion"/>
  </si>
  <si>
    <t>转了400出工行</t>
    <phoneticPr fontId="3" type="noConversion"/>
  </si>
  <si>
    <t>转了2.5k到工行</t>
    <phoneticPr fontId="3" type="noConversion"/>
  </si>
  <si>
    <t>实际转出的3k没有计算</t>
    <phoneticPr fontId="3" type="noConversion"/>
  </si>
  <si>
    <t>今天进入了6k</t>
    <phoneticPr fontId="3" type="noConversion"/>
  </si>
  <si>
    <t>转出了2w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</si>
</sst>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10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6"/>
  <sheetViews>
    <sheetView tabSelected="1" topLeftCell="A395" workbookViewId="0">
      <selection activeCell="S420" sqref="S420"/>
    </sheetView>
  </sheetViews>
  <sheetFormatPr defaultColWidth="9" defaultRowHeight="13.5" x14ac:dyDescent="0.15"/>
  <cols>
    <col min="1" max="1" width="10" style="19" customWidth="1"/>
    <col min="2" max="2" width="11.375" style="9" customWidth="1"/>
    <col min="3" max="3" width="8.75" style="9" customWidth="1"/>
    <col min="4" max="4" width="6.875" style="9" hidden="1" customWidth="1"/>
    <col min="5" max="5" width="6.25" style="9" hidden="1" customWidth="1"/>
    <col min="6" max="6" width="5.25" style="9" hidden="1" customWidth="1"/>
    <col min="7" max="7" width="8.125" style="9" hidden="1" customWidth="1"/>
    <col min="8" max="8" width="0" style="9" hidden="1" customWidth="1"/>
    <col min="9" max="10" width="6.125" style="9" hidden="1" customWidth="1"/>
    <col min="11" max="12" width="9.25" style="9" hidden="1" customWidth="1"/>
    <col min="13" max="13" width="36.375" style="9" hidden="1" customWidth="1"/>
    <col min="14" max="16" width="9" style="9"/>
    <col min="17" max="18" width="10.875" style="9" customWidth="1"/>
    <col min="19" max="19" width="9" style="18"/>
    <col min="20" max="20" width="15.125" style="9" customWidth="1"/>
    <col min="21" max="16384" width="9" style="9"/>
  </cols>
  <sheetData>
    <row r="1" spans="1:23" s="5" customFormat="1" ht="15.75" x14ac:dyDescent="0.3">
      <c r="A1" s="1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</v>
      </c>
      <c r="K1" s="2" t="s">
        <v>31</v>
      </c>
      <c r="L1" s="2" t="s">
        <v>32</v>
      </c>
      <c r="M1" s="2"/>
      <c r="N1" s="2" t="s">
        <v>33</v>
      </c>
      <c r="O1" s="2" t="s">
        <v>34</v>
      </c>
      <c r="P1" s="2">
        <f>SUM(N2:N100)</f>
        <v>-53196</v>
      </c>
      <c r="Q1" s="2" t="s">
        <v>35</v>
      </c>
      <c r="R1" s="2" t="s">
        <v>36</v>
      </c>
      <c r="S1" s="3" t="s">
        <v>37</v>
      </c>
      <c r="T1" s="4" t="s">
        <v>38</v>
      </c>
      <c r="U1" s="2" t="s">
        <v>2</v>
      </c>
      <c r="V1" s="2" t="s">
        <v>3</v>
      </c>
      <c r="W1" s="2" t="s">
        <v>4</v>
      </c>
    </row>
    <row r="2" spans="1:23" ht="15.75" x14ac:dyDescent="0.3">
      <c r="A2" s="6">
        <v>42287</v>
      </c>
      <c r="B2" s="7">
        <f t="shared" ref="B2:B33" si="0">SUM(C2:K2)</f>
        <v>202888</v>
      </c>
      <c r="C2" s="8">
        <v>141864</v>
      </c>
      <c r="D2" s="8">
        <v>26678</v>
      </c>
      <c r="E2" s="8">
        <v>30000</v>
      </c>
      <c r="F2" s="8">
        <v>0</v>
      </c>
      <c r="G2" s="8">
        <v>1046</v>
      </c>
      <c r="H2" s="8">
        <v>100</v>
      </c>
      <c r="I2" s="8">
        <v>0</v>
      </c>
      <c r="J2" s="8">
        <v>3200</v>
      </c>
      <c r="K2" s="8">
        <v>0</v>
      </c>
      <c r="L2" s="8"/>
      <c r="M2" s="8"/>
      <c r="N2" s="8">
        <v>0</v>
      </c>
      <c r="O2" s="8">
        <f t="shared" ref="O2:O65" si="1">N2/C2*100</f>
        <v>0</v>
      </c>
      <c r="P2" s="8"/>
      <c r="Q2" s="8"/>
      <c r="R2" s="8"/>
      <c r="S2" s="3"/>
      <c r="T2" s="8">
        <f>COUNTIF(N:N,"&gt;=0")</f>
        <v>219</v>
      </c>
      <c r="U2" s="8">
        <f>SUM(N2:N17)/171864*100</f>
        <v>9.436531210724759</v>
      </c>
      <c r="V2" s="8">
        <f>SUM(N18:N38)/188082*100</f>
        <v>2.4542486787677715</v>
      </c>
      <c r="W2" s="8"/>
    </row>
    <row r="3" spans="1:23" ht="15.75" x14ac:dyDescent="0.3">
      <c r="A3" s="6">
        <v>42289</v>
      </c>
      <c r="B3" s="7">
        <f t="shared" si="0"/>
        <v>209433</v>
      </c>
      <c r="C3" s="8">
        <v>148409</v>
      </c>
      <c r="D3" s="8">
        <v>26678</v>
      </c>
      <c r="E3" s="8">
        <v>30000</v>
      </c>
      <c r="F3" s="8">
        <v>0</v>
      </c>
      <c r="G3" s="8">
        <v>1046</v>
      </c>
      <c r="H3" s="8">
        <v>100</v>
      </c>
      <c r="I3" s="8">
        <v>0</v>
      </c>
      <c r="J3" s="8">
        <v>3200</v>
      </c>
      <c r="K3" s="8">
        <v>0</v>
      </c>
      <c r="L3" s="8"/>
      <c r="M3" s="8"/>
      <c r="N3" s="8">
        <f>C3-C2</f>
        <v>6545</v>
      </c>
      <c r="O3" s="8">
        <f t="shared" si="1"/>
        <v>4.4101098989953433</v>
      </c>
      <c r="P3" s="8"/>
      <c r="Q3" s="8"/>
      <c r="R3" s="8"/>
      <c r="S3" s="3"/>
      <c r="T3" s="10" t="s">
        <v>39</v>
      </c>
      <c r="U3" s="8"/>
      <c r="V3" s="8"/>
      <c r="W3" s="8"/>
    </row>
    <row r="4" spans="1:23" ht="15.75" x14ac:dyDescent="0.3">
      <c r="A4" s="6">
        <v>42290</v>
      </c>
      <c r="B4" s="7">
        <f t="shared" si="0"/>
        <v>211305</v>
      </c>
      <c r="C4" s="8">
        <v>150281</v>
      </c>
      <c r="D4" s="8">
        <v>26678</v>
      </c>
      <c r="E4" s="8">
        <v>30000</v>
      </c>
      <c r="F4" s="8">
        <v>0</v>
      </c>
      <c r="G4" s="8">
        <v>1046</v>
      </c>
      <c r="H4" s="8">
        <v>100</v>
      </c>
      <c r="I4" s="8">
        <v>0</v>
      </c>
      <c r="J4" s="8">
        <v>3200</v>
      </c>
      <c r="K4" s="8">
        <v>0</v>
      </c>
      <c r="L4" s="8"/>
      <c r="M4" s="8"/>
      <c r="N4" s="8">
        <f>C4-C3</f>
        <v>1872</v>
      </c>
      <c r="O4" s="8">
        <f t="shared" si="1"/>
        <v>1.2456664515141636</v>
      </c>
      <c r="P4" s="8"/>
      <c r="Q4" s="8"/>
      <c r="R4" s="8"/>
      <c r="S4" s="3"/>
      <c r="T4" s="8">
        <f>COUNTIF(N:N,"&lt;0")</f>
        <v>206</v>
      </c>
      <c r="U4" s="8"/>
      <c r="V4" s="8"/>
      <c r="W4" s="8"/>
    </row>
    <row r="5" spans="1:23" ht="15.75" x14ac:dyDescent="0.3">
      <c r="A5" s="6">
        <v>42291</v>
      </c>
      <c r="B5" s="7">
        <f t="shared" si="0"/>
        <v>210280</v>
      </c>
      <c r="C5" s="8">
        <v>149256</v>
      </c>
      <c r="D5" s="8">
        <v>26678</v>
      </c>
      <c r="E5" s="8">
        <v>30000</v>
      </c>
      <c r="F5" s="8">
        <v>0</v>
      </c>
      <c r="G5" s="8">
        <v>1046</v>
      </c>
      <c r="H5" s="8">
        <v>100</v>
      </c>
      <c r="I5" s="8">
        <v>0</v>
      </c>
      <c r="J5" s="8">
        <v>3200</v>
      </c>
      <c r="K5" s="8">
        <v>0</v>
      </c>
      <c r="L5" s="8"/>
      <c r="M5" s="8" t="s">
        <v>5</v>
      </c>
      <c r="N5" s="8">
        <f>C5-C4</f>
        <v>-1025</v>
      </c>
      <c r="O5" s="8">
        <f t="shared" si="1"/>
        <v>-0.68673956155866434</v>
      </c>
      <c r="P5" s="8"/>
      <c r="Q5" s="8"/>
      <c r="R5" s="8"/>
      <c r="S5" s="3"/>
      <c r="T5" s="8"/>
      <c r="U5" s="8"/>
      <c r="V5" s="8"/>
      <c r="W5" s="8"/>
    </row>
    <row r="6" spans="1:23" ht="15.75" x14ac:dyDescent="0.3">
      <c r="A6" s="6">
        <v>42292</v>
      </c>
      <c r="B6" s="7">
        <f t="shared" si="0"/>
        <v>216541</v>
      </c>
      <c r="C6" s="8">
        <v>155517</v>
      </c>
      <c r="D6" s="8">
        <v>26678</v>
      </c>
      <c r="E6" s="8">
        <v>30000</v>
      </c>
      <c r="F6" s="8">
        <v>0</v>
      </c>
      <c r="G6" s="8">
        <v>1046</v>
      </c>
      <c r="H6" s="8">
        <v>100</v>
      </c>
      <c r="I6" s="8">
        <v>0</v>
      </c>
      <c r="J6" s="8">
        <v>3200</v>
      </c>
      <c r="K6" s="8">
        <v>0</v>
      </c>
      <c r="L6" s="8"/>
      <c r="M6" s="8"/>
      <c r="N6" s="8">
        <f>C6-C5</f>
        <v>6261</v>
      </c>
      <c r="O6" s="8">
        <f t="shared" si="1"/>
        <v>4.0259264260498853</v>
      </c>
      <c r="P6" s="8"/>
      <c r="Q6" s="8"/>
      <c r="R6" s="8"/>
      <c r="S6" s="3"/>
      <c r="T6" s="8"/>
      <c r="U6" s="8"/>
      <c r="V6" s="8"/>
      <c r="W6" s="8"/>
    </row>
    <row r="7" spans="1:23" s="13" customFormat="1" ht="15.75" x14ac:dyDescent="0.3">
      <c r="A7" s="6">
        <v>42293</v>
      </c>
      <c r="B7" s="11">
        <f t="shared" si="0"/>
        <v>220654</v>
      </c>
      <c r="C7" s="12">
        <v>159630</v>
      </c>
      <c r="D7" s="12">
        <v>26678</v>
      </c>
      <c r="E7" s="12">
        <v>30000</v>
      </c>
      <c r="F7" s="12">
        <v>0</v>
      </c>
      <c r="G7" s="12">
        <v>1046</v>
      </c>
      <c r="H7" s="12">
        <v>100</v>
      </c>
      <c r="I7" s="12">
        <v>0</v>
      </c>
      <c r="J7" s="12">
        <v>3200</v>
      </c>
      <c r="K7" s="12">
        <v>0</v>
      </c>
      <c r="L7" s="12"/>
      <c r="M7" s="12"/>
      <c r="N7" s="12">
        <f>C7-C6</f>
        <v>4113</v>
      </c>
      <c r="O7" s="8">
        <f t="shared" si="1"/>
        <v>2.57658334899455</v>
      </c>
      <c r="P7" s="12">
        <f>SUM(N3:N7)</f>
        <v>17766</v>
      </c>
      <c r="Q7" s="12"/>
      <c r="R7" s="12"/>
      <c r="S7" s="12">
        <f>P7/C2*100</f>
        <v>12.523261715445781</v>
      </c>
      <c r="T7" s="12"/>
      <c r="U7" s="12"/>
      <c r="V7" s="12"/>
      <c r="W7" s="12"/>
    </row>
    <row r="8" spans="1:23" ht="15.75" x14ac:dyDescent="0.3">
      <c r="A8" s="6">
        <v>42296</v>
      </c>
      <c r="B8" s="7">
        <f t="shared" si="0"/>
        <v>222228</v>
      </c>
      <c r="C8" s="8">
        <v>181204</v>
      </c>
      <c r="D8" s="8">
        <v>26678</v>
      </c>
      <c r="E8" s="8">
        <v>10000</v>
      </c>
      <c r="F8" s="8">
        <v>0</v>
      </c>
      <c r="G8" s="8">
        <v>1046</v>
      </c>
      <c r="H8" s="8">
        <v>100</v>
      </c>
      <c r="I8" s="8">
        <v>0</v>
      </c>
      <c r="J8" s="8">
        <v>3200</v>
      </c>
      <c r="K8" s="8">
        <v>0</v>
      </c>
      <c r="L8" s="8"/>
      <c r="M8" s="8" t="s">
        <v>40</v>
      </c>
      <c r="N8" s="8">
        <f>C8-C7-20000</f>
        <v>1574</v>
      </c>
      <c r="O8" s="8">
        <f t="shared" si="1"/>
        <v>0.86863424648462517</v>
      </c>
      <c r="P8" s="8"/>
      <c r="Q8" s="8"/>
      <c r="R8" s="8"/>
      <c r="S8" s="3"/>
      <c r="T8" s="8"/>
      <c r="U8" s="8"/>
      <c r="V8" s="8"/>
      <c r="W8" s="8"/>
    </row>
    <row r="9" spans="1:23" ht="15.75" x14ac:dyDescent="0.3">
      <c r="A9" s="6">
        <v>42297</v>
      </c>
      <c r="B9" s="7">
        <f t="shared" si="0"/>
        <v>228335</v>
      </c>
      <c r="C9" s="8">
        <v>187311</v>
      </c>
      <c r="D9" s="8">
        <v>26678</v>
      </c>
      <c r="E9" s="8">
        <v>10000</v>
      </c>
      <c r="F9" s="8">
        <v>0</v>
      </c>
      <c r="G9" s="8">
        <v>1046</v>
      </c>
      <c r="H9" s="8">
        <v>100</v>
      </c>
      <c r="I9" s="8">
        <v>0</v>
      </c>
      <c r="J9" s="8">
        <v>3200</v>
      </c>
      <c r="K9" s="8">
        <v>0</v>
      </c>
      <c r="L9" s="8"/>
      <c r="M9" s="8"/>
      <c r="N9" s="8">
        <f>C9-C8</f>
        <v>6107</v>
      </c>
      <c r="O9" s="8">
        <f t="shared" si="1"/>
        <v>3.2603531025940815</v>
      </c>
      <c r="P9" s="8"/>
      <c r="Q9" s="8"/>
      <c r="R9" s="8"/>
      <c r="S9" s="3"/>
      <c r="T9" s="8"/>
      <c r="U9" s="8"/>
      <c r="V9" s="8"/>
      <c r="W9" s="8"/>
    </row>
    <row r="10" spans="1:23" ht="15.75" x14ac:dyDescent="0.3">
      <c r="A10" s="6">
        <v>42298</v>
      </c>
      <c r="B10" s="7">
        <f t="shared" si="0"/>
        <v>225140</v>
      </c>
      <c r="C10" s="8">
        <v>184116</v>
      </c>
      <c r="D10" s="8">
        <v>26678</v>
      </c>
      <c r="E10" s="8">
        <v>10000</v>
      </c>
      <c r="F10" s="8">
        <v>0</v>
      </c>
      <c r="G10" s="8">
        <v>1046</v>
      </c>
      <c r="H10" s="8">
        <v>100</v>
      </c>
      <c r="I10" s="8">
        <v>0</v>
      </c>
      <c r="J10" s="8">
        <v>3200</v>
      </c>
      <c r="K10" s="8">
        <v>0</v>
      </c>
      <c r="L10" s="8"/>
      <c r="M10" s="8" t="s">
        <v>6</v>
      </c>
      <c r="N10" s="8">
        <f>C10-C9-10000</f>
        <v>-13195</v>
      </c>
      <c r="O10" s="8">
        <f t="shared" si="1"/>
        <v>-7.1666775293836498</v>
      </c>
      <c r="P10" s="8" t="s">
        <v>7</v>
      </c>
      <c r="Q10" s="8"/>
      <c r="R10" s="8"/>
      <c r="S10" s="3"/>
      <c r="T10" s="8"/>
      <c r="U10" s="8"/>
      <c r="V10" s="8"/>
      <c r="W10" s="8"/>
    </row>
    <row r="11" spans="1:23" ht="15.75" x14ac:dyDescent="0.3">
      <c r="A11" s="6">
        <v>42299</v>
      </c>
      <c r="B11" s="7">
        <f t="shared" si="0"/>
        <v>233327</v>
      </c>
      <c r="C11" s="8">
        <v>192303</v>
      </c>
      <c r="D11" s="8">
        <v>26678</v>
      </c>
      <c r="E11" s="8">
        <v>10000</v>
      </c>
      <c r="F11" s="8">
        <v>0</v>
      </c>
      <c r="G11" s="8">
        <v>1046</v>
      </c>
      <c r="H11" s="8">
        <v>100</v>
      </c>
      <c r="I11" s="8">
        <v>0</v>
      </c>
      <c r="J11" s="8">
        <v>3200</v>
      </c>
      <c r="K11" s="8">
        <v>0</v>
      </c>
      <c r="L11" s="8"/>
      <c r="M11" s="8"/>
      <c r="N11" s="8">
        <f t="shared" ref="N11:N26" si="2">C11-C10</f>
        <v>8187</v>
      </c>
      <c r="O11" s="8">
        <f t="shared" si="1"/>
        <v>4.2573438791906524</v>
      </c>
      <c r="P11" s="8"/>
      <c r="Q11" s="8"/>
      <c r="R11" s="8"/>
      <c r="S11" s="3"/>
      <c r="T11" s="8"/>
      <c r="U11" s="8"/>
      <c r="V11" s="8"/>
      <c r="W11" s="8"/>
    </row>
    <row r="12" spans="1:23" s="13" customFormat="1" ht="15.75" x14ac:dyDescent="0.3">
      <c r="A12" s="6">
        <v>42300</v>
      </c>
      <c r="B12" s="11">
        <f t="shared" si="0"/>
        <v>236638</v>
      </c>
      <c r="C12" s="12">
        <v>195614</v>
      </c>
      <c r="D12" s="12">
        <v>26678</v>
      </c>
      <c r="E12" s="12">
        <v>10000</v>
      </c>
      <c r="F12" s="12">
        <v>0</v>
      </c>
      <c r="G12" s="12">
        <v>1046</v>
      </c>
      <c r="H12" s="12">
        <v>100</v>
      </c>
      <c r="I12" s="12">
        <v>0</v>
      </c>
      <c r="J12" s="12">
        <v>3200</v>
      </c>
      <c r="K12" s="12">
        <v>0</v>
      </c>
      <c r="L12" s="12"/>
      <c r="M12" s="12"/>
      <c r="N12" s="12">
        <f t="shared" si="2"/>
        <v>3311</v>
      </c>
      <c r="O12" s="8">
        <f t="shared" si="1"/>
        <v>1.6926191376895314</v>
      </c>
      <c r="P12" s="12">
        <f>SUM(N19:N23)</f>
        <v>15819</v>
      </c>
      <c r="Q12" s="12"/>
      <c r="R12" s="12"/>
      <c r="S12" s="12">
        <f>SUM(N8:N12)/159630*100</f>
        <v>3.7486687965921197</v>
      </c>
      <c r="T12" s="12"/>
      <c r="U12" s="12"/>
      <c r="V12" s="12"/>
      <c r="W12" s="12"/>
    </row>
    <row r="13" spans="1:23" ht="15.75" x14ac:dyDescent="0.3">
      <c r="A13" s="6">
        <v>42303</v>
      </c>
      <c r="B13" s="7">
        <f t="shared" si="0"/>
        <v>234045</v>
      </c>
      <c r="C13" s="8">
        <v>193021</v>
      </c>
      <c r="D13" s="8">
        <v>26678</v>
      </c>
      <c r="E13" s="8">
        <v>10000</v>
      </c>
      <c r="F13" s="8">
        <v>0</v>
      </c>
      <c r="G13" s="8">
        <v>1046</v>
      </c>
      <c r="H13" s="8">
        <v>100</v>
      </c>
      <c r="I13" s="8">
        <v>0</v>
      </c>
      <c r="J13" s="8">
        <v>3200</v>
      </c>
      <c r="K13" s="8">
        <v>0</v>
      </c>
      <c r="L13" s="8"/>
      <c r="M13" s="8"/>
      <c r="N13" s="8">
        <f t="shared" si="2"/>
        <v>-2593</v>
      </c>
      <c r="O13" s="8">
        <f t="shared" si="1"/>
        <v>-1.3433771454919414</v>
      </c>
      <c r="P13" s="8"/>
      <c r="Q13" s="8"/>
      <c r="R13" s="8"/>
      <c r="S13" s="3"/>
      <c r="T13" s="8"/>
      <c r="U13" s="8"/>
      <c r="V13" s="8"/>
      <c r="W13" s="8"/>
    </row>
    <row r="14" spans="1:23" ht="15.75" x14ac:dyDescent="0.3">
      <c r="A14" s="6">
        <v>42304</v>
      </c>
      <c r="B14" s="7">
        <f t="shared" si="0"/>
        <v>236617</v>
      </c>
      <c r="C14" s="8">
        <v>195593</v>
      </c>
      <c r="D14" s="8">
        <v>26678</v>
      </c>
      <c r="E14" s="8">
        <v>10000</v>
      </c>
      <c r="F14" s="8">
        <v>0</v>
      </c>
      <c r="G14" s="8">
        <v>1046</v>
      </c>
      <c r="H14" s="8">
        <v>100</v>
      </c>
      <c r="I14" s="8">
        <v>0</v>
      </c>
      <c r="J14" s="8">
        <v>3200</v>
      </c>
      <c r="K14" s="8">
        <v>0</v>
      </c>
      <c r="L14" s="8"/>
      <c r="M14" s="8"/>
      <c r="N14" s="8">
        <f t="shared" si="2"/>
        <v>2572</v>
      </c>
      <c r="O14" s="8">
        <f t="shared" si="1"/>
        <v>1.3149754848077386</v>
      </c>
      <c r="P14" s="8"/>
      <c r="Q14" s="8"/>
      <c r="R14" s="8"/>
      <c r="S14" s="3"/>
      <c r="T14" s="8"/>
      <c r="U14" s="8"/>
      <c r="V14" s="8"/>
      <c r="W14" s="8"/>
    </row>
    <row r="15" spans="1:23" ht="15.75" x14ac:dyDescent="0.3">
      <c r="A15" s="6">
        <v>42305</v>
      </c>
      <c r="B15" s="7">
        <f t="shared" si="0"/>
        <v>230736</v>
      </c>
      <c r="C15" s="8">
        <v>189712</v>
      </c>
      <c r="D15" s="8">
        <v>26678</v>
      </c>
      <c r="E15" s="8">
        <v>10000</v>
      </c>
      <c r="F15" s="8">
        <v>0</v>
      </c>
      <c r="G15" s="8">
        <v>1046</v>
      </c>
      <c r="H15" s="8">
        <v>100</v>
      </c>
      <c r="I15" s="8">
        <v>0</v>
      </c>
      <c r="J15" s="8">
        <v>3200</v>
      </c>
      <c r="K15" s="8">
        <v>0</v>
      </c>
      <c r="L15" s="8"/>
      <c r="M15" s="8"/>
      <c r="N15" s="8">
        <f t="shared" si="2"/>
        <v>-5881</v>
      </c>
      <c r="O15" s="8">
        <f t="shared" si="1"/>
        <v>-3.0999620477355152</v>
      </c>
      <c r="P15" s="8"/>
      <c r="Q15" s="8"/>
      <c r="R15" s="8"/>
      <c r="S15" s="3"/>
      <c r="T15" s="8"/>
      <c r="U15" s="8"/>
      <c r="V15" s="8"/>
      <c r="W15" s="8"/>
    </row>
    <row r="16" spans="1:23" ht="15.75" x14ac:dyDescent="0.3">
      <c r="A16" s="6">
        <v>42306</v>
      </c>
      <c r="B16" s="7">
        <f t="shared" si="0"/>
        <v>231856</v>
      </c>
      <c r="C16" s="8">
        <v>190832</v>
      </c>
      <c r="D16" s="8">
        <v>26678</v>
      </c>
      <c r="E16" s="8">
        <v>10000</v>
      </c>
      <c r="F16" s="8">
        <v>0</v>
      </c>
      <c r="G16" s="8">
        <v>1046</v>
      </c>
      <c r="H16" s="8">
        <v>100</v>
      </c>
      <c r="I16" s="8">
        <v>0</v>
      </c>
      <c r="J16" s="8">
        <v>3200</v>
      </c>
      <c r="K16" s="8">
        <v>0</v>
      </c>
      <c r="L16" s="8"/>
      <c r="M16" s="8"/>
      <c r="N16" s="8">
        <f t="shared" si="2"/>
        <v>1120</v>
      </c>
      <c r="O16" s="8">
        <f t="shared" si="1"/>
        <v>0.58690366395573068</v>
      </c>
      <c r="P16" s="8"/>
      <c r="Q16" s="8"/>
      <c r="R16" s="8"/>
      <c r="S16" s="3"/>
      <c r="T16" s="8"/>
      <c r="U16" s="8"/>
      <c r="V16" s="8"/>
      <c r="W16" s="8"/>
    </row>
    <row r="17" spans="1:23" s="13" customFormat="1" ht="15.75" x14ac:dyDescent="0.3">
      <c r="A17" s="6">
        <v>42307</v>
      </c>
      <c r="B17" s="11">
        <f t="shared" si="0"/>
        <v>229106</v>
      </c>
      <c r="C17" s="12">
        <v>188082</v>
      </c>
      <c r="D17" s="12">
        <v>26678</v>
      </c>
      <c r="E17" s="12">
        <v>10000</v>
      </c>
      <c r="F17" s="12">
        <v>0</v>
      </c>
      <c r="G17" s="12">
        <v>1046</v>
      </c>
      <c r="H17" s="12">
        <v>100</v>
      </c>
      <c r="I17" s="12">
        <v>0</v>
      </c>
      <c r="J17" s="12">
        <v>3200</v>
      </c>
      <c r="K17" s="12">
        <v>0</v>
      </c>
      <c r="L17" s="12"/>
      <c r="M17" s="12"/>
      <c r="N17" s="12">
        <f t="shared" si="2"/>
        <v>-2750</v>
      </c>
      <c r="O17" s="8">
        <f t="shared" si="1"/>
        <v>-1.4621282206697079</v>
      </c>
      <c r="P17" s="12">
        <f>SUM(N13:N17)</f>
        <v>-7532</v>
      </c>
      <c r="Q17" s="12"/>
      <c r="R17" s="12"/>
      <c r="S17" s="12">
        <f>SUM(N13:N17)/195614*100</f>
        <v>-3.8504401525453189</v>
      </c>
      <c r="T17" s="12"/>
      <c r="U17" s="12"/>
      <c r="V17" s="12"/>
      <c r="W17" s="12"/>
    </row>
    <row r="18" spans="1:23" ht="15.75" x14ac:dyDescent="0.3">
      <c r="A18" s="6">
        <v>42310</v>
      </c>
      <c r="B18" s="7">
        <f t="shared" si="0"/>
        <v>222569</v>
      </c>
      <c r="C18" s="8">
        <v>181545</v>
      </c>
      <c r="D18" s="8">
        <v>26678</v>
      </c>
      <c r="E18" s="8">
        <v>10000</v>
      </c>
      <c r="F18" s="8">
        <v>0</v>
      </c>
      <c r="G18" s="8">
        <v>1046</v>
      </c>
      <c r="H18" s="8">
        <v>100</v>
      </c>
      <c r="I18" s="8">
        <v>0</v>
      </c>
      <c r="J18" s="8">
        <v>3200</v>
      </c>
      <c r="K18" s="8">
        <v>0</v>
      </c>
      <c r="L18" s="8"/>
      <c r="M18" s="8"/>
      <c r="N18" s="8">
        <f t="shared" si="2"/>
        <v>-6537</v>
      </c>
      <c r="O18" s="8">
        <f t="shared" si="1"/>
        <v>-3.600760142113526</v>
      </c>
      <c r="P18" s="8" t="s">
        <v>8</v>
      </c>
      <c r="Q18" s="8"/>
      <c r="R18" s="8"/>
      <c r="S18" s="3"/>
      <c r="T18" s="8"/>
      <c r="U18" s="8"/>
      <c r="V18" s="8"/>
      <c r="W18" s="8"/>
    </row>
    <row r="19" spans="1:23" ht="15.75" x14ac:dyDescent="0.3">
      <c r="A19" s="6">
        <v>42311</v>
      </c>
      <c r="B19" s="7">
        <f t="shared" si="0"/>
        <v>221635</v>
      </c>
      <c r="C19" s="8">
        <v>180611</v>
      </c>
      <c r="D19" s="8">
        <v>26678</v>
      </c>
      <c r="E19" s="8">
        <v>10000</v>
      </c>
      <c r="F19" s="8">
        <v>0</v>
      </c>
      <c r="G19" s="8">
        <v>1046</v>
      </c>
      <c r="H19" s="8">
        <v>100</v>
      </c>
      <c r="I19" s="8">
        <v>0</v>
      </c>
      <c r="J19" s="8">
        <v>3200</v>
      </c>
      <c r="K19" s="8">
        <v>0</v>
      </c>
      <c r="L19" s="8"/>
      <c r="M19" s="8"/>
      <c r="N19" s="8">
        <f t="shared" si="2"/>
        <v>-934</v>
      </c>
      <c r="O19" s="8">
        <f t="shared" si="1"/>
        <v>-0.51713350792587387</v>
      </c>
      <c r="P19" s="8"/>
      <c r="Q19" s="8"/>
      <c r="R19" s="8"/>
      <c r="S19" s="3"/>
      <c r="T19" s="8"/>
      <c r="U19" s="8"/>
      <c r="V19" s="8"/>
      <c r="W19" s="8"/>
    </row>
    <row r="20" spans="1:23" ht="15.75" x14ac:dyDescent="0.3">
      <c r="A20" s="6">
        <v>42312</v>
      </c>
      <c r="B20" s="7">
        <f t="shared" si="0"/>
        <v>232135</v>
      </c>
      <c r="C20" s="8">
        <v>191111</v>
      </c>
      <c r="D20" s="8">
        <v>26678</v>
      </c>
      <c r="E20" s="8">
        <v>10000</v>
      </c>
      <c r="F20" s="8">
        <v>0</v>
      </c>
      <c r="G20" s="8">
        <v>1046</v>
      </c>
      <c r="H20" s="8">
        <v>100</v>
      </c>
      <c r="I20" s="8">
        <v>0</v>
      </c>
      <c r="J20" s="8">
        <v>3200</v>
      </c>
      <c r="K20" s="8">
        <v>0</v>
      </c>
      <c r="L20" s="8"/>
      <c r="M20" s="8"/>
      <c r="N20" s="8">
        <f t="shared" si="2"/>
        <v>10500</v>
      </c>
      <c r="O20" s="8">
        <f t="shared" si="1"/>
        <v>5.4941892408076978</v>
      </c>
      <c r="P20" s="8"/>
      <c r="Q20" s="8"/>
      <c r="R20" s="8"/>
      <c r="S20" s="3"/>
      <c r="T20" s="8"/>
      <c r="U20" s="8"/>
      <c r="V20" s="8"/>
      <c r="W20" s="8"/>
    </row>
    <row r="21" spans="1:23" ht="15.75" x14ac:dyDescent="0.3">
      <c r="A21" s="6">
        <v>42313</v>
      </c>
      <c r="B21" s="7">
        <f t="shared" si="0"/>
        <v>231237</v>
      </c>
      <c r="C21" s="8">
        <v>190213</v>
      </c>
      <c r="D21" s="8">
        <v>26678</v>
      </c>
      <c r="E21" s="8">
        <v>10000</v>
      </c>
      <c r="F21" s="8">
        <v>0</v>
      </c>
      <c r="G21" s="8">
        <v>1046</v>
      </c>
      <c r="H21" s="8">
        <v>100</v>
      </c>
      <c r="I21" s="8">
        <v>0</v>
      </c>
      <c r="J21" s="8">
        <v>3200</v>
      </c>
      <c r="K21" s="8">
        <v>0</v>
      </c>
      <c r="L21" s="8"/>
      <c r="M21" s="8"/>
      <c r="N21" s="8">
        <f t="shared" si="2"/>
        <v>-898</v>
      </c>
      <c r="O21" s="8">
        <f t="shared" si="1"/>
        <v>-0.47210232739087232</v>
      </c>
      <c r="P21" s="8"/>
      <c r="Q21" s="8"/>
      <c r="R21" s="8"/>
      <c r="S21" s="3"/>
      <c r="T21" s="8"/>
      <c r="U21" s="8"/>
      <c r="V21" s="8"/>
      <c r="W21" s="8"/>
    </row>
    <row r="22" spans="1:23" s="13" customFormat="1" ht="15.75" x14ac:dyDescent="0.3">
      <c r="A22" s="6">
        <v>42314</v>
      </c>
      <c r="B22" s="11">
        <f t="shared" si="0"/>
        <v>235782</v>
      </c>
      <c r="C22" s="12">
        <v>194758</v>
      </c>
      <c r="D22" s="12">
        <v>26678</v>
      </c>
      <c r="E22" s="12">
        <v>10000</v>
      </c>
      <c r="F22" s="12">
        <v>0</v>
      </c>
      <c r="G22" s="12">
        <v>1046</v>
      </c>
      <c r="H22" s="12">
        <v>100</v>
      </c>
      <c r="I22" s="12">
        <v>0</v>
      </c>
      <c r="J22" s="12">
        <v>3200</v>
      </c>
      <c r="K22" s="12">
        <v>0</v>
      </c>
      <c r="L22" s="12"/>
      <c r="M22" s="12"/>
      <c r="N22" s="12">
        <f t="shared" si="2"/>
        <v>4545</v>
      </c>
      <c r="O22" s="8">
        <f t="shared" si="1"/>
        <v>2.3336653693301428</v>
      </c>
      <c r="P22" s="12">
        <f>SUM(N18:N22)</f>
        <v>6676</v>
      </c>
      <c r="Q22" s="12"/>
      <c r="R22" s="12"/>
      <c r="S22" s="12">
        <f>SUM(N18:N22)/188082*100</f>
        <v>3.5495156367967162</v>
      </c>
      <c r="T22" s="12"/>
      <c r="U22" s="12"/>
      <c r="V22" s="12"/>
      <c r="W22" s="12"/>
    </row>
    <row r="23" spans="1:23" ht="15.75" x14ac:dyDescent="0.3">
      <c r="A23" s="6">
        <v>42317</v>
      </c>
      <c r="B23" s="7">
        <f t="shared" si="0"/>
        <v>238388</v>
      </c>
      <c r="C23" s="8">
        <v>197364</v>
      </c>
      <c r="D23" s="8">
        <v>26678</v>
      </c>
      <c r="E23" s="8">
        <v>10000</v>
      </c>
      <c r="F23" s="8">
        <v>0</v>
      </c>
      <c r="G23" s="8">
        <v>1046</v>
      </c>
      <c r="H23" s="8">
        <v>100</v>
      </c>
      <c r="I23" s="8">
        <v>0</v>
      </c>
      <c r="J23" s="8">
        <v>3200</v>
      </c>
      <c r="K23" s="8">
        <v>0</v>
      </c>
      <c r="L23" s="8"/>
      <c r="M23" s="8"/>
      <c r="N23" s="8">
        <f t="shared" si="2"/>
        <v>2606</v>
      </c>
      <c r="O23" s="8">
        <f t="shared" si="1"/>
        <v>1.3204029103585253</v>
      </c>
      <c r="P23" s="8"/>
      <c r="Q23" s="8"/>
      <c r="R23" s="8"/>
      <c r="S23" s="3"/>
      <c r="T23" s="8"/>
      <c r="U23" s="8"/>
      <c r="V23" s="8"/>
      <c r="W23" s="8"/>
    </row>
    <row r="24" spans="1:23" ht="15.75" x14ac:dyDescent="0.3">
      <c r="A24" s="6">
        <v>42318</v>
      </c>
      <c r="B24" s="7">
        <f t="shared" si="0"/>
        <v>238856</v>
      </c>
      <c r="C24" s="8">
        <v>197832</v>
      </c>
      <c r="D24" s="8">
        <v>26678</v>
      </c>
      <c r="E24" s="8">
        <v>10000</v>
      </c>
      <c r="F24" s="8">
        <v>0</v>
      </c>
      <c r="G24" s="8">
        <v>1046</v>
      </c>
      <c r="H24" s="8">
        <v>100</v>
      </c>
      <c r="I24" s="8">
        <v>0</v>
      </c>
      <c r="J24" s="8">
        <v>3200</v>
      </c>
      <c r="K24" s="8">
        <v>0</v>
      </c>
      <c r="L24" s="8"/>
      <c r="M24" s="8"/>
      <c r="N24" s="8">
        <f t="shared" si="2"/>
        <v>468</v>
      </c>
      <c r="O24" s="8">
        <f t="shared" si="1"/>
        <v>0.23656435763678274</v>
      </c>
      <c r="P24" s="8"/>
      <c r="Q24" s="8"/>
      <c r="R24" s="8"/>
      <c r="S24" s="3"/>
      <c r="T24" s="8"/>
      <c r="U24" s="8"/>
      <c r="V24" s="8"/>
      <c r="W24" s="8"/>
    </row>
    <row r="25" spans="1:23" ht="15.75" x14ac:dyDescent="0.3">
      <c r="A25" s="6">
        <v>42319</v>
      </c>
      <c r="B25" s="7">
        <f t="shared" si="0"/>
        <v>244065</v>
      </c>
      <c r="C25" s="8">
        <v>202170</v>
      </c>
      <c r="D25" s="8">
        <v>26678</v>
      </c>
      <c r="E25" s="8">
        <v>10000</v>
      </c>
      <c r="F25" s="8">
        <v>0</v>
      </c>
      <c r="G25" s="8">
        <v>1046</v>
      </c>
      <c r="H25" s="8">
        <v>100</v>
      </c>
      <c r="I25" s="8">
        <v>0</v>
      </c>
      <c r="J25" s="8">
        <v>4071</v>
      </c>
      <c r="K25" s="8">
        <v>0</v>
      </c>
      <c r="L25" s="8"/>
      <c r="M25" s="8"/>
      <c r="N25" s="8">
        <f t="shared" si="2"/>
        <v>4338</v>
      </c>
      <c r="O25" s="8">
        <f t="shared" si="1"/>
        <v>2.1457189493990207</v>
      </c>
      <c r="P25" s="8"/>
      <c r="Q25" s="8"/>
      <c r="R25" s="8"/>
      <c r="S25" s="3"/>
      <c r="T25" s="8"/>
      <c r="U25" s="8"/>
      <c r="V25" s="8"/>
      <c r="W25" s="8"/>
    </row>
    <row r="26" spans="1:23" ht="15.75" x14ac:dyDescent="0.3">
      <c r="A26" s="6">
        <v>42320</v>
      </c>
      <c r="B26" s="7">
        <f t="shared" si="0"/>
        <v>243031</v>
      </c>
      <c r="C26" s="8">
        <f>203136-2000</f>
        <v>201136</v>
      </c>
      <c r="D26" s="8">
        <v>26678</v>
      </c>
      <c r="E26" s="8">
        <v>10000</v>
      </c>
      <c r="F26" s="8">
        <v>0</v>
      </c>
      <c r="G26" s="8">
        <v>1046</v>
      </c>
      <c r="H26" s="8">
        <v>100</v>
      </c>
      <c r="I26" s="8">
        <v>0</v>
      </c>
      <c r="J26" s="8">
        <v>4071</v>
      </c>
      <c r="K26" s="8">
        <v>0</v>
      </c>
      <c r="L26" s="8"/>
      <c r="M26" s="8" t="s">
        <v>9</v>
      </c>
      <c r="N26" s="8">
        <f t="shared" si="2"/>
        <v>-1034</v>
      </c>
      <c r="O26" s="8">
        <f t="shared" si="1"/>
        <v>-0.5140800254554132</v>
      </c>
      <c r="P26" s="8"/>
      <c r="Q26" s="8"/>
      <c r="R26" s="8"/>
      <c r="S26" s="3"/>
      <c r="T26" s="8"/>
      <c r="U26" s="8"/>
      <c r="V26" s="8"/>
      <c r="W26" s="8"/>
    </row>
    <row r="27" spans="1:23" ht="15.75" x14ac:dyDescent="0.3">
      <c r="A27" s="6">
        <v>42321</v>
      </c>
      <c r="B27" s="11">
        <f t="shared" si="0"/>
        <v>238131</v>
      </c>
      <c r="C27" s="12">
        <v>196236</v>
      </c>
      <c r="D27" s="12">
        <v>26678</v>
      </c>
      <c r="E27" s="12">
        <v>10000</v>
      </c>
      <c r="F27" s="12">
        <v>0</v>
      </c>
      <c r="G27" s="12">
        <v>1046</v>
      </c>
      <c r="H27" s="12">
        <v>100</v>
      </c>
      <c r="I27" s="12">
        <v>0</v>
      </c>
      <c r="J27" s="12">
        <v>4071</v>
      </c>
      <c r="K27" s="12">
        <v>0</v>
      </c>
      <c r="L27" s="12"/>
      <c r="M27" s="12"/>
      <c r="N27" s="8">
        <f>C27-C26-2000</f>
        <v>-6900</v>
      </c>
      <c r="O27" s="8">
        <f t="shared" si="1"/>
        <v>-3.5161744022503516</v>
      </c>
      <c r="P27" s="8">
        <f>SUM(N23:N27)</f>
        <v>-522</v>
      </c>
      <c r="Q27" s="8"/>
      <c r="R27" s="8"/>
      <c r="S27" s="3">
        <f>SUM(N23:N27)/C22*100</f>
        <v>-0.26802493350722434</v>
      </c>
      <c r="T27" s="8"/>
      <c r="U27" s="8"/>
      <c r="V27" s="8"/>
      <c r="W27" s="8"/>
    </row>
    <row r="28" spans="1:23" ht="15.75" x14ac:dyDescent="0.3">
      <c r="A28" s="6">
        <v>42324</v>
      </c>
      <c r="B28" s="7">
        <f t="shared" si="0"/>
        <v>242485</v>
      </c>
      <c r="C28" s="8">
        <v>200590</v>
      </c>
      <c r="D28" s="8">
        <v>26678</v>
      </c>
      <c r="E28" s="8">
        <v>10000</v>
      </c>
      <c r="F28" s="8">
        <v>0</v>
      </c>
      <c r="G28" s="8">
        <v>1046</v>
      </c>
      <c r="H28" s="8">
        <v>100</v>
      </c>
      <c r="I28" s="8">
        <v>0</v>
      </c>
      <c r="J28" s="8">
        <v>4071</v>
      </c>
      <c r="K28" s="8">
        <v>0</v>
      </c>
      <c r="L28" s="8"/>
      <c r="M28" s="8"/>
      <c r="N28" s="8">
        <f>C28-C27</f>
        <v>4354</v>
      </c>
      <c r="O28" s="8">
        <f t="shared" si="1"/>
        <v>2.1705967396181265</v>
      </c>
      <c r="P28" s="8"/>
      <c r="Q28" s="8"/>
      <c r="R28" s="8"/>
      <c r="S28" s="3"/>
      <c r="T28" s="8"/>
      <c r="U28" s="8"/>
      <c r="V28" s="8"/>
      <c r="W28" s="8"/>
    </row>
    <row r="29" spans="1:23" ht="15.75" x14ac:dyDescent="0.3">
      <c r="A29" s="6">
        <v>42325</v>
      </c>
      <c r="B29" s="7">
        <f t="shared" si="0"/>
        <v>240115</v>
      </c>
      <c r="C29" s="8">
        <v>197366</v>
      </c>
      <c r="D29" s="8">
        <v>26678</v>
      </c>
      <c r="E29" s="8">
        <v>10000</v>
      </c>
      <c r="F29" s="8">
        <v>0</v>
      </c>
      <c r="G29" s="8">
        <v>0</v>
      </c>
      <c r="H29" s="8">
        <v>0</v>
      </c>
      <c r="I29" s="8">
        <v>0</v>
      </c>
      <c r="J29" s="8">
        <f>4071+2000</f>
        <v>6071</v>
      </c>
      <c r="K29" s="8">
        <v>0</v>
      </c>
      <c r="L29" s="8"/>
      <c r="M29" s="8" t="s">
        <v>41</v>
      </c>
      <c r="N29" s="8">
        <f>C29-C28+2000</f>
        <v>-1224</v>
      </c>
      <c r="O29" s="8">
        <f t="shared" si="1"/>
        <v>-0.62016760738931731</v>
      </c>
      <c r="P29" s="8"/>
      <c r="Q29" s="8"/>
      <c r="R29" s="8"/>
      <c r="S29" s="3"/>
      <c r="T29" s="8"/>
      <c r="U29" s="8"/>
      <c r="V29" s="8"/>
      <c r="W29" s="8"/>
    </row>
    <row r="30" spans="1:23" ht="15.75" x14ac:dyDescent="0.3">
      <c r="A30" s="6">
        <v>42326</v>
      </c>
      <c r="B30" s="7">
        <f t="shared" si="0"/>
        <v>225560</v>
      </c>
      <c r="C30" s="8">
        <v>192811</v>
      </c>
      <c r="D30" s="8">
        <v>26678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f>4071+2000</f>
        <v>6071</v>
      </c>
      <c r="K30" s="8">
        <v>0</v>
      </c>
      <c r="L30" s="8"/>
      <c r="M30" s="8"/>
      <c r="N30" s="8">
        <f>C30-C29</f>
        <v>-4555</v>
      </c>
      <c r="O30" s="8">
        <f t="shared" si="1"/>
        <v>-2.3624170820129557</v>
      </c>
      <c r="P30" s="8"/>
      <c r="Q30" s="8"/>
      <c r="R30" s="8"/>
      <c r="S30" s="3"/>
      <c r="T30" s="8"/>
      <c r="U30" s="8"/>
      <c r="V30" s="8"/>
      <c r="W30" s="8"/>
    </row>
    <row r="31" spans="1:23" ht="15.75" x14ac:dyDescent="0.3">
      <c r="A31" s="6">
        <v>42327</v>
      </c>
      <c r="B31" s="7">
        <f t="shared" si="0"/>
        <v>231558</v>
      </c>
      <c r="C31" s="8">
        <v>198809</v>
      </c>
      <c r="D31" s="8">
        <v>26678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f>4071+2000</f>
        <v>6071</v>
      </c>
      <c r="K31" s="8">
        <v>0</v>
      </c>
      <c r="L31" s="8"/>
      <c r="M31" s="8"/>
      <c r="N31" s="8">
        <f>C31-C30</f>
        <v>5998</v>
      </c>
      <c r="O31" s="8">
        <f t="shared" si="1"/>
        <v>3.0169660327248766</v>
      </c>
      <c r="P31" s="8"/>
      <c r="Q31" s="8"/>
      <c r="R31" s="8"/>
      <c r="S31" s="3"/>
      <c r="T31" s="8"/>
      <c r="U31" s="8"/>
      <c r="V31" s="8"/>
      <c r="W31" s="8"/>
    </row>
    <row r="32" spans="1:23" ht="15.75" x14ac:dyDescent="0.3">
      <c r="A32" s="6">
        <v>42328</v>
      </c>
      <c r="B32" s="11">
        <f t="shared" si="0"/>
        <v>235369</v>
      </c>
      <c r="C32" s="12">
        <v>202620</v>
      </c>
      <c r="D32" s="12">
        <v>26678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f>4071+2000</f>
        <v>6071</v>
      </c>
      <c r="K32" s="12">
        <v>0</v>
      </c>
      <c r="L32" s="12"/>
      <c r="M32" s="12"/>
      <c r="N32" s="8">
        <f>C32-C31</f>
        <v>3811</v>
      </c>
      <c r="O32" s="8">
        <f t="shared" si="1"/>
        <v>1.8808607245089328</v>
      </c>
      <c r="P32" s="8">
        <f>SUM(N28:N32)</f>
        <v>8384</v>
      </c>
      <c r="Q32" s="8"/>
      <c r="R32" s="8"/>
      <c r="S32" s="3">
        <f>P32/C27*100</f>
        <v>4.2724066939807166</v>
      </c>
      <c r="T32" s="8"/>
      <c r="U32" s="8"/>
      <c r="V32" s="8"/>
      <c r="W32" s="8"/>
    </row>
    <row r="33" spans="1:23" ht="15.75" x14ac:dyDescent="0.3">
      <c r="A33" s="6">
        <v>42331</v>
      </c>
      <c r="B33" s="14">
        <f t="shared" si="0"/>
        <v>236522</v>
      </c>
      <c r="C33" s="8">
        <v>203844</v>
      </c>
      <c r="D33" s="8">
        <v>26678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6000</v>
      </c>
      <c r="K33" s="8">
        <v>0</v>
      </c>
      <c r="L33" s="8"/>
      <c r="M33" s="8" t="s">
        <v>42</v>
      </c>
      <c r="N33" s="8">
        <f>C33-C32-2400</f>
        <v>-1176</v>
      </c>
      <c r="O33" s="8">
        <f t="shared" si="1"/>
        <v>-0.57691175604874312</v>
      </c>
      <c r="P33" s="8"/>
      <c r="Q33" s="8"/>
      <c r="R33" s="8"/>
      <c r="S33" s="3"/>
      <c r="T33" s="8"/>
      <c r="U33" s="8"/>
      <c r="V33" s="8"/>
      <c r="W33" s="8"/>
    </row>
    <row r="34" spans="1:23" ht="15.75" x14ac:dyDescent="0.3">
      <c r="A34" s="6">
        <v>42332</v>
      </c>
      <c r="B34" s="14">
        <f t="shared" ref="B34:B65" si="3">SUM(C34:K34)</f>
        <v>240642</v>
      </c>
      <c r="C34" s="8">
        <v>207964</v>
      </c>
      <c r="D34" s="8">
        <v>26678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6000</v>
      </c>
      <c r="K34" s="8">
        <v>0</v>
      </c>
      <c r="L34" s="8"/>
      <c r="M34" s="8"/>
      <c r="N34" s="8">
        <f>C34-C33</f>
        <v>4120</v>
      </c>
      <c r="O34" s="8">
        <f t="shared" si="1"/>
        <v>1.9811121155584619</v>
      </c>
      <c r="P34" s="8"/>
      <c r="Q34" s="8"/>
      <c r="R34" s="8"/>
      <c r="S34" s="3"/>
      <c r="T34" s="8"/>
      <c r="U34" s="8"/>
      <c r="V34" s="8"/>
      <c r="W34" s="8"/>
    </row>
    <row r="35" spans="1:23" ht="15.75" x14ac:dyDescent="0.3">
      <c r="A35" s="6">
        <v>42333</v>
      </c>
      <c r="B35" s="14">
        <f t="shared" si="3"/>
        <v>243642</v>
      </c>
      <c r="C35" s="8">
        <v>210964</v>
      </c>
      <c r="D35" s="8">
        <v>26678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6000</v>
      </c>
      <c r="K35" s="8">
        <v>0</v>
      </c>
      <c r="L35" s="8"/>
      <c r="M35" s="8"/>
      <c r="N35" s="8">
        <f>C35-C34</f>
        <v>3000</v>
      </c>
      <c r="O35" s="8">
        <f t="shared" si="1"/>
        <v>1.4220435714150281</v>
      </c>
      <c r="P35" s="8"/>
      <c r="Q35" s="8"/>
      <c r="R35" s="8"/>
      <c r="S35" s="3"/>
      <c r="T35" s="8"/>
      <c r="U35" s="8"/>
      <c r="V35" s="8"/>
      <c r="W35" s="8"/>
    </row>
    <row r="36" spans="1:23" ht="15.75" x14ac:dyDescent="0.3">
      <c r="A36" s="6">
        <v>42334</v>
      </c>
      <c r="B36" s="14">
        <f t="shared" si="3"/>
        <v>240614</v>
      </c>
      <c r="C36" s="8">
        <v>207936</v>
      </c>
      <c r="D36" s="8">
        <v>26678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6000</v>
      </c>
      <c r="K36" s="8">
        <v>0</v>
      </c>
      <c r="L36" s="8"/>
      <c r="M36" s="8" t="s">
        <v>10</v>
      </c>
      <c r="N36" s="8">
        <f>C36-C35+400</f>
        <v>-2628</v>
      </c>
      <c r="O36" s="8">
        <f t="shared" si="1"/>
        <v>-1.2638504155124655</v>
      </c>
      <c r="P36" s="8"/>
      <c r="Q36" s="8"/>
      <c r="R36" s="8"/>
      <c r="S36" s="3"/>
      <c r="T36" s="8"/>
      <c r="U36" s="8"/>
      <c r="V36" s="8"/>
      <c r="W36" s="8"/>
    </row>
    <row r="37" spans="1:23" s="13" customFormat="1" ht="15.75" x14ac:dyDescent="0.3">
      <c r="A37" s="15">
        <v>42335</v>
      </c>
      <c r="B37" s="16">
        <f t="shared" si="3"/>
        <v>225628</v>
      </c>
      <c r="C37" s="12">
        <v>192950</v>
      </c>
      <c r="D37" s="12">
        <v>26678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6000</v>
      </c>
      <c r="K37" s="12">
        <v>0</v>
      </c>
      <c r="L37" s="12"/>
      <c r="M37" s="12"/>
      <c r="N37" s="12">
        <f>C37-C36</f>
        <v>-14986</v>
      </c>
      <c r="O37" s="8">
        <f t="shared" si="1"/>
        <v>-7.7667789582793469</v>
      </c>
      <c r="P37" s="12">
        <f>SUM(N33:N37)</f>
        <v>-11670</v>
      </c>
      <c r="Q37" s="12"/>
      <c r="R37" s="12"/>
      <c r="S37" s="12">
        <f>P37/C32*100</f>
        <v>-5.7595498963577141</v>
      </c>
      <c r="T37" s="12"/>
      <c r="U37" s="12"/>
      <c r="V37" s="12"/>
      <c r="W37" s="12"/>
    </row>
    <row r="38" spans="1:23" ht="15.75" x14ac:dyDescent="0.3">
      <c r="A38" s="6">
        <v>42338</v>
      </c>
      <c r="B38" s="14">
        <f t="shared" si="3"/>
        <v>247376</v>
      </c>
      <c r="C38" s="8">
        <v>214698</v>
      </c>
      <c r="D38" s="8">
        <v>26678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6000</v>
      </c>
      <c r="K38" s="8">
        <v>0</v>
      </c>
      <c r="L38" s="8"/>
      <c r="M38" s="8" t="s">
        <v>11</v>
      </c>
      <c r="N38" s="8">
        <f>C38-C37-20000</f>
        <v>1748</v>
      </c>
      <c r="O38" s="8">
        <f t="shared" si="1"/>
        <v>0.81416687626340245</v>
      </c>
      <c r="P38" s="8"/>
      <c r="Q38" s="8"/>
      <c r="R38" s="8"/>
      <c r="S38" s="3"/>
      <c r="T38" s="8"/>
      <c r="U38" s="8"/>
      <c r="V38" s="8"/>
      <c r="W38" s="8"/>
    </row>
    <row r="39" spans="1:23" ht="15.75" x14ac:dyDescent="0.3">
      <c r="A39" s="6">
        <v>42339</v>
      </c>
      <c r="B39" s="14">
        <f t="shared" si="3"/>
        <v>246759</v>
      </c>
      <c r="C39" s="8">
        <v>214081</v>
      </c>
      <c r="D39" s="8">
        <v>26678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6000</v>
      </c>
      <c r="K39" s="8">
        <v>0</v>
      </c>
      <c r="L39" s="8"/>
      <c r="M39" s="8" t="s">
        <v>12</v>
      </c>
      <c r="N39" s="8">
        <f>C39-C38-2900</f>
        <v>-3517</v>
      </c>
      <c r="O39" s="8">
        <f t="shared" si="1"/>
        <v>-1.6428361227759587</v>
      </c>
      <c r="P39" s="8"/>
      <c r="Q39" s="8"/>
      <c r="R39" s="8"/>
      <c r="S39" s="3"/>
      <c r="T39" s="8"/>
      <c r="U39" s="8"/>
      <c r="V39" s="8"/>
      <c r="W39" s="8"/>
    </row>
    <row r="40" spans="1:23" ht="15.75" x14ac:dyDescent="0.3">
      <c r="A40" s="6">
        <v>42340</v>
      </c>
      <c r="B40" s="14">
        <f t="shared" si="3"/>
        <v>245234</v>
      </c>
      <c r="C40" s="8">
        <v>212556</v>
      </c>
      <c r="D40" s="8">
        <v>26678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6000</v>
      </c>
      <c r="K40" s="8">
        <v>0</v>
      </c>
      <c r="L40" s="8"/>
      <c r="M40" s="8"/>
      <c r="N40" s="8">
        <f>C40-C39</f>
        <v>-1525</v>
      </c>
      <c r="O40" s="8">
        <f t="shared" si="1"/>
        <v>-0.71745798754210655</v>
      </c>
      <c r="P40" s="8"/>
      <c r="Q40" s="8"/>
      <c r="R40" s="8"/>
      <c r="S40" s="3"/>
      <c r="T40" s="8"/>
      <c r="U40" s="8"/>
      <c r="V40" s="8"/>
      <c r="W40" s="8"/>
    </row>
    <row r="41" spans="1:23" ht="15.75" x14ac:dyDescent="0.3">
      <c r="A41" s="6">
        <v>42341</v>
      </c>
      <c r="B41" s="14">
        <f t="shared" si="3"/>
        <v>249261</v>
      </c>
      <c r="C41" s="8">
        <v>216583</v>
      </c>
      <c r="D41" s="8">
        <v>26678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6000</v>
      </c>
      <c r="K41" s="8">
        <v>0</v>
      </c>
      <c r="L41" s="8"/>
      <c r="M41" s="8"/>
      <c r="N41" s="8">
        <f>C41-C40</f>
        <v>4027</v>
      </c>
      <c r="O41" s="8">
        <f t="shared" si="1"/>
        <v>1.8593333733487853</v>
      </c>
      <c r="P41" s="8"/>
      <c r="Q41" s="8"/>
      <c r="R41" s="8"/>
      <c r="S41" s="3"/>
      <c r="T41" s="8"/>
      <c r="U41" s="8"/>
      <c r="V41" s="8"/>
      <c r="W41" s="8"/>
    </row>
    <row r="42" spans="1:23" s="13" customFormat="1" ht="15.75" x14ac:dyDescent="0.3">
      <c r="A42" s="15">
        <v>42342</v>
      </c>
      <c r="B42" s="16">
        <f t="shared" si="3"/>
        <v>247260</v>
      </c>
      <c r="C42" s="12">
        <v>214582</v>
      </c>
      <c r="D42" s="12">
        <v>26678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6000</v>
      </c>
      <c r="K42" s="12">
        <v>0</v>
      </c>
      <c r="L42" s="12"/>
      <c r="M42" s="12"/>
      <c r="N42" s="12">
        <f>C42-C41</f>
        <v>-2001</v>
      </c>
      <c r="O42" s="8">
        <f t="shared" si="1"/>
        <v>-0.93251064860985555</v>
      </c>
      <c r="P42" s="12">
        <f>SUM(N38:N42)</f>
        <v>-1268</v>
      </c>
      <c r="Q42" s="12"/>
      <c r="R42" s="12"/>
      <c r="S42" s="12"/>
      <c r="T42" s="12"/>
      <c r="U42" s="12"/>
      <c r="V42" s="12"/>
      <c r="W42" s="12"/>
    </row>
    <row r="43" spans="1:23" ht="15.75" x14ac:dyDescent="0.3">
      <c r="A43" s="6">
        <v>42345</v>
      </c>
      <c r="B43" s="8">
        <f t="shared" si="3"/>
        <v>252236</v>
      </c>
      <c r="C43" s="8">
        <v>199558</v>
      </c>
      <c r="D43" s="8">
        <v>26678</v>
      </c>
      <c r="E43" s="8">
        <v>0</v>
      </c>
      <c r="F43" s="8">
        <v>0</v>
      </c>
      <c r="G43" s="8">
        <v>20000</v>
      </c>
      <c r="H43" s="8">
        <v>0</v>
      </c>
      <c r="I43" s="8">
        <v>0</v>
      </c>
      <c r="J43" s="8">
        <v>6000</v>
      </c>
      <c r="K43" s="8">
        <v>0</v>
      </c>
      <c r="L43" s="8"/>
      <c r="M43" s="8" t="s">
        <v>13</v>
      </c>
      <c r="N43" s="12">
        <f>C43-C42+20000</f>
        <v>4976</v>
      </c>
      <c r="O43" s="8">
        <f t="shared" si="1"/>
        <v>2.4935106585554077</v>
      </c>
      <c r="P43" s="8"/>
      <c r="Q43" s="8"/>
      <c r="R43" s="8"/>
      <c r="S43" s="3"/>
      <c r="T43" s="8"/>
      <c r="U43" s="8"/>
      <c r="V43" s="8"/>
      <c r="W43" s="8"/>
    </row>
    <row r="44" spans="1:23" ht="15.75" x14ac:dyDescent="0.3">
      <c r="A44" s="6">
        <v>42346</v>
      </c>
      <c r="B44" s="8">
        <f t="shared" si="3"/>
        <v>245619</v>
      </c>
      <c r="C44" s="8">
        <v>192941</v>
      </c>
      <c r="D44" s="8">
        <v>26678</v>
      </c>
      <c r="E44" s="8">
        <v>0</v>
      </c>
      <c r="F44" s="8">
        <v>0</v>
      </c>
      <c r="G44" s="8">
        <v>20000</v>
      </c>
      <c r="H44" s="8">
        <v>0</v>
      </c>
      <c r="I44" s="8">
        <v>0</v>
      </c>
      <c r="J44" s="8">
        <v>6000</v>
      </c>
      <c r="K44" s="8">
        <v>0</v>
      </c>
      <c r="L44" s="8"/>
      <c r="M44" s="8"/>
      <c r="N44" s="12">
        <f t="shared" ref="N44:N50" si="4">C44-C43</f>
        <v>-6617</v>
      </c>
      <c r="O44" s="8">
        <f t="shared" si="1"/>
        <v>-3.4295458197065427</v>
      </c>
      <c r="P44" s="8"/>
      <c r="Q44" s="8"/>
      <c r="R44" s="8"/>
      <c r="S44" s="3"/>
      <c r="T44" s="8"/>
      <c r="U44" s="8"/>
      <c r="V44" s="8"/>
      <c r="W44" s="8"/>
    </row>
    <row r="45" spans="1:23" ht="15.75" x14ac:dyDescent="0.3">
      <c r="A45" s="6">
        <v>42347</v>
      </c>
      <c r="B45" s="8">
        <f t="shared" si="3"/>
        <v>244433</v>
      </c>
      <c r="C45" s="8">
        <v>191755</v>
      </c>
      <c r="D45" s="8">
        <v>26678</v>
      </c>
      <c r="E45" s="8">
        <v>0</v>
      </c>
      <c r="F45" s="8">
        <v>0</v>
      </c>
      <c r="G45" s="8">
        <v>20000</v>
      </c>
      <c r="H45" s="8">
        <v>0</v>
      </c>
      <c r="I45" s="8">
        <v>0</v>
      </c>
      <c r="J45" s="8">
        <v>6000</v>
      </c>
      <c r="K45" s="8">
        <v>0</v>
      </c>
      <c r="L45" s="8"/>
      <c r="M45" s="8"/>
      <c r="N45" s="12">
        <f t="shared" si="4"/>
        <v>-1186</v>
      </c>
      <c r="O45" s="8">
        <f t="shared" si="1"/>
        <v>-0.61849756199316841</v>
      </c>
      <c r="P45" s="8"/>
      <c r="Q45" s="8"/>
      <c r="R45" s="8"/>
      <c r="S45" s="3"/>
      <c r="T45" s="8"/>
      <c r="U45" s="8"/>
      <c r="V45" s="8"/>
      <c r="W45" s="8"/>
    </row>
    <row r="46" spans="1:23" ht="15.75" x14ac:dyDescent="0.3">
      <c r="A46" s="6">
        <v>42348</v>
      </c>
      <c r="B46" s="8">
        <f t="shared" si="3"/>
        <v>245228</v>
      </c>
      <c r="C46" s="8">
        <v>192550</v>
      </c>
      <c r="D46" s="8">
        <v>26678</v>
      </c>
      <c r="E46" s="8">
        <v>0</v>
      </c>
      <c r="F46" s="8">
        <v>0</v>
      </c>
      <c r="G46" s="8">
        <v>20000</v>
      </c>
      <c r="H46" s="8">
        <v>0</v>
      </c>
      <c r="I46" s="8">
        <v>0</v>
      </c>
      <c r="J46" s="8">
        <v>6000</v>
      </c>
      <c r="K46" s="8">
        <v>0</v>
      </c>
      <c r="L46" s="8"/>
      <c r="M46" s="8"/>
      <c r="N46" s="12">
        <f t="shared" si="4"/>
        <v>795</v>
      </c>
      <c r="O46" s="8">
        <f t="shared" si="1"/>
        <v>0.41287977148792521</v>
      </c>
      <c r="P46" s="8"/>
      <c r="Q46" s="8"/>
      <c r="R46" s="8"/>
      <c r="S46" s="3"/>
      <c r="T46" s="8"/>
      <c r="U46" s="8"/>
      <c r="V46" s="8"/>
      <c r="W46" s="8"/>
    </row>
    <row r="47" spans="1:23" s="13" customFormat="1" ht="15.75" x14ac:dyDescent="0.3">
      <c r="A47" s="15">
        <v>42349</v>
      </c>
      <c r="B47" s="12">
        <f t="shared" si="3"/>
        <v>242172</v>
      </c>
      <c r="C47" s="12">
        <v>189494</v>
      </c>
      <c r="D47" s="12">
        <v>26678</v>
      </c>
      <c r="E47" s="12">
        <v>0</v>
      </c>
      <c r="F47" s="12">
        <v>0</v>
      </c>
      <c r="G47" s="12">
        <v>20000</v>
      </c>
      <c r="H47" s="12">
        <v>0</v>
      </c>
      <c r="I47" s="12">
        <v>0</v>
      </c>
      <c r="J47" s="12">
        <v>6000</v>
      </c>
      <c r="K47" s="12">
        <v>0</v>
      </c>
      <c r="L47" s="12"/>
      <c r="M47" s="12"/>
      <c r="N47" s="12">
        <f t="shared" si="4"/>
        <v>-3056</v>
      </c>
      <c r="O47" s="12">
        <f t="shared" si="1"/>
        <v>-1.6127159698987832</v>
      </c>
      <c r="P47" s="12">
        <f>SUM(N43:N47)</f>
        <v>-5088</v>
      </c>
      <c r="Q47" s="12"/>
      <c r="R47" s="12"/>
      <c r="S47" s="12"/>
      <c r="T47" s="12"/>
      <c r="U47" s="12"/>
      <c r="V47" s="12"/>
      <c r="W47" s="12"/>
    </row>
    <row r="48" spans="1:23" ht="15.75" x14ac:dyDescent="0.3">
      <c r="A48" s="6">
        <v>42352</v>
      </c>
      <c r="B48" s="8">
        <f t="shared" si="3"/>
        <v>245516</v>
      </c>
      <c r="C48" s="8">
        <v>192838</v>
      </c>
      <c r="D48" s="8">
        <v>26678</v>
      </c>
      <c r="E48" s="8">
        <v>0</v>
      </c>
      <c r="F48" s="8">
        <v>0</v>
      </c>
      <c r="G48" s="8">
        <v>20000</v>
      </c>
      <c r="H48" s="8">
        <v>0</v>
      </c>
      <c r="I48" s="8">
        <v>0</v>
      </c>
      <c r="J48" s="8">
        <v>6000</v>
      </c>
      <c r="K48" s="8">
        <v>0</v>
      </c>
      <c r="L48" s="8"/>
      <c r="M48" s="8" t="s">
        <v>43</v>
      </c>
      <c r="N48" s="12">
        <f t="shared" si="4"/>
        <v>3344</v>
      </c>
      <c r="O48" s="12">
        <f t="shared" si="1"/>
        <v>1.7340980512139721</v>
      </c>
      <c r="P48" s="8"/>
      <c r="Q48" s="8"/>
      <c r="R48" s="8"/>
      <c r="S48" s="3"/>
      <c r="T48" s="8"/>
      <c r="U48" s="8"/>
      <c r="V48" s="8"/>
      <c r="W48" s="8"/>
    </row>
    <row r="49" spans="1:23" ht="15.75" x14ac:dyDescent="0.3">
      <c r="A49" s="6">
        <v>42353</v>
      </c>
      <c r="B49" s="8">
        <f t="shared" si="3"/>
        <v>228256</v>
      </c>
      <c r="C49" s="8">
        <v>195578</v>
      </c>
      <c r="D49" s="8">
        <v>26678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6000</v>
      </c>
      <c r="K49" s="8">
        <v>0</v>
      </c>
      <c r="L49" s="8"/>
      <c r="M49" s="8"/>
      <c r="N49" s="12">
        <f t="shared" si="4"/>
        <v>2740</v>
      </c>
      <c r="O49" s="12">
        <f t="shared" si="1"/>
        <v>1.4009755698493696</v>
      </c>
      <c r="P49" s="8"/>
      <c r="Q49" s="8"/>
      <c r="R49" s="8"/>
      <c r="S49" s="3"/>
      <c r="T49" s="8"/>
      <c r="U49" s="8"/>
      <c r="V49" s="8"/>
      <c r="W49" s="8"/>
    </row>
    <row r="50" spans="1:23" ht="15.75" x14ac:dyDescent="0.3">
      <c r="A50" s="6">
        <v>42354</v>
      </c>
      <c r="B50" s="8">
        <f t="shared" si="3"/>
        <v>228949</v>
      </c>
      <c r="C50" s="8">
        <v>196271</v>
      </c>
      <c r="D50" s="8">
        <v>26678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6000</v>
      </c>
      <c r="K50" s="8">
        <v>0</v>
      </c>
      <c r="L50" s="8"/>
      <c r="M50" s="8" t="s">
        <v>44</v>
      </c>
      <c r="N50" s="12">
        <f t="shared" si="4"/>
        <v>693</v>
      </c>
      <c r="O50" s="12">
        <f t="shared" si="1"/>
        <v>0.35308323695298849</v>
      </c>
      <c r="P50" s="8"/>
      <c r="Q50" s="8"/>
      <c r="R50" s="8"/>
      <c r="S50" s="3"/>
      <c r="T50" s="8"/>
      <c r="U50" s="8"/>
      <c r="V50" s="8"/>
      <c r="W50" s="8"/>
    </row>
    <row r="51" spans="1:23" ht="15.75" x14ac:dyDescent="0.3">
      <c r="A51" s="6">
        <v>42355</v>
      </c>
      <c r="B51" s="8">
        <f t="shared" si="3"/>
        <v>232534</v>
      </c>
      <c r="C51" s="8">
        <v>199856</v>
      </c>
      <c r="D51" s="8">
        <v>26678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6000</v>
      </c>
      <c r="K51" s="8">
        <v>0</v>
      </c>
      <c r="L51" s="8"/>
      <c r="M51" s="8" t="s">
        <v>45</v>
      </c>
      <c r="N51" s="12">
        <f>C51-C50+900</f>
        <v>4485</v>
      </c>
      <c r="O51" s="12">
        <f t="shared" si="1"/>
        <v>2.2441157633496118</v>
      </c>
      <c r="P51" s="8"/>
      <c r="Q51" s="8"/>
      <c r="R51" s="8"/>
      <c r="S51" s="3"/>
      <c r="T51" s="8"/>
      <c r="U51" s="8"/>
      <c r="V51" s="8"/>
      <c r="W51" s="8"/>
    </row>
    <row r="52" spans="1:23" ht="15.75" x14ac:dyDescent="0.3">
      <c r="A52" s="6">
        <v>42356</v>
      </c>
      <c r="B52" s="8">
        <f t="shared" si="3"/>
        <v>230971</v>
      </c>
      <c r="C52" s="8">
        <v>198293</v>
      </c>
      <c r="D52" s="8">
        <v>26678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6000</v>
      </c>
      <c r="K52" s="8">
        <v>0</v>
      </c>
      <c r="L52" s="8"/>
      <c r="M52" s="8"/>
      <c r="N52" s="12">
        <f t="shared" ref="N52:N71" si="5">C52-C51</f>
        <v>-1563</v>
      </c>
      <c r="O52" s="12">
        <f t="shared" si="1"/>
        <v>-0.78822752189941159</v>
      </c>
      <c r="P52" s="8">
        <f>SUM(N48:N52)</f>
        <v>9699</v>
      </c>
      <c r="Q52" s="8"/>
      <c r="R52" s="8"/>
      <c r="S52" s="3"/>
      <c r="T52" s="8"/>
      <c r="U52" s="8"/>
      <c r="V52" s="8"/>
      <c r="W52" s="8"/>
    </row>
    <row r="53" spans="1:23" ht="15.75" x14ac:dyDescent="0.3">
      <c r="A53" s="6">
        <v>42359</v>
      </c>
      <c r="B53" s="8">
        <f t="shared" si="3"/>
        <v>229980</v>
      </c>
      <c r="C53" s="8">
        <v>197302</v>
      </c>
      <c r="D53" s="8">
        <v>26678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6000</v>
      </c>
      <c r="K53" s="8">
        <v>0</v>
      </c>
      <c r="L53" s="8"/>
      <c r="M53" s="8"/>
      <c r="N53" s="12">
        <f t="shared" si="5"/>
        <v>-991</v>
      </c>
      <c r="O53" s="12">
        <f t="shared" si="1"/>
        <v>-0.50227569918196469</v>
      </c>
      <c r="P53" s="8"/>
      <c r="Q53" s="8"/>
      <c r="R53" s="8"/>
      <c r="S53" s="3"/>
      <c r="T53" s="8"/>
      <c r="U53" s="8"/>
      <c r="V53" s="8"/>
      <c r="W53" s="8"/>
    </row>
    <row r="54" spans="1:23" ht="15.75" x14ac:dyDescent="0.3">
      <c r="A54" s="6">
        <v>42360</v>
      </c>
      <c r="B54" s="8">
        <f t="shared" si="3"/>
        <v>232327</v>
      </c>
      <c r="C54" s="8">
        <f>245649-46000</f>
        <v>199649</v>
      </c>
      <c r="D54" s="8">
        <v>26678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6000</v>
      </c>
      <c r="K54" s="8">
        <v>0</v>
      </c>
      <c r="L54" s="8"/>
      <c r="M54" s="8" t="s">
        <v>46</v>
      </c>
      <c r="N54" s="12">
        <f t="shared" si="5"/>
        <v>2347</v>
      </c>
      <c r="O54" s="12">
        <f t="shared" si="1"/>
        <v>1.175563113263778</v>
      </c>
      <c r="P54" s="8"/>
      <c r="Q54" s="8"/>
      <c r="R54" s="8"/>
      <c r="S54" s="3"/>
      <c r="T54" s="8"/>
      <c r="U54" s="8"/>
      <c r="V54" s="8"/>
      <c r="W54" s="8"/>
    </row>
    <row r="55" spans="1:23" ht="15.75" x14ac:dyDescent="0.3">
      <c r="A55" s="6">
        <v>42361</v>
      </c>
      <c r="B55" s="8">
        <f t="shared" si="3"/>
        <v>227500</v>
      </c>
      <c r="C55" s="8">
        <f>240822-46000</f>
        <v>194822</v>
      </c>
      <c r="D55" s="8">
        <v>26678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6000</v>
      </c>
      <c r="K55" s="8">
        <v>0</v>
      </c>
      <c r="L55" s="8"/>
      <c r="M55" s="8"/>
      <c r="N55" s="12">
        <f t="shared" si="5"/>
        <v>-4827</v>
      </c>
      <c r="O55" s="12">
        <f t="shared" si="1"/>
        <v>-2.4776462617158228</v>
      </c>
      <c r="P55" s="8"/>
      <c r="Q55" s="8"/>
      <c r="R55" s="8"/>
      <c r="S55" s="3"/>
      <c r="T55" s="8"/>
      <c r="U55" s="8"/>
      <c r="V55" s="8"/>
      <c r="W55" s="8"/>
    </row>
    <row r="56" spans="1:23" ht="15.75" x14ac:dyDescent="0.3">
      <c r="A56" s="6">
        <v>42362</v>
      </c>
      <c r="B56" s="8">
        <f t="shared" si="3"/>
        <v>227015</v>
      </c>
      <c r="C56" s="8">
        <f>240337-46000</f>
        <v>194337</v>
      </c>
      <c r="D56" s="8">
        <v>26678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6000</v>
      </c>
      <c r="K56" s="8">
        <v>0</v>
      </c>
      <c r="L56" s="8"/>
      <c r="M56" s="8"/>
      <c r="N56" s="12">
        <f t="shared" si="5"/>
        <v>-485</v>
      </c>
      <c r="O56" s="12">
        <f t="shared" si="1"/>
        <v>-0.24956647473203764</v>
      </c>
      <c r="P56" s="8"/>
      <c r="Q56" s="8"/>
      <c r="R56" s="8"/>
      <c r="S56" s="3"/>
      <c r="T56" s="8"/>
      <c r="U56" s="8"/>
      <c r="V56" s="8"/>
      <c r="W56" s="8"/>
    </row>
    <row r="57" spans="1:23" ht="15.75" x14ac:dyDescent="0.3">
      <c r="A57" s="6">
        <v>42363</v>
      </c>
      <c r="B57" s="8">
        <f t="shared" si="3"/>
        <v>227709</v>
      </c>
      <c r="C57" s="8">
        <f>240031-46000+1000</f>
        <v>195031</v>
      </c>
      <c r="D57" s="8">
        <v>26678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6000</v>
      </c>
      <c r="K57" s="8">
        <v>0</v>
      </c>
      <c r="L57" s="8"/>
      <c r="M57" s="8" t="s">
        <v>47</v>
      </c>
      <c r="N57" s="12">
        <f t="shared" si="5"/>
        <v>694</v>
      </c>
      <c r="O57" s="12">
        <f t="shared" si="1"/>
        <v>0.35584086632381517</v>
      </c>
      <c r="P57" s="8">
        <f>SUM(N53:N57)</f>
        <v>-3262</v>
      </c>
      <c r="Q57" s="8"/>
      <c r="R57" s="8"/>
      <c r="S57" s="3"/>
      <c r="T57" s="8"/>
      <c r="U57" s="8"/>
      <c r="V57" s="8"/>
      <c r="W57" s="8"/>
    </row>
    <row r="58" spans="1:23" ht="15.75" x14ac:dyDescent="0.3">
      <c r="A58" s="6">
        <v>42366</v>
      </c>
      <c r="B58" s="8">
        <f t="shared" si="3"/>
        <v>220823</v>
      </c>
      <c r="C58" s="8">
        <f>233145-46000+1000</f>
        <v>188145</v>
      </c>
      <c r="D58" s="8">
        <v>26678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6000</v>
      </c>
      <c r="K58" s="8">
        <v>0</v>
      </c>
      <c r="L58" s="8"/>
      <c r="M58" s="8"/>
      <c r="N58" s="12">
        <f t="shared" si="5"/>
        <v>-6886</v>
      </c>
      <c r="O58" s="12">
        <f t="shared" si="1"/>
        <v>-3.6599431289696773</v>
      </c>
      <c r="P58" s="8"/>
      <c r="Q58" s="8"/>
      <c r="R58" s="8"/>
      <c r="S58" s="3"/>
      <c r="T58" s="8"/>
      <c r="U58" s="8"/>
      <c r="V58" s="8"/>
      <c r="W58" s="8"/>
    </row>
    <row r="59" spans="1:23" ht="15.75" x14ac:dyDescent="0.3">
      <c r="A59" s="6">
        <v>42367</v>
      </c>
      <c r="B59" s="8">
        <f t="shared" si="3"/>
        <v>224069</v>
      </c>
      <c r="C59" s="8">
        <f>236391-46000+1000</f>
        <v>191391</v>
      </c>
      <c r="D59" s="8">
        <v>26678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6000</v>
      </c>
      <c r="K59" s="8">
        <v>0</v>
      </c>
      <c r="L59" s="8"/>
      <c r="M59" s="8"/>
      <c r="N59" s="12">
        <f t="shared" si="5"/>
        <v>3246</v>
      </c>
      <c r="O59" s="12">
        <f t="shared" si="1"/>
        <v>1.6960045143188551</v>
      </c>
      <c r="P59" s="8"/>
      <c r="Q59" s="8"/>
      <c r="R59" s="8"/>
      <c r="S59" s="3"/>
      <c r="T59" s="8"/>
      <c r="U59" s="8"/>
      <c r="V59" s="8"/>
      <c r="W59" s="8"/>
    </row>
    <row r="60" spans="1:23" ht="15.75" x14ac:dyDescent="0.3">
      <c r="A60" s="6">
        <v>42368</v>
      </c>
      <c r="B60" s="8">
        <f t="shared" si="3"/>
        <v>227723</v>
      </c>
      <c r="C60" s="8">
        <f>235045-46000+1000+5000</f>
        <v>195045</v>
      </c>
      <c r="D60" s="8">
        <v>26678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6000</v>
      </c>
      <c r="K60" s="8">
        <v>0</v>
      </c>
      <c r="L60" s="8"/>
      <c r="M60" s="8"/>
      <c r="N60" s="12">
        <f t="shared" si="5"/>
        <v>3654</v>
      </c>
      <c r="O60" s="12">
        <f t="shared" si="1"/>
        <v>1.8734138275782513</v>
      </c>
      <c r="P60" s="8"/>
      <c r="Q60" s="8"/>
      <c r="R60" s="8"/>
      <c r="S60" s="3"/>
      <c r="T60" s="8"/>
      <c r="U60" s="8"/>
      <c r="V60" s="8"/>
      <c r="W60" s="8"/>
    </row>
    <row r="61" spans="1:23" ht="15.75" x14ac:dyDescent="0.3">
      <c r="A61" s="6">
        <v>42369</v>
      </c>
      <c r="B61" s="8">
        <f t="shared" si="3"/>
        <v>223219</v>
      </c>
      <c r="C61" s="8">
        <f>225541-46000+1000+5000+5000</f>
        <v>190541</v>
      </c>
      <c r="D61" s="8">
        <v>26678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6000</v>
      </c>
      <c r="K61" s="8">
        <v>0</v>
      </c>
      <c r="L61" s="8"/>
      <c r="M61" s="8"/>
      <c r="N61" s="12">
        <f t="shared" si="5"/>
        <v>-4504</v>
      </c>
      <c r="O61" s="12">
        <f t="shared" si="1"/>
        <v>-2.3637957185067782</v>
      </c>
      <c r="P61" s="8">
        <f>SUM(N58:N61)</f>
        <v>-4490</v>
      </c>
      <c r="Q61" s="8"/>
      <c r="R61" s="8"/>
      <c r="S61" s="3"/>
      <c r="T61" s="8"/>
      <c r="U61" s="8"/>
      <c r="V61" s="8"/>
      <c r="W61" s="8"/>
    </row>
    <row r="62" spans="1:23" ht="15.75" x14ac:dyDescent="0.3">
      <c r="A62" s="6">
        <v>42373</v>
      </c>
      <c r="B62" s="8">
        <f t="shared" si="3"/>
        <v>205546</v>
      </c>
      <c r="C62" s="8">
        <f>212868-46000+1000+5000+5000-5000</f>
        <v>172868</v>
      </c>
      <c r="D62" s="8">
        <v>26678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6000</v>
      </c>
      <c r="K62" s="8">
        <v>0</v>
      </c>
      <c r="L62" s="8"/>
      <c r="M62" s="8" t="s">
        <v>14</v>
      </c>
      <c r="N62" s="12">
        <f t="shared" si="5"/>
        <v>-17673</v>
      </c>
      <c r="O62" s="12">
        <f t="shared" si="1"/>
        <v>-10.223407455399496</v>
      </c>
      <c r="P62" s="8"/>
      <c r="Q62" s="8"/>
      <c r="R62" s="8"/>
      <c r="S62" s="3"/>
      <c r="T62" s="8"/>
      <c r="U62" s="8"/>
      <c r="V62" s="8"/>
      <c r="W62" s="8"/>
    </row>
    <row r="63" spans="1:23" ht="15.75" x14ac:dyDescent="0.3">
      <c r="A63" s="6">
        <v>42374</v>
      </c>
      <c r="B63" s="8">
        <f t="shared" si="3"/>
        <v>202908</v>
      </c>
      <c r="C63" s="8">
        <f>201230-31000</f>
        <v>170230</v>
      </c>
      <c r="D63" s="8">
        <v>26678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6000</v>
      </c>
      <c r="K63" s="8">
        <v>0</v>
      </c>
      <c r="L63" s="8"/>
      <c r="M63" s="8"/>
      <c r="N63" s="12">
        <f t="shared" si="5"/>
        <v>-2638</v>
      </c>
      <c r="O63" s="12">
        <f t="shared" si="1"/>
        <v>-1.5496680961052693</v>
      </c>
      <c r="P63" s="8"/>
      <c r="Q63" s="8"/>
      <c r="R63" s="8"/>
      <c r="S63" s="3"/>
      <c r="T63" s="8"/>
      <c r="U63" s="8"/>
      <c r="V63" s="8"/>
      <c r="W63" s="8"/>
    </row>
    <row r="64" spans="1:23" ht="15.75" x14ac:dyDescent="0.3">
      <c r="A64" s="6">
        <v>42375</v>
      </c>
      <c r="B64" s="8">
        <f t="shared" si="3"/>
        <v>208036</v>
      </c>
      <c r="C64" s="8">
        <f>206358-31000</f>
        <v>175358</v>
      </c>
      <c r="D64" s="8">
        <v>26678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6000</v>
      </c>
      <c r="K64" s="8">
        <v>0</v>
      </c>
      <c r="L64" s="8"/>
      <c r="M64" s="8"/>
      <c r="N64" s="12">
        <f t="shared" si="5"/>
        <v>5128</v>
      </c>
      <c r="O64" s="12">
        <f t="shared" si="1"/>
        <v>2.9243034249934423</v>
      </c>
      <c r="P64" s="8"/>
      <c r="Q64" s="8"/>
      <c r="R64" s="8"/>
      <c r="S64" s="3"/>
      <c r="T64" s="8"/>
      <c r="U64" s="8"/>
      <c r="V64" s="8"/>
      <c r="W64" s="8"/>
    </row>
    <row r="65" spans="1:23" ht="15.75" x14ac:dyDescent="0.3">
      <c r="A65" s="6">
        <v>42376</v>
      </c>
      <c r="B65" s="8">
        <f t="shared" si="3"/>
        <v>190478</v>
      </c>
      <c r="C65" s="8">
        <f>188800-31000</f>
        <v>157800</v>
      </c>
      <c r="D65" s="8">
        <v>26678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6000</v>
      </c>
      <c r="K65" s="8">
        <v>0</v>
      </c>
      <c r="L65" s="8"/>
      <c r="M65" s="8"/>
      <c r="N65" s="12">
        <f t="shared" si="5"/>
        <v>-17558</v>
      </c>
      <c r="O65" s="12">
        <f t="shared" si="1"/>
        <v>-11.126742712294044</v>
      </c>
      <c r="P65" s="8"/>
      <c r="Q65" s="8"/>
      <c r="R65" s="8"/>
      <c r="S65" s="3"/>
      <c r="T65" s="8"/>
      <c r="U65" s="8"/>
      <c r="V65" s="8"/>
      <c r="W65" s="8"/>
    </row>
    <row r="66" spans="1:23" ht="15.75" x14ac:dyDescent="0.3">
      <c r="A66" s="6">
        <v>42377</v>
      </c>
      <c r="B66" s="8">
        <f t="shared" ref="B66:B86" si="6">SUM(C66:K66)</f>
        <v>187678</v>
      </c>
      <c r="C66" s="8">
        <f>186000-31000</f>
        <v>155000</v>
      </c>
      <c r="D66" s="8">
        <v>26678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6000</v>
      </c>
      <c r="K66" s="8">
        <v>0</v>
      </c>
      <c r="L66" s="8"/>
      <c r="M66" s="8"/>
      <c r="N66" s="12">
        <f t="shared" si="5"/>
        <v>-2800</v>
      </c>
      <c r="O66" s="12">
        <f t="shared" ref="O66:O129" si="7">N66/C66*100</f>
        <v>-1.806451612903226</v>
      </c>
      <c r="P66" s="8">
        <f>SUM(N62:N66)</f>
        <v>-35541</v>
      </c>
      <c r="Q66" s="8"/>
      <c r="R66" s="8"/>
      <c r="S66" s="3"/>
      <c r="T66" s="8"/>
      <c r="U66" s="8"/>
      <c r="V66" s="8"/>
      <c r="W66" s="8"/>
    </row>
    <row r="67" spans="1:23" ht="15.75" x14ac:dyDescent="0.3">
      <c r="A67" s="6">
        <v>42380</v>
      </c>
      <c r="B67" s="8">
        <f t="shared" si="6"/>
        <v>169630</v>
      </c>
      <c r="C67" s="8">
        <f>167952-31000</f>
        <v>136952</v>
      </c>
      <c r="D67" s="8">
        <v>26678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6000</v>
      </c>
      <c r="K67" s="8">
        <v>0</v>
      </c>
      <c r="L67" s="8"/>
      <c r="M67" s="8"/>
      <c r="N67" s="12">
        <f t="shared" si="5"/>
        <v>-18048</v>
      </c>
      <c r="O67" s="12">
        <f t="shared" si="7"/>
        <v>-13.178339856300017</v>
      </c>
      <c r="P67" s="8"/>
      <c r="Q67" s="8"/>
      <c r="R67" s="8"/>
      <c r="S67" s="3"/>
      <c r="T67" s="8"/>
      <c r="U67" s="8"/>
      <c r="V67" s="8"/>
      <c r="W67" s="8"/>
    </row>
    <row r="68" spans="1:23" ht="15.75" x14ac:dyDescent="0.3">
      <c r="A68" s="6">
        <v>42381</v>
      </c>
      <c r="B68" s="8">
        <f t="shared" si="6"/>
        <v>168979</v>
      </c>
      <c r="C68" s="8">
        <f>167301-31000</f>
        <v>136301</v>
      </c>
      <c r="D68" s="8">
        <v>26678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6000</v>
      </c>
      <c r="K68" s="8">
        <v>0</v>
      </c>
      <c r="L68" s="8"/>
      <c r="M68" s="8"/>
      <c r="N68" s="12">
        <f t="shared" si="5"/>
        <v>-651</v>
      </c>
      <c r="O68" s="12">
        <f t="shared" si="7"/>
        <v>-0.4776193865048679</v>
      </c>
      <c r="P68" s="8"/>
      <c r="Q68" s="8"/>
      <c r="R68" s="8"/>
      <c r="S68" s="3"/>
      <c r="T68" s="8"/>
      <c r="U68" s="8"/>
      <c r="V68" s="8"/>
      <c r="W68" s="8"/>
    </row>
    <row r="69" spans="1:23" ht="15.75" x14ac:dyDescent="0.3">
      <c r="A69" s="6">
        <v>42382</v>
      </c>
      <c r="B69" s="8">
        <f t="shared" si="6"/>
        <v>157472</v>
      </c>
      <c r="C69" s="8">
        <f>155794-31000</f>
        <v>124794</v>
      </c>
      <c r="D69" s="8">
        <v>26678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6000</v>
      </c>
      <c r="K69" s="8">
        <v>0</v>
      </c>
      <c r="L69" s="8"/>
      <c r="M69" s="8"/>
      <c r="N69" s="12">
        <f t="shared" si="5"/>
        <v>-11507</v>
      </c>
      <c r="O69" s="12">
        <f t="shared" si="7"/>
        <v>-9.2207958715963905</v>
      </c>
      <c r="P69" s="8"/>
      <c r="Q69" s="8"/>
      <c r="R69" s="8"/>
      <c r="S69" s="3"/>
      <c r="T69" s="8"/>
      <c r="U69" s="8"/>
      <c r="V69" s="8"/>
      <c r="W69" s="8"/>
    </row>
    <row r="70" spans="1:23" ht="15.75" x14ac:dyDescent="0.3">
      <c r="A70" s="6">
        <v>42383</v>
      </c>
      <c r="B70" s="8">
        <f t="shared" si="6"/>
        <v>165164</v>
      </c>
      <c r="C70" s="8">
        <f>163486-31000</f>
        <v>132486</v>
      </c>
      <c r="D70" s="8">
        <v>26678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6000</v>
      </c>
      <c r="K70" s="8">
        <v>0</v>
      </c>
      <c r="L70" s="8"/>
      <c r="M70" s="8"/>
      <c r="N70" s="12">
        <f t="shared" si="5"/>
        <v>7692</v>
      </c>
      <c r="O70" s="12">
        <f t="shared" si="7"/>
        <v>5.805896472080069</v>
      </c>
      <c r="P70" s="8"/>
      <c r="Q70" s="8"/>
      <c r="R70" s="8"/>
      <c r="S70" s="3"/>
      <c r="T70" s="8"/>
      <c r="U70" s="8"/>
      <c r="V70" s="8"/>
      <c r="W70" s="8"/>
    </row>
    <row r="71" spans="1:23" ht="15.75" x14ac:dyDescent="0.3">
      <c r="A71" s="6">
        <v>42384</v>
      </c>
      <c r="B71" s="8">
        <f t="shared" si="6"/>
        <v>158994</v>
      </c>
      <c r="C71" s="8">
        <f>157316-31000</f>
        <v>126316</v>
      </c>
      <c r="D71" s="8">
        <v>26678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6000</v>
      </c>
      <c r="K71" s="8">
        <v>0</v>
      </c>
      <c r="L71" s="8"/>
      <c r="M71" s="8"/>
      <c r="N71" s="12">
        <f t="shared" si="5"/>
        <v>-6170</v>
      </c>
      <c r="O71" s="12">
        <f t="shared" si="7"/>
        <v>-4.8845751923746796</v>
      </c>
      <c r="P71" s="8">
        <f>SUM(N67:N71)</f>
        <v>-28684</v>
      </c>
      <c r="Q71" s="8"/>
      <c r="R71" s="8"/>
      <c r="S71" s="3"/>
      <c r="T71" s="8"/>
      <c r="U71" s="8"/>
      <c r="V71" s="8"/>
      <c r="W71" s="8"/>
    </row>
    <row r="72" spans="1:23" ht="15.75" x14ac:dyDescent="0.3">
      <c r="A72" s="6">
        <v>42387</v>
      </c>
      <c r="B72" s="8">
        <f t="shared" si="6"/>
        <v>196044</v>
      </c>
      <c r="C72" s="8">
        <f>163366</f>
        <v>163366</v>
      </c>
      <c r="D72" s="8">
        <v>26678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6000</v>
      </c>
      <c r="K72" s="8">
        <v>0</v>
      </c>
      <c r="L72" s="8"/>
      <c r="M72" s="8"/>
      <c r="N72" s="12">
        <f>C72-C71-31000</f>
        <v>6050</v>
      </c>
      <c r="O72" s="12">
        <f t="shared" si="7"/>
        <v>3.7033409644601694</v>
      </c>
      <c r="P72" s="8"/>
      <c r="Q72" s="8"/>
      <c r="R72" s="8"/>
      <c r="S72" s="3"/>
      <c r="T72" s="8"/>
      <c r="U72" s="8"/>
      <c r="V72" s="8"/>
      <c r="W72" s="8"/>
    </row>
    <row r="73" spans="1:23" ht="15.75" x14ac:dyDescent="0.3">
      <c r="A73" s="6">
        <v>42388</v>
      </c>
      <c r="B73" s="8">
        <f t="shared" si="6"/>
        <v>202952</v>
      </c>
      <c r="C73" s="8">
        <v>170274</v>
      </c>
      <c r="D73" s="8">
        <v>26678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6000</v>
      </c>
      <c r="K73" s="8">
        <v>0</v>
      </c>
      <c r="L73" s="8">
        <v>20047</v>
      </c>
      <c r="M73" s="8"/>
      <c r="N73" s="12">
        <f t="shared" ref="N73:N86" si="8">C73-C72</f>
        <v>6908</v>
      </c>
      <c r="O73" s="12">
        <f t="shared" si="7"/>
        <v>4.0569904976684636</v>
      </c>
      <c r="P73" s="8"/>
      <c r="Q73" s="8"/>
      <c r="R73" s="8"/>
      <c r="S73" s="3"/>
      <c r="T73" s="8"/>
      <c r="U73" s="8"/>
      <c r="V73" s="8"/>
      <c r="W73" s="8"/>
    </row>
    <row r="74" spans="1:23" ht="15.75" x14ac:dyDescent="0.3">
      <c r="A74" s="6">
        <v>42389</v>
      </c>
      <c r="B74" s="8">
        <f t="shared" si="6"/>
        <v>197233</v>
      </c>
      <c r="C74" s="8">
        <v>164555</v>
      </c>
      <c r="D74" s="8">
        <v>26678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6000</v>
      </c>
      <c r="K74" s="8">
        <v>0</v>
      </c>
      <c r="L74" s="8"/>
      <c r="M74" s="8"/>
      <c r="N74" s="12">
        <f t="shared" si="8"/>
        <v>-5719</v>
      </c>
      <c r="O74" s="12">
        <f t="shared" si="7"/>
        <v>-3.4754337455561974</v>
      </c>
      <c r="P74" s="8"/>
      <c r="Q74" s="8"/>
      <c r="R74" s="8"/>
      <c r="S74" s="3"/>
      <c r="T74" s="8"/>
      <c r="U74" s="8"/>
      <c r="V74" s="8"/>
      <c r="W74" s="8"/>
    </row>
    <row r="75" spans="1:23" ht="15.75" x14ac:dyDescent="0.3">
      <c r="A75" s="6">
        <v>42390</v>
      </c>
      <c r="B75" s="8">
        <f t="shared" si="6"/>
        <v>191433</v>
      </c>
      <c r="C75" s="8">
        <v>158755</v>
      </c>
      <c r="D75" s="8">
        <v>26678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6000</v>
      </c>
      <c r="K75" s="8">
        <v>0</v>
      </c>
      <c r="L75" s="8"/>
      <c r="M75" s="8"/>
      <c r="N75" s="12">
        <f t="shared" si="8"/>
        <v>-5800</v>
      </c>
      <c r="O75" s="12">
        <f t="shared" si="7"/>
        <v>-3.6534282384806778</v>
      </c>
      <c r="P75" s="8"/>
      <c r="Q75" s="8"/>
      <c r="R75" s="8"/>
      <c r="S75" s="3"/>
      <c r="T75" s="8"/>
      <c r="U75" s="8"/>
      <c r="V75" s="8"/>
      <c r="W75" s="8"/>
    </row>
    <row r="76" spans="1:23" ht="15.75" x14ac:dyDescent="0.3">
      <c r="A76" s="6">
        <v>42391</v>
      </c>
      <c r="B76" s="8">
        <f t="shared" si="6"/>
        <v>195133</v>
      </c>
      <c r="C76" s="8">
        <v>162455</v>
      </c>
      <c r="D76" s="8">
        <v>26678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6000</v>
      </c>
      <c r="K76" s="8">
        <v>0</v>
      </c>
      <c r="L76" s="8"/>
      <c r="M76" s="8"/>
      <c r="N76" s="12">
        <f t="shared" si="8"/>
        <v>3700</v>
      </c>
      <c r="O76" s="12">
        <f t="shared" si="7"/>
        <v>2.2775537841248346</v>
      </c>
      <c r="P76" s="8"/>
      <c r="Q76" s="8"/>
      <c r="R76" s="8"/>
      <c r="S76" s="3"/>
      <c r="T76" s="8"/>
      <c r="U76" s="8"/>
      <c r="V76" s="8"/>
      <c r="W76" s="8"/>
    </row>
    <row r="77" spans="1:23" ht="15.75" x14ac:dyDescent="0.3">
      <c r="A77" s="6">
        <v>42394</v>
      </c>
      <c r="B77" s="8">
        <f t="shared" si="6"/>
        <v>196277</v>
      </c>
      <c r="C77" s="8">
        <v>163599</v>
      </c>
      <c r="D77" s="8">
        <v>26678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6000</v>
      </c>
      <c r="K77" s="8">
        <v>0</v>
      </c>
      <c r="L77" s="8"/>
      <c r="M77" s="8"/>
      <c r="N77" s="12">
        <f t="shared" si="8"/>
        <v>1144</v>
      </c>
      <c r="O77" s="12">
        <f t="shared" si="7"/>
        <v>0.69927077793874048</v>
      </c>
      <c r="P77" s="8"/>
      <c r="Q77" s="8"/>
      <c r="R77" s="8"/>
      <c r="S77" s="3"/>
      <c r="T77" s="8"/>
      <c r="U77" s="8"/>
      <c r="V77" s="8"/>
      <c r="W77" s="8"/>
    </row>
    <row r="78" spans="1:23" ht="15.75" x14ac:dyDescent="0.3">
      <c r="A78" s="6">
        <v>42395</v>
      </c>
      <c r="B78" s="8">
        <f t="shared" si="6"/>
        <v>181258</v>
      </c>
      <c r="C78" s="8">
        <v>148580</v>
      </c>
      <c r="D78" s="8">
        <v>26678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6000</v>
      </c>
      <c r="K78" s="8">
        <v>0</v>
      </c>
      <c r="L78" s="8"/>
      <c r="M78" s="8"/>
      <c r="N78" s="12">
        <f t="shared" si="8"/>
        <v>-15019</v>
      </c>
      <c r="O78" s="12">
        <f t="shared" si="7"/>
        <v>-10.108359133126935</v>
      </c>
      <c r="P78" s="8"/>
      <c r="Q78" s="8"/>
      <c r="R78" s="8"/>
      <c r="S78" s="3"/>
      <c r="T78" s="8"/>
      <c r="U78" s="8"/>
      <c r="V78" s="8"/>
      <c r="W78" s="8"/>
    </row>
    <row r="79" spans="1:23" ht="15.75" x14ac:dyDescent="0.3">
      <c r="A79" s="6">
        <v>42396</v>
      </c>
      <c r="B79" s="8">
        <f t="shared" si="6"/>
        <v>178050</v>
      </c>
      <c r="C79" s="8">
        <v>145372</v>
      </c>
      <c r="D79" s="8">
        <v>26678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6000</v>
      </c>
      <c r="K79" s="8">
        <v>0</v>
      </c>
      <c r="L79" s="8"/>
      <c r="M79" s="8"/>
      <c r="N79" s="12">
        <f t="shared" si="8"/>
        <v>-3208</v>
      </c>
      <c r="O79" s="12">
        <f t="shared" si="7"/>
        <v>-2.2067523319483806</v>
      </c>
      <c r="P79" s="8"/>
      <c r="Q79" s="8"/>
      <c r="R79" s="8"/>
      <c r="S79" s="3"/>
      <c r="T79" s="8"/>
      <c r="U79" s="8"/>
      <c r="V79" s="8"/>
      <c r="W79" s="8"/>
    </row>
    <row r="80" spans="1:23" ht="15.75" x14ac:dyDescent="0.3">
      <c r="A80" s="6">
        <v>42397</v>
      </c>
      <c r="B80" s="8">
        <f t="shared" si="6"/>
        <v>170278</v>
      </c>
      <c r="C80" s="8">
        <v>137600</v>
      </c>
      <c r="D80" s="8">
        <v>26678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6000</v>
      </c>
      <c r="K80" s="8">
        <v>0</v>
      </c>
      <c r="L80" s="8"/>
      <c r="M80" s="8"/>
      <c r="N80" s="12">
        <f t="shared" si="8"/>
        <v>-7772</v>
      </c>
      <c r="O80" s="12">
        <f t="shared" si="7"/>
        <v>-5.6482558139534884</v>
      </c>
      <c r="P80" s="8"/>
      <c r="Q80" s="8"/>
      <c r="R80" s="8"/>
      <c r="S80" s="3"/>
      <c r="T80" s="8"/>
      <c r="U80" s="8"/>
      <c r="V80" s="8"/>
      <c r="W80" s="8"/>
    </row>
    <row r="81" spans="1:23" ht="15.75" x14ac:dyDescent="0.3">
      <c r="A81" s="6">
        <v>42398</v>
      </c>
      <c r="B81" s="8">
        <f t="shared" si="6"/>
        <v>175478</v>
      </c>
      <c r="C81" s="8">
        <v>142800</v>
      </c>
      <c r="D81" s="8">
        <v>26678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6000</v>
      </c>
      <c r="K81" s="8">
        <v>0</v>
      </c>
      <c r="L81" s="8"/>
      <c r="M81" s="8"/>
      <c r="N81" s="12">
        <f t="shared" si="8"/>
        <v>5200</v>
      </c>
      <c r="O81" s="12">
        <f t="shared" si="7"/>
        <v>3.6414565826330536</v>
      </c>
      <c r="P81" s="8"/>
      <c r="Q81" s="8"/>
      <c r="R81" s="8"/>
      <c r="S81" s="3"/>
      <c r="T81" s="8"/>
      <c r="U81" s="8"/>
      <c r="V81" s="8"/>
      <c r="W81" s="8"/>
    </row>
    <row r="82" spans="1:23" ht="15.75" x14ac:dyDescent="0.3">
      <c r="A82" s="6">
        <v>42401</v>
      </c>
      <c r="B82" s="8">
        <f t="shared" si="6"/>
        <v>173878</v>
      </c>
      <c r="C82" s="8">
        <v>141200</v>
      </c>
      <c r="D82" s="8">
        <v>26678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6000</v>
      </c>
      <c r="K82" s="8">
        <v>0</v>
      </c>
      <c r="L82" s="8"/>
      <c r="M82" s="8"/>
      <c r="N82" s="12">
        <f t="shared" si="8"/>
        <v>-1600</v>
      </c>
      <c r="O82" s="12">
        <f t="shared" si="7"/>
        <v>-1.1331444759206799</v>
      </c>
      <c r="P82" s="8"/>
      <c r="Q82" s="8"/>
      <c r="R82" s="8"/>
      <c r="S82" s="3"/>
      <c r="T82" s="8"/>
      <c r="U82" s="8"/>
      <c r="V82" s="8"/>
      <c r="W82" s="8"/>
    </row>
    <row r="83" spans="1:23" ht="15.75" x14ac:dyDescent="0.3">
      <c r="A83" s="6">
        <v>42402</v>
      </c>
      <c r="B83" s="8">
        <f t="shared" si="6"/>
        <v>180599</v>
      </c>
      <c r="C83" s="8">
        <v>147921</v>
      </c>
      <c r="D83" s="8">
        <v>26678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6000</v>
      </c>
      <c r="K83" s="8">
        <v>0</v>
      </c>
      <c r="L83" s="8"/>
      <c r="M83" s="8"/>
      <c r="N83" s="12">
        <f t="shared" si="8"/>
        <v>6721</v>
      </c>
      <c r="O83" s="12">
        <f t="shared" si="7"/>
        <v>4.5436415383887345</v>
      </c>
      <c r="P83" s="8"/>
      <c r="Q83" s="8"/>
      <c r="R83" s="8"/>
      <c r="S83" s="3"/>
      <c r="T83" s="8"/>
      <c r="U83" s="8"/>
      <c r="V83" s="8"/>
      <c r="W83" s="8"/>
    </row>
    <row r="84" spans="1:23" ht="15.75" x14ac:dyDescent="0.3">
      <c r="A84" s="6">
        <v>42403</v>
      </c>
      <c r="B84" s="8">
        <f t="shared" si="6"/>
        <v>182578</v>
      </c>
      <c r="C84" s="8">
        <v>149900</v>
      </c>
      <c r="D84" s="8">
        <v>26678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6000</v>
      </c>
      <c r="K84" s="8">
        <v>0</v>
      </c>
      <c r="L84" s="8"/>
      <c r="M84" s="8"/>
      <c r="N84" s="12">
        <f t="shared" si="8"/>
        <v>1979</v>
      </c>
      <c r="O84" s="12">
        <f t="shared" si="7"/>
        <v>1.3202134756504336</v>
      </c>
      <c r="P84" s="8"/>
      <c r="Q84" s="8"/>
      <c r="R84" s="8"/>
      <c r="S84" s="3"/>
      <c r="T84" s="8"/>
      <c r="U84" s="8"/>
      <c r="V84" s="8"/>
      <c r="W84" s="8"/>
    </row>
    <row r="85" spans="1:23" ht="15.75" x14ac:dyDescent="0.3">
      <c r="A85" s="6">
        <v>42404</v>
      </c>
      <c r="B85" s="8">
        <f t="shared" si="6"/>
        <v>186587</v>
      </c>
      <c r="C85" s="8">
        <v>153909</v>
      </c>
      <c r="D85" s="8">
        <v>26678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6000</v>
      </c>
      <c r="K85" s="8">
        <v>0</v>
      </c>
      <c r="L85" s="8"/>
      <c r="M85" s="8"/>
      <c r="N85" s="12">
        <f t="shared" si="8"/>
        <v>4009</v>
      </c>
      <c r="O85" s="12">
        <f t="shared" si="7"/>
        <v>2.6047859449414914</v>
      </c>
      <c r="P85" s="8"/>
      <c r="Q85" s="8"/>
      <c r="R85" s="8"/>
      <c r="S85" s="3"/>
      <c r="T85" s="8"/>
      <c r="U85" s="8"/>
      <c r="V85" s="8"/>
      <c r="W85" s="8"/>
    </row>
    <row r="86" spans="1:23" ht="15.75" x14ac:dyDescent="0.3">
      <c r="A86" s="6">
        <v>42405</v>
      </c>
      <c r="B86" s="8">
        <f t="shared" si="6"/>
        <v>184176</v>
      </c>
      <c r="C86" s="8">
        <f>143498+8000</f>
        <v>151498</v>
      </c>
      <c r="D86" s="8">
        <v>26678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6000</v>
      </c>
      <c r="K86" s="8">
        <v>0</v>
      </c>
      <c r="L86" s="8"/>
      <c r="M86" s="8" t="s">
        <v>48</v>
      </c>
      <c r="N86" s="12">
        <f t="shared" si="8"/>
        <v>-2411</v>
      </c>
      <c r="O86" s="12">
        <f t="shared" si="7"/>
        <v>-1.5914401510250962</v>
      </c>
      <c r="P86" s="8"/>
      <c r="Q86" s="8"/>
      <c r="R86" s="8"/>
      <c r="S86" s="3"/>
      <c r="T86" s="8"/>
      <c r="U86" s="8"/>
      <c r="V86" s="8"/>
      <c r="W86" s="8"/>
    </row>
    <row r="87" spans="1:23" ht="15.75" x14ac:dyDescent="0.3">
      <c r="A87" s="6">
        <v>42415</v>
      </c>
      <c r="B87" s="8">
        <f t="shared" ref="B87" si="9">SUM(C87:K87)</f>
        <v>180622</v>
      </c>
      <c r="C87" s="8">
        <f>147944</f>
        <v>147944</v>
      </c>
      <c r="D87" s="8">
        <v>26678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6000</v>
      </c>
      <c r="K87" s="8">
        <v>0</v>
      </c>
      <c r="L87" s="8"/>
      <c r="M87" s="8" t="s">
        <v>49</v>
      </c>
      <c r="N87" s="12">
        <f>C87-C86+3000</f>
        <v>-554</v>
      </c>
      <c r="O87" s="12">
        <f t="shared" si="7"/>
        <v>-0.37446601416752284</v>
      </c>
      <c r="P87" s="8"/>
      <c r="Q87" s="8">
        <v>131926</v>
      </c>
      <c r="R87" s="8">
        <f>(C87-Q87)/C87*100</f>
        <v>10.827069702049425</v>
      </c>
      <c r="S87" s="3"/>
      <c r="T87" s="8"/>
      <c r="U87" s="8"/>
      <c r="V87" s="8"/>
      <c r="W87" s="8"/>
    </row>
    <row r="88" spans="1:23" ht="15.75" x14ac:dyDescent="0.3">
      <c r="A88" s="6">
        <v>42416</v>
      </c>
      <c r="B88" s="8">
        <f t="shared" ref="B88:B89" si="10">SUM(C88:K88)</f>
        <v>188580</v>
      </c>
      <c r="C88" s="8">
        <v>155902</v>
      </c>
      <c r="D88" s="8">
        <v>26678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6000</v>
      </c>
      <c r="K88" s="8">
        <v>0</v>
      </c>
      <c r="L88" s="8"/>
      <c r="M88" s="8"/>
      <c r="N88" s="12">
        <f>C88-C87</f>
        <v>7958</v>
      </c>
      <c r="O88" s="12">
        <f t="shared" si="7"/>
        <v>5.1044887172711064</v>
      </c>
      <c r="P88" s="8"/>
      <c r="Q88" s="8"/>
      <c r="R88" s="8"/>
      <c r="S88" s="3"/>
      <c r="T88" s="8"/>
      <c r="U88" s="8"/>
      <c r="V88" s="8"/>
      <c r="W88" s="8"/>
    </row>
    <row r="89" spans="1:23" ht="15.75" x14ac:dyDescent="0.3">
      <c r="A89" s="6">
        <v>42417</v>
      </c>
      <c r="B89" s="8">
        <f t="shared" si="10"/>
        <v>192345</v>
      </c>
      <c r="C89" s="8">
        <v>159667</v>
      </c>
      <c r="D89" s="8">
        <v>26678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6000</v>
      </c>
      <c r="K89" s="8">
        <v>0</v>
      </c>
      <c r="L89" s="8"/>
      <c r="M89" s="8"/>
      <c r="N89" s="12">
        <f>C89-C88</f>
        <v>3765</v>
      </c>
      <c r="O89" s="12">
        <f t="shared" si="7"/>
        <v>2.3580326554641848</v>
      </c>
      <c r="P89" s="8"/>
      <c r="Q89" s="8"/>
      <c r="R89" s="8"/>
      <c r="S89" s="3"/>
      <c r="T89" s="8"/>
      <c r="U89" s="8"/>
      <c r="V89" s="8"/>
      <c r="W89" s="8"/>
    </row>
    <row r="90" spans="1:23" ht="15.75" x14ac:dyDescent="0.3">
      <c r="A90" s="6">
        <v>42418</v>
      </c>
      <c r="B90" s="8">
        <f t="shared" ref="B90:B92" si="11">SUM(C90:K90)</f>
        <v>179670</v>
      </c>
      <c r="C90" s="8">
        <v>146992</v>
      </c>
      <c r="D90" s="8">
        <v>26678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6000</v>
      </c>
      <c r="K90" s="8">
        <v>0</v>
      </c>
      <c r="L90" s="8"/>
      <c r="M90" s="8"/>
      <c r="N90" s="12">
        <f>C90-C89+17000</f>
        <v>4325</v>
      </c>
      <c r="O90" s="12">
        <f t="shared" si="7"/>
        <v>2.9423369979318603</v>
      </c>
      <c r="P90" s="8"/>
      <c r="Q90" s="8"/>
      <c r="R90" s="8"/>
      <c r="S90" s="3"/>
      <c r="T90" s="8"/>
      <c r="U90" s="8"/>
      <c r="V90" s="8"/>
      <c r="W90" s="8"/>
    </row>
    <row r="91" spans="1:23" ht="15.75" x14ac:dyDescent="0.3">
      <c r="A91" s="6">
        <v>42419</v>
      </c>
      <c r="B91" s="8">
        <f t="shared" si="11"/>
        <v>181370</v>
      </c>
      <c r="C91" s="8">
        <v>148692</v>
      </c>
      <c r="D91" s="8">
        <v>26678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6000</v>
      </c>
      <c r="K91" s="8">
        <v>0</v>
      </c>
      <c r="L91" s="8"/>
      <c r="M91" s="8"/>
      <c r="N91" s="12">
        <f>C91-C90</f>
        <v>1700</v>
      </c>
      <c r="O91" s="12">
        <f t="shared" si="7"/>
        <v>1.1433029349258872</v>
      </c>
      <c r="P91" s="8">
        <f>SUM(N87:N91)</f>
        <v>17194</v>
      </c>
      <c r="Q91" s="8"/>
      <c r="R91" s="8"/>
      <c r="S91" s="3"/>
      <c r="T91" s="8"/>
      <c r="U91" s="8"/>
      <c r="V91" s="8"/>
      <c r="W91" s="8"/>
    </row>
    <row r="92" spans="1:23" ht="15.75" x14ac:dyDescent="0.3">
      <c r="A92" s="6">
        <v>42422</v>
      </c>
      <c r="B92" s="8">
        <f t="shared" si="11"/>
        <v>182729</v>
      </c>
      <c r="C92" s="8">
        <v>150051</v>
      </c>
      <c r="D92" s="8">
        <v>26678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6000</v>
      </c>
      <c r="K92" s="8">
        <v>0</v>
      </c>
      <c r="L92" s="8"/>
      <c r="M92" s="8" t="s">
        <v>15</v>
      </c>
      <c r="N92" s="12">
        <f>C92-C91+1000</f>
        <v>2359</v>
      </c>
      <c r="O92" s="12">
        <f t="shared" si="7"/>
        <v>1.5721321417384755</v>
      </c>
      <c r="P92" s="8"/>
      <c r="Q92" s="8"/>
      <c r="R92" s="8"/>
      <c r="S92" s="3"/>
      <c r="T92" s="8"/>
      <c r="U92" s="8"/>
      <c r="V92" s="8"/>
      <c r="W92" s="8"/>
    </row>
    <row r="93" spans="1:23" ht="15.75" x14ac:dyDescent="0.3">
      <c r="A93" s="6">
        <v>42423</v>
      </c>
      <c r="B93" s="8">
        <f t="shared" ref="B93" si="12">SUM(C93:K93)</f>
        <v>181968</v>
      </c>
      <c r="C93" s="8">
        <v>149290</v>
      </c>
      <c r="D93" s="8">
        <v>26678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6000</v>
      </c>
      <c r="K93" s="8">
        <v>0</v>
      </c>
      <c r="L93" s="8"/>
      <c r="M93" s="8"/>
      <c r="N93" s="12">
        <f t="shared" ref="N93:N104" si="13">C93-C92</f>
        <v>-761</v>
      </c>
      <c r="O93" s="12">
        <f t="shared" si="7"/>
        <v>-0.50974613168999938</v>
      </c>
      <c r="P93" s="8"/>
      <c r="Q93" s="8"/>
      <c r="R93" s="8"/>
      <c r="S93" s="3"/>
      <c r="T93" s="8"/>
      <c r="U93" s="8"/>
      <c r="V93" s="8"/>
      <c r="W93" s="8"/>
    </row>
    <row r="94" spans="1:23" ht="15.75" x14ac:dyDescent="0.3">
      <c r="A94" s="6">
        <v>42424</v>
      </c>
      <c r="B94" s="8">
        <f t="shared" ref="B94:B96" si="14">SUM(C94:K94)</f>
        <v>182202</v>
      </c>
      <c r="C94" s="8">
        <v>149524</v>
      </c>
      <c r="D94" s="8">
        <v>26678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6000</v>
      </c>
      <c r="K94" s="8">
        <v>0</v>
      </c>
      <c r="L94" s="8"/>
      <c r="M94" s="8"/>
      <c r="N94" s="12">
        <f t="shared" si="13"/>
        <v>234</v>
      </c>
      <c r="O94" s="12">
        <f t="shared" si="7"/>
        <v>0.15649661592787781</v>
      </c>
      <c r="P94" s="8"/>
      <c r="Q94" s="8"/>
      <c r="R94" s="8"/>
      <c r="S94" s="3"/>
      <c r="T94" s="8"/>
      <c r="U94" s="8"/>
      <c r="V94" s="8"/>
      <c r="W94" s="8"/>
    </row>
    <row r="95" spans="1:23" ht="15.75" x14ac:dyDescent="0.3">
      <c r="A95" s="6">
        <v>42425</v>
      </c>
      <c r="B95" s="8">
        <f t="shared" si="14"/>
        <v>171958</v>
      </c>
      <c r="C95" s="8">
        <v>139280</v>
      </c>
      <c r="D95" s="8">
        <v>26678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6000</v>
      </c>
      <c r="K95" s="8">
        <v>0</v>
      </c>
      <c r="L95" s="8"/>
      <c r="M95" s="8"/>
      <c r="N95" s="12">
        <f t="shared" si="13"/>
        <v>-10244</v>
      </c>
      <c r="O95" s="12">
        <f t="shared" si="7"/>
        <v>-7.3549684089603673</v>
      </c>
      <c r="P95" s="8"/>
      <c r="Q95" s="8"/>
      <c r="R95" s="8"/>
      <c r="S95" s="3"/>
      <c r="T95" s="8"/>
      <c r="U95" s="8"/>
      <c r="V95" s="8"/>
      <c r="W95" s="8"/>
    </row>
    <row r="96" spans="1:23" ht="15.75" x14ac:dyDescent="0.3">
      <c r="A96" s="6">
        <v>42426</v>
      </c>
      <c r="B96" s="8">
        <f t="shared" si="14"/>
        <v>168678</v>
      </c>
      <c r="C96" s="8">
        <v>136000</v>
      </c>
      <c r="D96" s="8">
        <v>26678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6000</v>
      </c>
      <c r="K96" s="8">
        <v>0</v>
      </c>
      <c r="L96" s="8"/>
      <c r="M96" s="8"/>
      <c r="N96" s="12">
        <f t="shared" si="13"/>
        <v>-3280</v>
      </c>
      <c r="O96" s="12">
        <f t="shared" si="7"/>
        <v>-2.4117647058823528</v>
      </c>
      <c r="P96" s="8">
        <f>SUM(N92:N96)</f>
        <v>-11692</v>
      </c>
      <c r="Q96" s="8"/>
      <c r="R96" s="8"/>
      <c r="S96" s="3"/>
      <c r="T96" s="8"/>
      <c r="U96" s="8"/>
      <c r="V96" s="8"/>
      <c r="W96" s="8"/>
    </row>
    <row r="97" spans="1:23" ht="15.75" x14ac:dyDescent="0.3">
      <c r="A97" s="6">
        <v>42429</v>
      </c>
      <c r="B97" s="8">
        <f t="shared" ref="B97:B100" si="15">SUM(C97:K97)</f>
        <v>157678</v>
      </c>
      <c r="C97" s="8">
        <v>125000</v>
      </c>
      <c r="D97" s="8">
        <v>26678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6000</v>
      </c>
      <c r="K97" s="8">
        <v>0</v>
      </c>
      <c r="L97" s="8"/>
      <c r="M97" s="8"/>
      <c r="N97" s="12">
        <f t="shared" si="13"/>
        <v>-11000</v>
      </c>
      <c r="O97" s="12">
        <f t="shared" si="7"/>
        <v>-8.7999999999999989</v>
      </c>
      <c r="P97" s="8"/>
      <c r="Q97" s="8"/>
      <c r="R97" s="8"/>
      <c r="S97" s="3"/>
      <c r="T97" s="8"/>
      <c r="U97" s="8"/>
      <c r="V97" s="8"/>
      <c r="W97" s="8"/>
    </row>
    <row r="98" spans="1:23" ht="15.75" x14ac:dyDescent="0.3">
      <c r="A98" s="6">
        <v>42430</v>
      </c>
      <c r="B98" s="8">
        <f t="shared" si="15"/>
        <v>159889</v>
      </c>
      <c r="C98" s="8">
        <v>127211</v>
      </c>
      <c r="D98" s="8">
        <v>26678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6000</v>
      </c>
      <c r="K98" s="8">
        <v>0</v>
      </c>
      <c r="L98" s="8"/>
      <c r="M98" s="8"/>
      <c r="N98" s="12">
        <f t="shared" si="13"/>
        <v>2211</v>
      </c>
      <c r="O98" s="12">
        <f t="shared" si="7"/>
        <v>1.738057243477372</v>
      </c>
      <c r="P98" s="8"/>
      <c r="Q98" s="8"/>
      <c r="R98" s="8"/>
      <c r="S98" s="3"/>
      <c r="T98" s="8"/>
      <c r="U98" s="8"/>
      <c r="V98" s="8"/>
      <c r="W98" s="8"/>
    </row>
    <row r="99" spans="1:23" ht="15.75" x14ac:dyDescent="0.3">
      <c r="A99" s="6">
        <v>42431</v>
      </c>
      <c r="B99" s="8">
        <f t="shared" si="15"/>
        <v>165978</v>
      </c>
      <c r="C99" s="8">
        <v>133300</v>
      </c>
      <c r="D99" s="8">
        <v>26678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6000</v>
      </c>
      <c r="K99" s="8">
        <v>0</v>
      </c>
      <c r="L99" s="8"/>
      <c r="M99" s="8"/>
      <c r="N99" s="12">
        <f t="shared" si="13"/>
        <v>6089</v>
      </c>
      <c r="O99" s="12">
        <f t="shared" si="7"/>
        <v>4.5678919729932481</v>
      </c>
      <c r="P99" s="8"/>
      <c r="Q99" s="8"/>
      <c r="R99" s="8"/>
      <c r="S99" s="3"/>
      <c r="T99" s="8"/>
      <c r="U99" s="8"/>
      <c r="V99" s="8"/>
      <c r="W99" s="8"/>
    </row>
    <row r="100" spans="1:23" ht="15.75" x14ac:dyDescent="0.3">
      <c r="A100" s="6">
        <v>42432</v>
      </c>
      <c r="B100" s="8">
        <f t="shared" si="15"/>
        <v>165346</v>
      </c>
      <c r="C100" s="8">
        <v>132668</v>
      </c>
      <c r="D100" s="8">
        <v>26678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6000</v>
      </c>
      <c r="K100" s="8">
        <v>0</v>
      </c>
      <c r="L100" s="8"/>
      <c r="M100" s="8"/>
      <c r="N100" s="12">
        <f t="shared" si="13"/>
        <v>-632</v>
      </c>
      <c r="O100" s="12">
        <f t="shared" si="7"/>
        <v>-0.47637712183797143</v>
      </c>
      <c r="P100" s="8"/>
      <c r="Q100" s="8"/>
      <c r="R100" s="8"/>
      <c r="S100" s="3"/>
      <c r="T100" s="8"/>
      <c r="U100" s="8"/>
      <c r="V100" s="8"/>
      <c r="W100" s="8"/>
    </row>
    <row r="101" spans="1:23" ht="15.75" x14ac:dyDescent="0.3">
      <c r="A101" s="6">
        <v>42433</v>
      </c>
      <c r="B101" s="8">
        <f t="shared" ref="B101" si="16">SUM(C101:K101)</f>
        <v>158278</v>
      </c>
      <c r="C101" s="8">
        <v>125600</v>
      </c>
      <c r="D101" s="8">
        <v>26678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6000</v>
      </c>
      <c r="K101" s="8">
        <v>0</v>
      </c>
      <c r="L101" s="8"/>
      <c r="M101" s="8"/>
      <c r="N101" s="12">
        <f t="shared" si="13"/>
        <v>-7068</v>
      </c>
      <c r="O101" s="12">
        <f t="shared" si="7"/>
        <v>-5.6273885350318471</v>
      </c>
      <c r="P101" s="8">
        <f>SUM(N97:N101)</f>
        <v>-10400</v>
      </c>
      <c r="Q101" s="8"/>
      <c r="R101" s="8"/>
      <c r="S101" s="3"/>
      <c r="T101" s="8"/>
      <c r="U101" s="8"/>
      <c r="V101" s="8"/>
      <c r="W101" s="8"/>
    </row>
    <row r="102" spans="1:23" ht="15.75" x14ac:dyDescent="0.3">
      <c r="A102" s="6">
        <v>42436</v>
      </c>
      <c r="B102" s="8">
        <f t="shared" ref="B102:B104" si="17">SUM(C102:K102)</f>
        <v>162290</v>
      </c>
      <c r="C102" s="8">
        <v>129612</v>
      </c>
      <c r="D102" s="8">
        <v>26678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6000</v>
      </c>
      <c r="K102" s="8">
        <v>0</v>
      </c>
      <c r="L102" s="8"/>
      <c r="M102" s="8"/>
      <c r="N102" s="12">
        <f t="shared" si="13"/>
        <v>4012</v>
      </c>
      <c r="O102" s="12">
        <f t="shared" si="7"/>
        <v>3.0953924019380921</v>
      </c>
      <c r="P102" s="8"/>
      <c r="Q102" s="8"/>
      <c r="R102" s="8"/>
      <c r="S102" s="3"/>
      <c r="T102" s="8"/>
      <c r="U102" s="8"/>
      <c r="V102" s="8"/>
      <c r="W102" s="8"/>
    </row>
    <row r="103" spans="1:23" ht="15.75" x14ac:dyDescent="0.3">
      <c r="A103" s="6">
        <v>42437</v>
      </c>
      <c r="B103" s="8">
        <f t="shared" si="17"/>
        <v>163857</v>
      </c>
      <c r="C103" s="8">
        <v>131179</v>
      </c>
      <c r="D103" s="8">
        <v>26678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6000</v>
      </c>
      <c r="K103" s="8">
        <v>0</v>
      </c>
      <c r="L103" s="8"/>
      <c r="M103" s="8"/>
      <c r="N103" s="12">
        <f t="shared" si="13"/>
        <v>1567</v>
      </c>
      <c r="O103" s="12">
        <f t="shared" si="7"/>
        <v>1.1945509570891684</v>
      </c>
      <c r="P103" s="8"/>
      <c r="Q103" s="8"/>
      <c r="R103" s="8"/>
      <c r="S103" s="3"/>
      <c r="T103" s="8"/>
      <c r="U103" s="8"/>
      <c r="V103" s="8"/>
      <c r="W103" s="8"/>
    </row>
    <row r="104" spans="1:23" ht="15.75" x14ac:dyDescent="0.3">
      <c r="A104" s="6">
        <v>42438</v>
      </c>
      <c r="B104" s="8">
        <f t="shared" si="17"/>
        <v>161389</v>
      </c>
      <c r="C104" s="8">
        <v>128711</v>
      </c>
      <c r="D104" s="8">
        <v>26678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6000</v>
      </c>
      <c r="K104" s="8">
        <v>0</v>
      </c>
      <c r="L104" s="8"/>
      <c r="M104" s="8" t="s">
        <v>50</v>
      </c>
      <c r="N104" s="12">
        <f t="shared" si="13"/>
        <v>-2468</v>
      </c>
      <c r="O104" s="12">
        <f t="shared" si="7"/>
        <v>-1.917474030968604</v>
      </c>
      <c r="P104" s="8"/>
      <c r="Q104" s="8"/>
      <c r="R104" s="8"/>
      <c r="S104" s="3"/>
      <c r="T104" s="8"/>
      <c r="U104" s="8"/>
      <c r="V104" s="8"/>
      <c r="W104" s="8"/>
    </row>
    <row r="105" spans="1:23" ht="15.75" x14ac:dyDescent="0.3">
      <c r="A105" s="6">
        <v>42439</v>
      </c>
      <c r="B105" s="8">
        <f t="shared" ref="B105:B106" si="18">SUM(C105:K105)</f>
        <v>149658</v>
      </c>
      <c r="C105" s="8">
        <v>116980</v>
      </c>
      <c r="D105" s="8">
        <v>26678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6000</v>
      </c>
      <c r="K105" s="8">
        <v>0</v>
      </c>
      <c r="L105" s="8"/>
      <c r="M105" s="8"/>
      <c r="N105" s="12">
        <f>C105-C104+10000</f>
        <v>-1731</v>
      </c>
      <c r="O105" s="12">
        <f t="shared" si="7"/>
        <v>-1.4797401265173533</v>
      </c>
      <c r="P105" s="8"/>
      <c r="Q105" s="8"/>
      <c r="R105" s="8"/>
      <c r="S105" s="3"/>
      <c r="T105" s="8"/>
      <c r="U105" s="8"/>
      <c r="V105" s="8"/>
      <c r="W105" s="8"/>
    </row>
    <row r="106" spans="1:23" ht="15.75" x14ac:dyDescent="0.3">
      <c r="A106" s="6">
        <v>42440</v>
      </c>
      <c r="B106" s="8">
        <f t="shared" si="18"/>
        <v>149280</v>
      </c>
      <c r="C106" s="8">
        <v>116602</v>
      </c>
      <c r="D106" s="8">
        <v>26678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6000</v>
      </c>
      <c r="K106" s="8">
        <v>0</v>
      </c>
      <c r="L106" s="8"/>
      <c r="M106" s="8" t="s">
        <v>51</v>
      </c>
      <c r="N106" s="12">
        <f t="shared" ref="N106" si="19">C106-C105</f>
        <v>-378</v>
      </c>
      <c r="O106" s="12">
        <f t="shared" si="7"/>
        <v>-0.32417968817001425</v>
      </c>
      <c r="P106" s="8">
        <f>SUM(N102:N106)</f>
        <v>1002</v>
      </c>
      <c r="Q106" s="8"/>
      <c r="R106" s="8"/>
      <c r="S106" s="3"/>
      <c r="T106" s="8"/>
      <c r="U106" s="8"/>
      <c r="V106" s="8"/>
      <c r="W106" s="8"/>
    </row>
    <row r="107" spans="1:23" ht="15.75" x14ac:dyDescent="0.3">
      <c r="A107" s="6">
        <v>42443</v>
      </c>
      <c r="B107" s="8">
        <f t="shared" ref="B107" si="20">SUM(C107:K107)</f>
        <v>143990</v>
      </c>
      <c r="C107" s="8">
        <v>111312</v>
      </c>
      <c r="D107" s="8">
        <v>26678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6000</v>
      </c>
      <c r="K107" s="8">
        <v>0</v>
      </c>
      <c r="L107" s="8"/>
      <c r="M107" s="8"/>
      <c r="N107" s="12">
        <f>C107-C106+10000</f>
        <v>4710</v>
      </c>
      <c r="O107" s="12">
        <f t="shared" si="7"/>
        <v>4.2313497197067704</v>
      </c>
      <c r="P107" s="8"/>
      <c r="Q107" s="8"/>
      <c r="R107" s="8"/>
      <c r="S107" s="3"/>
      <c r="T107" s="8"/>
      <c r="U107" s="8"/>
      <c r="V107" s="8"/>
      <c r="W107" s="8"/>
    </row>
    <row r="108" spans="1:23" ht="15.75" x14ac:dyDescent="0.3">
      <c r="A108" s="6">
        <v>42444</v>
      </c>
      <c r="B108" s="8">
        <f t="shared" ref="B108:B111" si="21">SUM(C108:K108)</f>
        <v>142957</v>
      </c>
      <c r="C108" s="8">
        <v>110279</v>
      </c>
      <c r="D108" s="8">
        <v>26678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6000</v>
      </c>
      <c r="K108" s="8">
        <v>0</v>
      </c>
      <c r="L108" s="8"/>
      <c r="M108" s="8"/>
      <c r="N108" s="12">
        <f>C108-C107</f>
        <v>-1033</v>
      </c>
      <c r="O108" s="12">
        <f t="shared" si="7"/>
        <v>-0.93671505907743091</v>
      </c>
      <c r="P108" s="8"/>
      <c r="Q108" s="8"/>
      <c r="R108" s="8"/>
      <c r="S108" s="3"/>
      <c r="T108" s="8"/>
      <c r="U108" s="8"/>
      <c r="V108" s="8"/>
      <c r="W108" s="8"/>
    </row>
    <row r="109" spans="1:23" ht="15.75" x14ac:dyDescent="0.3">
      <c r="A109" s="6">
        <v>42445</v>
      </c>
      <c r="B109" s="8">
        <f t="shared" si="21"/>
        <v>141645</v>
      </c>
      <c r="C109" s="8">
        <v>108967</v>
      </c>
      <c r="D109" s="8">
        <v>26678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6000</v>
      </c>
      <c r="K109" s="8">
        <v>0</v>
      </c>
      <c r="L109" s="8"/>
      <c r="M109" s="8"/>
      <c r="N109" s="12">
        <f>C109-C108</f>
        <v>-1312</v>
      </c>
      <c r="O109" s="12">
        <f t="shared" si="7"/>
        <v>-1.2040342489010434</v>
      </c>
      <c r="P109" s="8"/>
      <c r="Q109" s="8"/>
      <c r="R109" s="8"/>
      <c r="S109" s="3"/>
      <c r="T109" s="8"/>
      <c r="U109" s="8"/>
      <c r="V109" s="8"/>
      <c r="W109" s="8"/>
    </row>
    <row r="110" spans="1:23" ht="15.75" x14ac:dyDescent="0.3">
      <c r="A110" s="6">
        <v>42446</v>
      </c>
      <c r="B110" s="8">
        <f t="shared" si="21"/>
        <v>145697</v>
      </c>
      <c r="C110" s="8">
        <v>113019</v>
      </c>
      <c r="D110" s="8">
        <v>26678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6000</v>
      </c>
      <c r="K110" s="8">
        <v>0</v>
      </c>
      <c r="L110" s="8"/>
      <c r="M110" s="8" t="s">
        <v>52</v>
      </c>
      <c r="N110" s="12">
        <f>C110-C109+500</f>
        <v>4552</v>
      </c>
      <c r="O110" s="12">
        <f t="shared" si="7"/>
        <v>4.027641370035127</v>
      </c>
      <c r="P110" s="8"/>
      <c r="Q110" s="8"/>
      <c r="R110" s="8"/>
      <c r="S110" s="3"/>
      <c r="T110" s="8"/>
      <c r="U110" s="8"/>
      <c r="V110" s="8"/>
      <c r="W110" s="8"/>
    </row>
    <row r="111" spans="1:23" ht="15.75" x14ac:dyDescent="0.3">
      <c r="A111" s="6">
        <v>42447</v>
      </c>
      <c r="B111" s="8">
        <f t="shared" si="21"/>
        <v>146016</v>
      </c>
      <c r="C111" s="8">
        <v>113338</v>
      </c>
      <c r="D111" s="8">
        <v>26678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6000</v>
      </c>
      <c r="K111" s="8">
        <v>0</v>
      </c>
      <c r="L111" s="8"/>
      <c r="M111" s="8" t="s">
        <v>16</v>
      </c>
      <c r="N111" s="12">
        <f>C111-C110+5000</f>
        <v>5319</v>
      </c>
      <c r="O111" s="12">
        <f t="shared" si="7"/>
        <v>4.6930420512096562</v>
      </c>
      <c r="P111" s="8">
        <f>SUM(N107:N111)</f>
        <v>12236</v>
      </c>
      <c r="Q111" s="8"/>
      <c r="R111" s="8"/>
      <c r="S111" s="3"/>
      <c r="T111" s="8"/>
      <c r="U111" s="8"/>
      <c r="V111" s="8"/>
      <c r="W111" s="8"/>
    </row>
    <row r="112" spans="1:23" ht="15.75" x14ac:dyDescent="0.3">
      <c r="A112" s="6">
        <v>42450</v>
      </c>
      <c r="B112" s="8">
        <f t="shared" ref="B112:B113" si="22">SUM(C112:K112)</f>
        <v>145058</v>
      </c>
      <c r="C112" s="8">
        <v>112380</v>
      </c>
      <c r="D112" s="8">
        <v>26678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6000</v>
      </c>
      <c r="K112" s="8">
        <v>0</v>
      </c>
      <c r="L112" s="8"/>
      <c r="M112" s="8" t="s">
        <v>53</v>
      </c>
      <c r="N112" s="12">
        <f>C112-C111+5000</f>
        <v>4042</v>
      </c>
      <c r="O112" s="12">
        <f t="shared" si="7"/>
        <v>3.5967253959779324</v>
      </c>
      <c r="P112" s="8"/>
      <c r="Q112" s="8"/>
      <c r="R112" s="8"/>
      <c r="S112" s="3"/>
      <c r="T112" s="8"/>
      <c r="U112" s="8"/>
      <c r="V112" s="8"/>
      <c r="W112" s="8"/>
    </row>
    <row r="113" spans="1:23" ht="15.75" x14ac:dyDescent="0.3">
      <c r="A113" s="6">
        <v>42451</v>
      </c>
      <c r="B113" s="8">
        <f t="shared" si="22"/>
        <v>144366</v>
      </c>
      <c r="C113" s="8">
        <v>111688</v>
      </c>
      <c r="D113" s="8">
        <v>26678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6000</v>
      </c>
      <c r="K113" s="8">
        <v>0</v>
      </c>
      <c r="L113" s="8"/>
      <c r="M113" s="8"/>
      <c r="N113" s="12">
        <f>C113-C112</f>
        <v>-692</v>
      </c>
      <c r="O113" s="12">
        <f t="shared" si="7"/>
        <v>-0.61958312441802166</v>
      </c>
      <c r="P113" s="8"/>
      <c r="Q113" s="8"/>
      <c r="R113" s="8"/>
      <c r="S113" s="3"/>
      <c r="T113" s="8"/>
      <c r="U113" s="8"/>
      <c r="V113" s="8"/>
      <c r="W113" s="8"/>
    </row>
    <row r="114" spans="1:23" ht="15.75" x14ac:dyDescent="0.3">
      <c r="A114" s="6">
        <v>42452</v>
      </c>
      <c r="B114" s="8">
        <f t="shared" ref="B114:B116" si="23">SUM(C114:K114)</f>
        <v>145501</v>
      </c>
      <c r="C114" s="8">
        <v>112823</v>
      </c>
      <c r="D114" s="8">
        <v>26678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6000</v>
      </c>
      <c r="K114" s="8">
        <v>0</v>
      </c>
      <c r="L114" s="8"/>
      <c r="M114" s="8"/>
      <c r="N114" s="12">
        <f t="shared" ref="N114:N115" si="24">C114-C113</f>
        <v>1135</v>
      </c>
      <c r="O114" s="12">
        <f t="shared" si="7"/>
        <v>1.0060005495333397</v>
      </c>
      <c r="P114" s="8"/>
      <c r="Q114" s="8"/>
      <c r="R114" s="8"/>
      <c r="S114" s="3"/>
      <c r="T114" s="8"/>
      <c r="U114" s="8"/>
      <c r="V114" s="8"/>
      <c r="W114" s="8"/>
    </row>
    <row r="115" spans="1:23" ht="15.75" x14ac:dyDescent="0.3">
      <c r="A115" s="6">
        <v>42453</v>
      </c>
      <c r="B115" s="8">
        <f t="shared" si="23"/>
        <v>143490</v>
      </c>
      <c r="C115" s="8">
        <v>110812</v>
      </c>
      <c r="D115" s="8">
        <v>26678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6000</v>
      </c>
      <c r="K115" s="8">
        <v>0</v>
      </c>
      <c r="L115" s="8"/>
      <c r="M115" s="8" t="s">
        <v>54</v>
      </c>
      <c r="N115" s="12">
        <f t="shared" si="24"/>
        <v>-2011</v>
      </c>
      <c r="O115" s="12">
        <f t="shared" si="7"/>
        <v>-1.8147854023029997</v>
      </c>
      <c r="P115" s="8"/>
      <c r="Q115" s="8"/>
      <c r="R115" s="8"/>
      <c r="S115" s="3"/>
      <c r="T115" s="8"/>
      <c r="U115" s="8"/>
      <c r="V115" s="8"/>
      <c r="W115" s="8"/>
    </row>
    <row r="116" spans="1:23" ht="15.75" x14ac:dyDescent="0.3">
      <c r="A116" s="6">
        <v>42452</v>
      </c>
      <c r="B116" s="8">
        <f t="shared" si="23"/>
        <v>141686</v>
      </c>
      <c r="C116" s="8">
        <v>109008</v>
      </c>
      <c r="D116" s="8">
        <v>26678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6000</v>
      </c>
      <c r="K116" s="8">
        <v>0</v>
      </c>
      <c r="L116" s="8"/>
      <c r="M116" s="8"/>
      <c r="N116" s="12">
        <f>C116-C115+2000</f>
        <v>196</v>
      </c>
      <c r="O116" s="12">
        <f t="shared" si="7"/>
        <v>0.17980331718772932</v>
      </c>
      <c r="P116" s="8">
        <f>SUM(N112:N116)</f>
        <v>2670</v>
      </c>
      <c r="Q116" s="8"/>
      <c r="R116" s="8"/>
      <c r="S116" s="3"/>
      <c r="T116" s="8"/>
      <c r="U116" s="8"/>
      <c r="V116" s="8"/>
      <c r="W116" s="8"/>
    </row>
    <row r="117" spans="1:23" ht="15.75" x14ac:dyDescent="0.3">
      <c r="A117" s="6">
        <v>42457</v>
      </c>
      <c r="B117" s="8">
        <f t="shared" ref="B117" si="25">SUM(C117:K117)</f>
        <v>139753</v>
      </c>
      <c r="C117" s="8">
        <v>107075</v>
      </c>
      <c r="D117" s="8">
        <v>26678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6000</v>
      </c>
      <c r="K117" s="8">
        <v>0</v>
      </c>
      <c r="L117" s="8"/>
      <c r="M117" s="8"/>
      <c r="N117" s="12">
        <f>C117-C116</f>
        <v>-1933</v>
      </c>
      <c r="O117" s="12">
        <f t="shared" si="7"/>
        <v>-1.8052766752276441</v>
      </c>
      <c r="P117" s="8"/>
      <c r="Q117" s="8"/>
      <c r="R117" s="8"/>
      <c r="S117" s="3"/>
      <c r="T117" s="8"/>
      <c r="U117" s="8"/>
      <c r="V117" s="8"/>
      <c r="W117" s="8"/>
    </row>
    <row r="118" spans="1:23" ht="15.75" x14ac:dyDescent="0.3">
      <c r="A118" s="6">
        <v>42458</v>
      </c>
      <c r="B118" s="8">
        <f t="shared" ref="B118:B121" si="26">SUM(C118:K118)</f>
        <v>136750</v>
      </c>
      <c r="C118" s="8">
        <v>104072</v>
      </c>
      <c r="D118" s="8">
        <v>26678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6000</v>
      </c>
      <c r="K118" s="8">
        <v>0</v>
      </c>
      <c r="L118" s="8"/>
      <c r="M118" s="8"/>
      <c r="N118" s="12">
        <f t="shared" ref="N118:N158" si="27">C118-C117</f>
        <v>-3003</v>
      </c>
      <c r="O118" s="12">
        <f t="shared" si="7"/>
        <v>-2.8855023445307095</v>
      </c>
      <c r="P118" s="8"/>
      <c r="Q118" s="8"/>
      <c r="R118" s="8"/>
      <c r="S118" s="3"/>
      <c r="T118" s="8"/>
      <c r="U118" s="8"/>
      <c r="V118" s="8"/>
      <c r="W118" s="8"/>
    </row>
    <row r="119" spans="1:23" ht="15.75" x14ac:dyDescent="0.3">
      <c r="A119" s="6">
        <v>42459</v>
      </c>
      <c r="B119" s="8">
        <f t="shared" si="26"/>
        <v>140533</v>
      </c>
      <c r="C119" s="8">
        <v>107855</v>
      </c>
      <c r="D119" s="8">
        <v>26678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6000</v>
      </c>
      <c r="K119" s="8">
        <v>0</v>
      </c>
      <c r="L119" s="8"/>
      <c r="M119" s="8"/>
      <c r="N119" s="12">
        <f t="shared" si="27"/>
        <v>3783</v>
      </c>
      <c r="O119" s="12">
        <f t="shared" si="7"/>
        <v>3.5074869037133185</v>
      </c>
      <c r="P119" s="8"/>
      <c r="Q119" s="8"/>
      <c r="R119" s="8"/>
      <c r="S119" s="3"/>
      <c r="T119" s="8"/>
      <c r="U119" s="8"/>
      <c r="V119" s="8"/>
      <c r="W119" s="8"/>
    </row>
    <row r="120" spans="1:23" ht="15.75" x14ac:dyDescent="0.3">
      <c r="A120" s="6">
        <v>42460</v>
      </c>
      <c r="B120" s="8">
        <f t="shared" si="26"/>
        <v>140989</v>
      </c>
      <c r="C120" s="8">
        <v>108311</v>
      </c>
      <c r="D120" s="8">
        <v>26678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6000</v>
      </c>
      <c r="K120" s="8">
        <v>0</v>
      </c>
      <c r="L120" s="8"/>
      <c r="M120" s="8"/>
      <c r="N120" s="12">
        <f t="shared" si="27"/>
        <v>456</v>
      </c>
      <c r="O120" s="12">
        <f t="shared" si="7"/>
        <v>0.42100986972698989</v>
      </c>
      <c r="P120" s="8"/>
      <c r="Q120" s="8">
        <f>SUM(N98:N120)</f>
        <v>15811</v>
      </c>
      <c r="R120" s="8"/>
      <c r="S120" s="3"/>
      <c r="T120" s="8"/>
      <c r="U120" s="8"/>
      <c r="V120" s="8"/>
      <c r="W120" s="8"/>
    </row>
    <row r="121" spans="1:23" ht="15.75" x14ac:dyDescent="0.3">
      <c r="A121" s="6">
        <v>42461</v>
      </c>
      <c r="B121" s="8">
        <f t="shared" si="26"/>
        <v>139603</v>
      </c>
      <c r="C121" s="8">
        <v>106925</v>
      </c>
      <c r="D121" s="8">
        <v>26678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6000</v>
      </c>
      <c r="K121" s="8">
        <v>0</v>
      </c>
      <c r="L121" s="8"/>
      <c r="M121" s="8"/>
      <c r="N121" s="12">
        <f t="shared" si="27"/>
        <v>-1386</v>
      </c>
      <c r="O121" s="12">
        <f t="shared" si="7"/>
        <v>-1.2962356792144027</v>
      </c>
      <c r="P121" s="17">
        <f>SUM(N117:N121)</f>
        <v>-2083</v>
      </c>
      <c r="Q121" s="8"/>
      <c r="R121" s="8"/>
      <c r="S121" s="3"/>
      <c r="T121" s="8"/>
      <c r="U121" s="8"/>
      <c r="V121" s="8"/>
      <c r="W121" s="8"/>
    </row>
    <row r="122" spans="1:23" ht="15.75" x14ac:dyDescent="0.3">
      <c r="A122" s="6">
        <v>42465</v>
      </c>
      <c r="B122" s="8">
        <f t="shared" ref="B122" si="28">SUM(C122:K122)</f>
        <v>143917</v>
      </c>
      <c r="C122" s="8">
        <v>111239</v>
      </c>
      <c r="D122" s="8">
        <v>26678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6000</v>
      </c>
      <c r="K122" s="8">
        <v>0</v>
      </c>
      <c r="L122" s="8"/>
      <c r="M122" s="8" t="s">
        <v>55</v>
      </c>
      <c r="N122" s="12">
        <f t="shared" si="27"/>
        <v>4314</v>
      </c>
      <c r="O122" s="12">
        <f t="shared" si="7"/>
        <v>3.8781362651588021</v>
      </c>
      <c r="P122" s="8"/>
      <c r="Q122" s="8"/>
      <c r="R122" s="8"/>
      <c r="S122" s="3"/>
      <c r="T122" s="8"/>
      <c r="U122" s="8"/>
      <c r="V122" s="8"/>
      <c r="W122" s="8"/>
    </row>
    <row r="123" spans="1:23" ht="15.75" x14ac:dyDescent="0.3">
      <c r="A123" s="6">
        <v>42466</v>
      </c>
      <c r="B123" s="8">
        <f t="shared" ref="B123:B125" si="29">SUM(C123:K123)</f>
        <v>145399</v>
      </c>
      <c r="C123" s="8">
        <v>112721</v>
      </c>
      <c r="D123" s="8">
        <v>26678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6000</v>
      </c>
      <c r="K123" s="8">
        <v>0</v>
      </c>
      <c r="L123" s="8"/>
      <c r="M123" s="8" t="s">
        <v>56</v>
      </c>
      <c r="N123" s="12">
        <f t="shared" si="27"/>
        <v>1482</v>
      </c>
      <c r="O123" s="12">
        <f t="shared" si="7"/>
        <v>1.314750578862856</v>
      </c>
      <c r="P123" s="8"/>
      <c r="Q123" s="8"/>
      <c r="R123" s="8"/>
      <c r="S123" s="3"/>
      <c r="T123" s="8"/>
      <c r="U123" s="8"/>
      <c r="V123" s="8"/>
      <c r="W123" s="8"/>
    </row>
    <row r="124" spans="1:23" ht="15.75" x14ac:dyDescent="0.3">
      <c r="A124" s="6">
        <v>42467</v>
      </c>
      <c r="B124" s="8">
        <f t="shared" si="29"/>
        <v>144078</v>
      </c>
      <c r="C124" s="8">
        <f>115400-4000</f>
        <v>111400</v>
      </c>
      <c r="D124" s="8">
        <v>26678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6000</v>
      </c>
      <c r="K124" s="8">
        <v>0</v>
      </c>
      <c r="L124" s="8"/>
      <c r="M124" s="8" t="s">
        <v>57</v>
      </c>
      <c r="N124" s="12">
        <f t="shared" si="27"/>
        <v>-1321</v>
      </c>
      <c r="O124" s="12">
        <f t="shared" si="7"/>
        <v>-1.1858168761220826</v>
      </c>
      <c r="P124" s="8"/>
      <c r="Q124" s="8"/>
      <c r="R124" s="8"/>
      <c r="S124" s="3"/>
      <c r="T124" s="8"/>
      <c r="U124" s="8"/>
      <c r="V124" s="8"/>
      <c r="W124" s="8"/>
    </row>
    <row r="125" spans="1:23" ht="15.75" x14ac:dyDescent="0.3">
      <c r="A125" s="6">
        <v>42468</v>
      </c>
      <c r="B125" s="8">
        <f t="shared" si="29"/>
        <v>143778</v>
      </c>
      <c r="C125" s="8">
        <f>115100-4000</f>
        <v>111100</v>
      </c>
      <c r="D125" s="8">
        <v>26678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6000</v>
      </c>
      <c r="K125" s="8">
        <v>0</v>
      </c>
      <c r="L125" s="8"/>
      <c r="M125" s="8"/>
      <c r="N125" s="12">
        <f t="shared" si="27"/>
        <v>-300</v>
      </c>
      <c r="O125" s="12">
        <f t="shared" si="7"/>
        <v>-0.27002700270027002</v>
      </c>
      <c r="P125" s="8">
        <f>SUM(N122:N125)</f>
        <v>4175</v>
      </c>
      <c r="Q125" s="8"/>
      <c r="R125" s="8"/>
      <c r="S125" s="3"/>
      <c r="T125" s="8"/>
      <c r="U125" s="8"/>
      <c r="V125" s="8"/>
      <c r="W125" s="8"/>
    </row>
    <row r="126" spans="1:23" ht="15.75" x14ac:dyDescent="0.3">
      <c r="A126" s="6">
        <v>42471</v>
      </c>
      <c r="B126" s="8">
        <f t="shared" ref="B126" si="30">SUM(C126:K126)</f>
        <v>145500</v>
      </c>
      <c r="C126" s="8">
        <f>116822-4000</f>
        <v>112822</v>
      </c>
      <c r="D126" s="8">
        <v>26678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6000</v>
      </c>
      <c r="K126" s="8">
        <v>0</v>
      </c>
      <c r="L126" s="8"/>
      <c r="M126" s="8"/>
      <c r="N126" s="12">
        <f t="shared" si="27"/>
        <v>1722</v>
      </c>
      <c r="O126" s="12">
        <f t="shared" si="7"/>
        <v>1.5262980624346314</v>
      </c>
      <c r="P126" s="8"/>
      <c r="Q126" s="8"/>
      <c r="R126" s="8"/>
      <c r="S126" s="3"/>
      <c r="T126" s="8"/>
      <c r="U126" s="8"/>
      <c r="V126" s="8"/>
      <c r="W126" s="8"/>
    </row>
    <row r="127" spans="1:23" ht="15.75" x14ac:dyDescent="0.3">
      <c r="A127" s="6">
        <v>42472</v>
      </c>
      <c r="B127" s="8">
        <f t="shared" ref="B127:B130" si="31">SUM(C127:K127)</f>
        <v>144390</v>
      </c>
      <c r="C127" s="8">
        <v>111712</v>
      </c>
      <c r="D127" s="8">
        <v>26678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6000</v>
      </c>
      <c r="K127" s="8">
        <v>0</v>
      </c>
      <c r="L127" s="8"/>
      <c r="M127" s="8"/>
      <c r="N127" s="12">
        <f t="shared" si="27"/>
        <v>-1110</v>
      </c>
      <c r="O127" s="12">
        <f t="shared" si="7"/>
        <v>-0.99362646806072752</v>
      </c>
      <c r="P127" s="8"/>
      <c r="Q127" s="8"/>
      <c r="R127" s="8"/>
      <c r="S127" s="3"/>
      <c r="T127" s="8"/>
      <c r="U127" s="8"/>
      <c r="V127" s="8"/>
      <c r="W127" s="8"/>
    </row>
    <row r="128" spans="1:23" ht="15.75" x14ac:dyDescent="0.3">
      <c r="A128" s="6">
        <v>42473</v>
      </c>
      <c r="B128" s="8">
        <f t="shared" si="31"/>
        <v>145767</v>
      </c>
      <c r="C128" s="8">
        <v>113089</v>
      </c>
      <c r="D128" s="8">
        <v>26678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6000</v>
      </c>
      <c r="K128" s="8">
        <v>0</v>
      </c>
      <c r="L128" s="8"/>
      <c r="M128" s="8"/>
      <c r="N128" s="12">
        <f t="shared" si="27"/>
        <v>1377</v>
      </c>
      <c r="O128" s="12">
        <f t="shared" si="7"/>
        <v>1.2176250563715303</v>
      </c>
      <c r="P128" s="8"/>
      <c r="Q128" s="8"/>
      <c r="R128" s="8"/>
      <c r="S128" s="3"/>
      <c r="T128" s="8"/>
      <c r="U128" s="8"/>
      <c r="V128" s="8"/>
      <c r="W128" s="8"/>
    </row>
    <row r="129" spans="1:23" ht="15.75" x14ac:dyDescent="0.3">
      <c r="A129" s="6">
        <v>42474</v>
      </c>
      <c r="B129" s="8">
        <f t="shared" si="31"/>
        <v>137563</v>
      </c>
      <c r="C129" s="8">
        <v>104885</v>
      </c>
      <c r="D129" s="8">
        <v>26678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6000</v>
      </c>
      <c r="K129" s="8">
        <v>0</v>
      </c>
      <c r="L129" s="8"/>
      <c r="M129" s="8"/>
      <c r="N129" s="12">
        <f>C129-C128+10000</f>
        <v>1796</v>
      </c>
      <c r="O129" s="12">
        <f t="shared" si="7"/>
        <v>1.7123516232063689</v>
      </c>
      <c r="P129" s="8"/>
      <c r="Q129" s="8"/>
      <c r="R129" s="8"/>
      <c r="S129" s="3"/>
      <c r="T129" s="8"/>
      <c r="U129" s="8"/>
      <c r="V129" s="8"/>
      <c r="W129" s="8"/>
    </row>
    <row r="130" spans="1:23" ht="15.75" x14ac:dyDescent="0.3">
      <c r="A130" s="6">
        <v>42475</v>
      </c>
      <c r="B130" s="8">
        <f t="shared" si="31"/>
        <v>137156</v>
      </c>
      <c r="C130" s="8">
        <v>104478</v>
      </c>
      <c r="D130" s="8">
        <v>26678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6000</v>
      </c>
      <c r="K130" s="8">
        <v>0</v>
      </c>
      <c r="L130" s="8"/>
      <c r="M130" s="8"/>
      <c r="N130" s="12">
        <f t="shared" si="27"/>
        <v>-407</v>
      </c>
      <c r="O130" s="12">
        <f t="shared" ref="O130:O193" si="32">N130/C130*100</f>
        <v>-0.38955569593598649</v>
      </c>
      <c r="P130" s="8">
        <f>SUM(N126:N130)</f>
        <v>3378</v>
      </c>
      <c r="Q130" s="8"/>
      <c r="R130" s="8"/>
      <c r="S130" s="3"/>
      <c r="T130" s="8"/>
      <c r="U130" s="8"/>
      <c r="V130" s="8"/>
      <c r="W130" s="8"/>
    </row>
    <row r="131" spans="1:23" ht="15.75" x14ac:dyDescent="0.3">
      <c r="A131" s="6">
        <v>42478</v>
      </c>
      <c r="B131" s="8">
        <f t="shared" ref="B131" si="33">SUM(C131:K131)</f>
        <v>134299</v>
      </c>
      <c r="C131" s="8">
        <v>101621</v>
      </c>
      <c r="D131" s="8">
        <v>26678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6000</v>
      </c>
      <c r="K131" s="8">
        <v>0</v>
      </c>
      <c r="N131" s="12">
        <f t="shared" si="27"/>
        <v>-2857</v>
      </c>
      <c r="O131" s="12">
        <f t="shared" si="32"/>
        <v>-2.8114267720254671</v>
      </c>
    </row>
    <row r="132" spans="1:23" ht="15.75" x14ac:dyDescent="0.3">
      <c r="A132" s="6">
        <v>42479</v>
      </c>
      <c r="B132" s="8">
        <f t="shared" ref="B132:B135" si="34">SUM(C132:K132)</f>
        <v>135796</v>
      </c>
      <c r="C132" s="8">
        <v>103118</v>
      </c>
      <c r="D132" s="8">
        <v>26678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6000</v>
      </c>
      <c r="K132" s="8">
        <v>0</v>
      </c>
      <c r="N132" s="12">
        <f t="shared" si="27"/>
        <v>1497</v>
      </c>
      <c r="O132" s="12">
        <f t="shared" si="32"/>
        <v>1.4517349056420799</v>
      </c>
    </row>
    <row r="133" spans="1:23" ht="15.75" x14ac:dyDescent="0.3">
      <c r="A133" s="6">
        <v>42480</v>
      </c>
      <c r="B133" s="8">
        <f t="shared" si="34"/>
        <v>130407</v>
      </c>
      <c r="C133" s="8">
        <v>97729</v>
      </c>
      <c r="D133" s="8">
        <v>26678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6000</v>
      </c>
      <c r="K133" s="8">
        <v>0</v>
      </c>
      <c r="N133" s="12">
        <f t="shared" si="27"/>
        <v>-5389</v>
      </c>
      <c r="O133" s="12">
        <f t="shared" si="32"/>
        <v>-5.5142281206192632</v>
      </c>
    </row>
    <row r="134" spans="1:23" ht="15.75" x14ac:dyDescent="0.3">
      <c r="A134" s="6">
        <v>42481</v>
      </c>
      <c r="B134" s="8">
        <f t="shared" si="34"/>
        <v>128478</v>
      </c>
      <c r="C134" s="8">
        <v>95800</v>
      </c>
      <c r="D134" s="8">
        <v>26678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6000</v>
      </c>
      <c r="K134" s="8">
        <v>0</v>
      </c>
      <c r="N134" s="12">
        <f t="shared" si="27"/>
        <v>-1929</v>
      </c>
      <c r="O134" s="12">
        <f t="shared" si="32"/>
        <v>-2.0135699373695202</v>
      </c>
    </row>
    <row r="135" spans="1:23" ht="15.75" x14ac:dyDescent="0.3">
      <c r="A135" s="6">
        <v>42482</v>
      </c>
      <c r="B135" s="8">
        <f t="shared" si="34"/>
        <v>129569</v>
      </c>
      <c r="C135" s="8">
        <v>96891</v>
      </c>
      <c r="D135" s="8">
        <v>26678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6000</v>
      </c>
      <c r="K135" s="8">
        <v>0</v>
      </c>
      <c r="N135" s="12">
        <f t="shared" si="27"/>
        <v>1091</v>
      </c>
      <c r="O135" s="12">
        <f t="shared" si="32"/>
        <v>1.1260075755230103</v>
      </c>
      <c r="P135" s="9">
        <f>SUM(N131:N135)</f>
        <v>-7587</v>
      </c>
    </row>
    <row r="136" spans="1:23" ht="15.75" x14ac:dyDescent="0.3">
      <c r="A136" s="6">
        <v>42485</v>
      </c>
      <c r="B136" s="8">
        <f t="shared" ref="B136:B159" si="35">SUM(C136:K136)</f>
        <v>129169</v>
      </c>
      <c r="C136" s="8">
        <v>96491</v>
      </c>
      <c r="D136" s="8">
        <v>26678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6000</v>
      </c>
      <c r="K136" s="8">
        <v>0</v>
      </c>
      <c r="N136" s="12">
        <f t="shared" si="27"/>
        <v>-400</v>
      </c>
      <c r="O136" s="12">
        <f t="shared" si="32"/>
        <v>-0.41454643438248129</v>
      </c>
    </row>
    <row r="137" spans="1:23" ht="15.75" x14ac:dyDescent="0.3">
      <c r="A137" s="6">
        <v>42486</v>
      </c>
      <c r="B137" s="8">
        <f t="shared" si="35"/>
        <v>131489</v>
      </c>
      <c r="C137" s="8">
        <v>98811</v>
      </c>
      <c r="D137" s="8">
        <v>26678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6000</v>
      </c>
      <c r="K137" s="8">
        <v>0</v>
      </c>
      <c r="N137" s="12">
        <f t="shared" si="27"/>
        <v>2320</v>
      </c>
      <c r="O137" s="12">
        <f t="shared" si="32"/>
        <v>2.3479167299187336</v>
      </c>
    </row>
    <row r="138" spans="1:23" ht="15.75" x14ac:dyDescent="0.3">
      <c r="A138" s="6">
        <v>42487</v>
      </c>
      <c r="B138" s="8">
        <f t="shared" si="35"/>
        <v>130589</v>
      </c>
      <c r="C138" s="8">
        <v>97911</v>
      </c>
      <c r="D138" s="8">
        <v>26678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6000</v>
      </c>
      <c r="K138" s="8">
        <v>0</v>
      </c>
      <c r="N138" s="12">
        <f t="shared" si="27"/>
        <v>-900</v>
      </c>
      <c r="O138" s="12">
        <f t="shared" si="32"/>
        <v>-0.91920213254894756</v>
      </c>
    </row>
    <row r="139" spans="1:23" ht="15.75" x14ac:dyDescent="0.3">
      <c r="A139" s="6">
        <v>42488</v>
      </c>
      <c r="B139" s="8">
        <f t="shared" si="35"/>
        <v>131720</v>
      </c>
      <c r="C139" s="8">
        <v>99042</v>
      </c>
      <c r="D139" s="8">
        <v>26678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6000</v>
      </c>
      <c r="K139" s="8">
        <v>0</v>
      </c>
      <c r="N139" s="12">
        <f t="shared" si="27"/>
        <v>1131</v>
      </c>
      <c r="O139" s="12">
        <f t="shared" si="32"/>
        <v>1.1419397831223117</v>
      </c>
    </row>
    <row r="140" spans="1:23" ht="15.75" x14ac:dyDescent="0.3">
      <c r="A140" s="6">
        <v>42489</v>
      </c>
      <c r="B140" s="8">
        <f t="shared" si="35"/>
        <v>130478</v>
      </c>
      <c r="C140" s="8">
        <v>97800</v>
      </c>
      <c r="D140" s="8">
        <v>26678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6000</v>
      </c>
      <c r="K140" s="8">
        <v>0</v>
      </c>
      <c r="N140" s="12">
        <f t="shared" si="27"/>
        <v>-1242</v>
      </c>
      <c r="O140" s="12">
        <f t="shared" si="32"/>
        <v>-1.2699386503067485</v>
      </c>
      <c r="P140" s="9">
        <f>SUM(N136:N140)</f>
        <v>909</v>
      </c>
      <c r="Q140" s="9">
        <f>SUM(N121:N140)</f>
        <v>-511</v>
      </c>
    </row>
    <row r="141" spans="1:23" ht="15.75" x14ac:dyDescent="0.3">
      <c r="A141" s="6">
        <v>42493</v>
      </c>
      <c r="B141" s="8">
        <f t="shared" si="35"/>
        <v>132722</v>
      </c>
      <c r="C141" s="8">
        <v>100044</v>
      </c>
      <c r="D141" s="8">
        <v>26678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6000</v>
      </c>
      <c r="K141" s="8">
        <v>0</v>
      </c>
      <c r="N141" s="12">
        <f t="shared" si="27"/>
        <v>2244</v>
      </c>
      <c r="O141" s="12">
        <f t="shared" si="32"/>
        <v>2.2430130742473313</v>
      </c>
    </row>
    <row r="142" spans="1:23" ht="15.75" x14ac:dyDescent="0.3">
      <c r="A142" s="6">
        <f>A141+1</f>
        <v>42494</v>
      </c>
      <c r="B142" s="8">
        <f t="shared" si="35"/>
        <v>132590</v>
      </c>
      <c r="C142" s="8">
        <v>99912</v>
      </c>
      <c r="D142" s="8">
        <v>26678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6000</v>
      </c>
      <c r="K142" s="8">
        <v>0</v>
      </c>
      <c r="N142" s="12">
        <f t="shared" si="27"/>
        <v>-132</v>
      </c>
      <c r="O142" s="12">
        <f t="shared" si="32"/>
        <v>-0.13211626231083354</v>
      </c>
    </row>
    <row r="143" spans="1:23" ht="15.75" x14ac:dyDescent="0.3">
      <c r="A143" s="6">
        <f t="shared" ref="A143:A144" si="36">A142+1</f>
        <v>42495</v>
      </c>
      <c r="B143" s="8">
        <f t="shared" si="35"/>
        <v>132742</v>
      </c>
      <c r="C143" s="8">
        <f>100664-600</f>
        <v>100064</v>
      </c>
      <c r="D143" s="8">
        <v>26678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6000</v>
      </c>
      <c r="K143" s="8">
        <v>0</v>
      </c>
      <c r="N143" s="12">
        <f t="shared" si="27"/>
        <v>152</v>
      </c>
      <c r="O143" s="12">
        <f t="shared" si="32"/>
        <v>0.15190278221937958</v>
      </c>
    </row>
    <row r="144" spans="1:23" ht="15.75" x14ac:dyDescent="0.3">
      <c r="A144" s="6">
        <f t="shared" si="36"/>
        <v>42496</v>
      </c>
      <c r="B144" s="8">
        <f t="shared" si="35"/>
        <v>128641</v>
      </c>
      <c r="C144" s="8">
        <v>95963</v>
      </c>
      <c r="D144" s="8">
        <v>26678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6000</v>
      </c>
      <c r="K144" s="8">
        <v>0</v>
      </c>
      <c r="N144" s="12">
        <f t="shared" si="27"/>
        <v>-4101</v>
      </c>
      <c r="O144" s="12">
        <f t="shared" si="32"/>
        <v>-4.2735220866375583</v>
      </c>
      <c r="P144" s="9">
        <f>SUM(N141:N144)</f>
        <v>-1837</v>
      </c>
    </row>
    <row r="145" spans="1:16" s="9" customFormat="1" ht="15.75" x14ac:dyDescent="0.3">
      <c r="A145" s="6">
        <f>A144+3</f>
        <v>42499</v>
      </c>
      <c r="B145" s="8">
        <f t="shared" si="35"/>
        <v>124641</v>
      </c>
      <c r="C145" s="8">
        <v>91963</v>
      </c>
      <c r="D145" s="8">
        <v>26678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6000</v>
      </c>
      <c r="K145" s="8">
        <v>0</v>
      </c>
      <c r="N145" s="12">
        <f t="shared" si="27"/>
        <v>-4000</v>
      </c>
      <c r="O145" s="12">
        <f t="shared" si="32"/>
        <v>-4.3495753727042397</v>
      </c>
    </row>
    <row r="146" spans="1:16" s="9" customFormat="1" ht="15.75" x14ac:dyDescent="0.3">
      <c r="A146" s="6">
        <f>A145+1</f>
        <v>42500</v>
      </c>
      <c r="B146" s="8">
        <f t="shared" si="35"/>
        <v>125273</v>
      </c>
      <c r="C146" s="8">
        <v>92595</v>
      </c>
      <c r="D146" s="8">
        <v>26678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6000</v>
      </c>
      <c r="K146" s="8">
        <v>0</v>
      </c>
      <c r="N146" s="12">
        <f t="shared" si="27"/>
        <v>632</v>
      </c>
      <c r="O146" s="12">
        <f t="shared" si="32"/>
        <v>0.68254225390139855</v>
      </c>
    </row>
    <row r="147" spans="1:16" s="9" customFormat="1" ht="15.75" x14ac:dyDescent="0.3">
      <c r="A147" s="6">
        <f t="shared" ref="A147:A210" si="37">A146+1</f>
        <v>42501</v>
      </c>
      <c r="B147" s="8">
        <f t="shared" si="35"/>
        <v>123974</v>
      </c>
      <c r="C147" s="8">
        <v>91296</v>
      </c>
      <c r="D147" s="8">
        <v>26678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6000</v>
      </c>
      <c r="K147" s="8">
        <v>0</v>
      </c>
      <c r="N147" s="12">
        <f t="shared" si="27"/>
        <v>-1299</v>
      </c>
      <c r="O147" s="12">
        <f t="shared" si="32"/>
        <v>-1.422844374342797</v>
      </c>
    </row>
    <row r="148" spans="1:16" s="9" customFormat="1" ht="15.75" x14ac:dyDescent="0.3">
      <c r="A148" s="6">
        <f t="shared" si="37"/>
        <v>42502</v>
      </c>
      <c r="B148" s="8">
        <f t="shared" si="35"/>
        <v>122974</v>
      </c>
      <c r="C148" s="8">
        <v>90296</v>
      </c>
      <c r="D148" s="8">
        <v>26678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6000</v>
      </c>
      <c r="K148" s="8">
        <v>0</v>
      </c>
      <c r="N148" s="12">
        <f t="shared" si="27"/>
        <v>-1000</v>
      </c>
      <c r="O148" s="12">
        <f t="shared" si="32"/>
        <v>-1.1074687693807035</v>
      </c>
    </row>
    <row r="149" spans="1:16" s="9" customFormat="1" ht="15.75" x14ac:dyDescent="0.3">
      <c r="A149" s="6">
        <f t="shared" si="37"/>
        <v>42503</v>
      </c>
      <c r="B149" s="8">
        <f t="shared" si="35"/>
        <v>121578</v>
      </c>
      <c r="C149" s="8">
        <v>88900</v>
      </c>
      <c r="D149" s="8">
        <v>26678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6000</v>
      </c>
      <c r="K149" s="8">
        <v>0</v>
      </c>
      <c r="N149" s="12">
        <f t="shared" si="27"/>
        <v>-1396</v>
      </c>
      <c r="O149" s="12">
        <f t="shared" si="32"/>
        <v>-1.5703037120359955</v>
      </c>
      <c r="P149" s="9">
        <f>SUM(N145:N149)</f>
        <v>-7063</v>
      </c>
    </row>
    <row r="150" spans="1:16" s="9" customFormat="1" ht="15.75" x14ac:dyDescent="0.3">
      <c r="A150" s="6">
        <f>A149+3</f>
        <v>42506</v>
      </c>
      <c r="B150" s="8">
        <f t="shared" si="35"/>
        <v>123021</v>
      </c>
      <c r="C150" s="8">
        <v>90343</v>
      </c>
      <c r="D150" s="8">
        <v>26678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6000</v>
      </c>
      <c r="K150" s="8">
        <v>0</v>
      </c>
      <c r="N150" s="12">
        <f t="shared" si="27"/>
        <v>1443</v>
      </c>
      <c r="O150" s="12">
        <f t="shared" si="32"/>
        <v>1.5972460511605768</v>
      </c>
    </row>
    <row r="151" spans="1:16" s="9" customFormat="1" ht="15.75" x14ac:dyDescent="0.3">
      <c r="A151" s="6">
        <f t="shared" si="37"/>
        <v>42507</v>
      </c>
      <c r="B151" s="8">
        <f t="shared" si="35"/>
        <v>123828</v>
      </c>
      <c r="C151" s="8">
        <v>91150</v>
      </c>
      <c r="D151" s="8">
        <v>26678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6000</v>
      </c>
      <c r="K151" s="8">
        <v>0</v>
      </c>
      <c r="N151" s="12">
        <f t="shared" si="27"/>
        <v>807</v>
      </c>
      <c r="O151" s="12">
        <f t="shared" si="32"/>
        <v>0.8853538123971475</v>
      </c>
    </row>
    <row r="152" spans="1:16" s="9" customFormat="1" ht="15.75" x14ac:dyDescent="0.3">
      <c r="A152" s="6">
        <f t="shared" si="37"/>
        <v>42508</v>
      </c>
      <c r="B152" s="8">
        <f t="shared" si="35"/>
        <v>120483</v>
      </c>
      <c r="C152" s="8">
        <v>87805</v>
      </c>
      <c r="D152" s="8">
        <v>26678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6000</v>
      </c>
      <c r="K152" s="8">
        <v>0</v>
      </c>
      <c r="N152" s="12">
        <f t="shared" si="27"/>
        <v>-3345</v>
      </c>
      <c r="O152" s="12">
        <f t="shared" si="32"/>
        <v>-3.8095780422527188</v>
      </c>
    </row>
    <row r="153" spans="1:16" s="9" customFormat="1" ht="15.75" x14ac:dyDescent="0.3">
      <c r="A153" s="6">
        <f t="shared" si="37"/>
        <v>42509</v>
      </c>
      <c r="B153" s="8">
        <f t="shared" si="35"/>
        <v>121286</v>
      </c>
      <c r="C153" s="8">
        <v>88608</v>
      </c>
      <c r="D153" s="8">
        <v>26678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6000</v>
      </c>
      <c r="K153" s="8">
        <v>0</v>
      </c>
      <c r="N153" s="12">
        <f t="shared" si="27"/>
        <v>803</v>
      </c>
      <c r="O153" s="12">
        <f t="shared" si="32"/>
        <v>0.90623871433730585</v>
      </c>
    </row>
    <row r="154" spans="1:16" s="9" customFormat="1" ht="15.75" x14ac:dyDescent="0.3">
      <c r="A154" s="6">
        <f t="shared" si="37"/>
        <v>42510</v>
      </c>
      <c r="B154" s="8">
        <f t="shared" si="35"/>
        <v>122471</v>
      </c>
      <c r="C154" s="8">
        <v>89793</v>
      </c>
      <c r="D154" s="8">
        <v>26678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6000</v>
      </c>
      <c r="K154" s="8">
        <v>0</v>
      </c>
      <c r="N154" s="12">
        <f t="shared" si="27"/>
        <v>1185</v>
      </c>
      <c r="O154" s="12">
        <f t="shared" si="32"/>
        <v>1.3197019812234807</v>
      </c>
      <c r="P154" s="9">
        <f>SUM(N150:N154)</f>
        <v>893</v>
      </c>
    </row>
    <row r="155" spans="1:16" s="9" customFormat="1" ht="15.75" x14ac:dyDescent="0.3">
      <c r="A155" s="6">
        <f>A154+3</f>
        <v>42513</v>
      </c>
      <c r="B155" s="8">
        <f t="shared" si="35"/>
        <v>122726</v>
      </c>
      <c r="C155" s="8">
        <v>90048</v>
      </c>
      <c r="D155" s="8">
        <v>26678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6000</v>
      </c>
      <c r="K155" s="8">
        <v>0</v>
      </c>
      <c r="N155" s="12">
        <f t="shared" si="27"/>
        <v>255</v>
      </c>
      <c r="O155" s="12">
        <f t="shared" si="32"/>
        <v>0.28318230277185497</v>
      </c>
    </row>
    <row r="156" spans="1:16" s="9" customFormat="1" ht="15.75" x14ac:dyDescent="0.3">
      <c r="A156" s="6">
        <f t="shared" si="37"/>
        <v>42514</v>
      </c>
      <c r="B156" s="8">
        <f t="shared" si="35"/>
        <v>121871</v>
      </c>
      <c r="C156" s="8">
        <v>89193</v>
      </c>
      <c r="D156" s="8">
        <v>26678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6000</v>
      </c>
      <c r="K156" s="8">
        <v>0</v>
      </c>
      <c r="N156" s="12">
        <f t="shared" si="27"/>
        <v>-855</v>
      </c>
      <c r="O156" s="12">
        <f t="shared" si="32"/>
        <v>-0.95859540546903899</v>
      </c>
    </row>
    <row r="157" spans="1:16" s="9" customFormat="1" ht="15.75" x14ac:dyDescent="0.3">
      <c r="A157" s="6">
        <f t="shared" si="37"/>
        <v>42515</v>
      </c>
      <c r="B157" s="8">
        <f t="shared" si="35"/>
        <v>121858</v>
      </c>
      <c r="C157" s="8">
        <v>89180</v>
      </c>
      <c r="D157" s="8">
        <v>26678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6000</v>
      </c>
      <c r="K157" s="8">
        <v>0</v>
      </c>
      <c r="N157" s="12">
        <f t="shared" si="27"/>
        <v>-13</v>
      </c>
      <c r="O157" s="12">
        <f t="shared" si="32"/>
        <v>-1.4577259475218658E-2</v>
      </c>
    </row>
    <row r="158" spans="1:16" s="9" customFormat="1" ht="15.75" x14ac:dyDescent="0.3">
      <c r="A158" s="6">
        <f t="shared" si="37"/>
        <v>42516</v>
      </c>
      <c r="B158" s="8">
        <f t="shared" si="35"/>
        <v>122686</v>
      </c>
      <c r="C158" s="8">
        <v>90008</v>
      </c>
      <c r="D158" s="8">
        <v>26678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6000</v>
      </c>
      <c r="K158" s="8">
        <v>0</v>
      </c>
      <c r="N158" s="12">
        <f t="shared" si="27"/>
        <v>828</v>
      </c>
      <c r="O158" s="12">
        <f t="shared" si="32"/>
        <v>0.919918229490712</v>
      </c>
    </row>
    <row r="159" spans="1:16" s="9" customFormat="1" ht="15.75" x14ac:dyDescent="0.3">
      <c r="A159" s="6">
        <f t="shared" si="37"/>
        <v>42517</v>
      </c>
      <c r="B159" s="8">
        <f t="shared" si="35"/>
        <v>117940</v>
      </c>
      <c r="C159" s="8">
        <v>85262</v>
      </c>
      <c r="D159" s="8">
        <v>26678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6000</v>
      </c>
      <c r="K159" s="8">
        <v>0</v>
      </c>
      <c r="N159" s="12">
        <f>C159-C158+4984</f>
        <v>238</v>
      </c>
      <c r="O159" s="12">
        <f t="shared" si="32"/>
        <v>0.27913959325373555</v>
      </c>
      <c r="P159" s="9">
        <f>SUM(N155:N159)</f>
        <v>453</v>
      </c>
    </row>
    <row r="160" spans="1:16" s="9" customFormat="1" ht="15.75" x14ac:dyDescent="0.3">
      <c r="A160" s="6">
        <f>A159+3</f>
        <v>42520</v>
      </c>
      <c r="B160" s="8">
        <f t="shared" ref="B160:B164" si="38">SUM(C160:K160)</f>
        <v>117340</v>
      </c>
      <c r="C160" s="8">
        <v>84662</v>
      </c>
      <c r="D160" s="8">
        <v>26678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6000</v>
      </c>
      <c r="K160" s="8">
        <v>0</v>
      </c>
      <c r="N160" s="12">
        <f>C160-C159</f>
        <v>-600</v>
      </c>
      <c r="O160" s="12">
        <f t="shared" si="32"/>
        <v>-0.70870047955399118</v>
      </c>
    </row>
    <row r="161" spans="1:17" s="9" customFormat="1" ht="15.75" x14ac:dyDescent="0.3">
      <c r="A161" s="6">
        <f t="shared" si="37"/>
        <v>42521</v>
      </c>
      <c r="B161" s="8">
        <f t="shared" si="38"/>
        <v>121338</v>
      </c>
      <c r="C161" s="8">
        <v>88660</v>
      </c>
      <c r="D161" s="8">
        <v>26678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6000</v>
      </c>
      <c r="K161" s="8">
        <v>0</v>
      </c>
      <c r="N161" s="12">
        <f t="shared" ref="N161:N176" si="39">C161-C160</f>
        <v>3998</v>
      </c>
      <c r="O161" s="12">
        <f t="shared" si="32"/>
        <v>4.5093616061357995</v>
      </c>
      <c r="Q161" s="9">
        <f>SUM(N141:N161)</f>
        <v>-4156</v>
      </c>
    </row>
    <row r="162" spans="1:17" s="9" customFormat="1" ht="15.75" x14ac:dyDescent="0.3">
      <c r="A162" s="6">
        <f t="shared" si="37"/>
        <v>42522</v>
      </c>
      <c r="B162" s="8">
        <f t="shared" si="38"/>
        <v>121308</v>
      </c>
      <c r="C162" s="8">
        <v>88630</v>
      </c>
      <c r="D162" s="8">
        <v>26678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6000</v>
      </c>
      <c r="K162" s="8">
        <v>0</v>
      </c>
      <c r="N162" s="12">
        <f t="shared" si="39"/>
        <v>-30</v>
      </c>
      <c r="O162" s="12">
        <f t="shared" si="32"/>
        <v>-3.3848584000902626E-2</v>
      </c>
    </row>
    <row r="163" spans="1:17" s="9" customFormat="1" ht="15.75" x14ac:dyDescent="0.3">
      <c r="A163" s="6">
        <f t="shared" si="37"/>
        <v>42523</v>
      </c>
      <c r="B163" s="8">
        <f t="shared" si="38"/>
        <v>122222</v>
      </c>
      <c r="C163" s="8">
        <v>89544</v>
      </c>
      <c r="D163" s="8">
        <v>26678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6000</v>
      </c>
      <c r="K163" s="8">
        <v>0</v>
      </c>
      <c r="N163" s="12">
        <f t="shared" si="39"/>
        <v>914</v>
      </c>
      <c r="O163" s="12">
        <f t="shared" si="32"/>
        <v>1.0207272402394354</v>
      </c>
    </row>
    <row r="164" spans="1:17" s="9" customFormat="1" ht="15.75" x14ac:dyDescent="0.3">
      <c r="A164" s="6">
        <f t="shared" si="37"/>
        <v>42524</v>
      </c>
      <c r="B164" s="8">
        <f t="shared" si="38"/>
        <v>122801</v>
      </c>
      <c r="C164" s="8">
        <v>90123</v>
      </c>
      <c r="D164" s="8">
        <v>26678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6000</v>
      </c>
      <c r="K164" s="8">
        <v>0</v>
      </c>
      <c r="N164" s="12">
        <f t="shared" si="39"/>
        <v>579</v>
      </c>
      <c r="O164" s="12">
        <f t="shared" si="32"/>
        <v>0.64245531107486431</v>
      </c>
      <c r="P164" s="9">
        <f>SUM(N160:N164)</f>
        <v>4861</v>
      </c>
    </row>
    <row r="165" spans="1:17" s="9" customFormat="1" ht="15.75" x14ac:dyDescent="0.3">
      <c r="A165" s="6">
        <f>A164+3</f>
        <v>42527</v>
      </c>
      <c r="B165" s="8">
        <f t="shared" ref="B165:B217" si="40">SUM(C165:K165)</f>
        <v>122481</v>
      </c>
      <c r="C165" s="8">
        <v>89803</v>
      </c>
      <c r="D165" s="8">
        <v>26678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6000</v>
      </c>
      <c r="K165" s="8">
        <v>0</v>
      </c>
      <c r="N165" s="12">
        <f t="shared" si="39"/>
        <v>-320</v>
      </c>
      <c r="O165" s="12">
        <f t="shared" si="32"/>
        <v>-0.35633553444762422</v>
      </c>
    </row>
    <row r="166" spans="1:17" s="9" customFormat="1" ht="15.75" x14ac:dyDescent="0.3">
      <c r="A166" s="6">
        <f t="shared" si="37"/>
        <v>42528</v>
      </c>
      <c r="B166" s="8">
        <f t="shared" si="40"/>
        <v>122929</v>
      </c>
      <c r="C166" s="8">
        <v>90251</v>
      </c>
      <c r="D166" s="8">
        <v>26678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6000</v>
      </c>
      <c r="K166" s="8">
        <v>0</v>
      </c>
      <c r="N166" s="12">
        <f t="shared" si="39"/>
        <v>448</v>
      </c>
      <c r="O166" s="12">
        <f t="shared" si="32"/>
        <v>0.49639339176297215</v>
      </c>
    </row>
    <row r="167" spans="1:17" s="9" customFormat="1" ht="15.75" x14ac:dyDescent="0.3">
      <c r="A167" s="6">
        <f t="shared" si="37"/>
        <v>42529</v>
      </c>
      <c r="B167" s="8">
        <f t="shared" si="40"/>
        <v>122233</v>
      </c>
      <c r="C167" s="8">
        <v>89555</v>
      </c>
      <c r="D167" s="8">
        <v>26678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6000</v>
      </c>
      <c r="K167" s="8">
        <v>0</v>
      </c>
      <c r="N167" s="12">
        <f t="shared" si="39"/>
        <v>-696</v>
      </c>
      <c r="O167" s="12">
        <f t="shared" si="32"/>
        <v>-0.7771760370721903</v>
      </c>
      <c r="P167" s="9">
        <f>SUM(N165:N167)</f>
        <v>-568</v>
      </c>
    </row>
    <row r="168" spans="1:17" s="9" customFormat="1" ht="15.75" x14ac:dyDescent="0.3">
      <c r="A168" s="6">
        <f>A167+5</f>
        <v>42534</v>
      </c>
      <c r="B168" s="8">
        <f t="shared" si="40"/>
        <v>116388</v>
      </c>
      <c r="C168" s="8">
        <v>83710</v>
      </c>
      <c r="D168" s="8">
        <v>26678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6000</v>
      </c>
      <c r="K168" s="8">
        <v>0</v>
      </c>
      <c r="N168" s="12">
        <f t="shared" si="39"/>
        <v>-5845</v>
      </c>
      <c r="O168" s="12">
        <f t="shared" si="32"/>
        <v>-6.9824393740293864</v>
      </c>
    </row>
    <row r="169" spans="1:17" s="9" customFormat="1" ht="15.75" x14ac:dyDescent="0.3">
      <c r="A169" s="6">
        <f t="shared" si="37"/>
        <v>42535</v>
      </c>
      <c r="B169" s="8">
        <f t="shared" si="40"/>
        <v>116241</v>
      </c>
      <c r="C169" s="8">
        <v>83563</v>
      </c>
      <c r="D169" s="8">
        <v>26678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6000</v>
      </c>
      <c r="K169" s="8">
        <v>0</v>
      </c>
      <c r="N169" s="12">
        <f t="shared" si="39"/>
        <v>-147</v>
      </c>
      <c r="O169" s="12">
        <f t="shared" si="32"/>
        <v>-0.17591517777006568</v>
      </c>
    </row>
    <row r="170" spans="1:17" s="9" customFormat="1" ht="15.75" x14ac:dyDescent="0.3">
      <c r="A170" s="6">
        <f t="shared" si="37"/>
        <v>42536</v>
      </c>
      <c r="B170" s="8">
        <f t="shared" si="40"/>
        <v>119439</v>
      </c>
      <c r="C170" s="8">
        <v>86761</v>
      </c>
      <c r="D170" s="8">
        <v>26678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6000</v>
      </c>
      <c r="K170" s="8">
        <v>0</v>
      </c>
      <c r="N170" s="12">
        <f t="shared" si="39"/>
        <v>3198</v>
      </c>
      <c r="O170" s="12">
        <f t="shared" si="32"/>
        <v>3.6859879438918406</v>
      </c>
    </row>
    <row r="171" spans="1:17" s="9" customFormat="1" ht="15.75" x14ac:dyDescent="0.3">
      <c r="A171" s="6">
        <f t="shared" si="37"/>
        <v>42537</v>
      </c>
      <c r="B171" s="8">
        <f t="shared" si="40"/>
        <v>119359</v>
      </c>
      <c r="C171" s="8">
        <v>86681</v>
      </c>
      <c r="D171" s="8">
        <v>26678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6000</v>
      </c>
      <c r="K171" s="8">
        <v>0</v>
      </c>
      <c r="N171" s="12">
        <f t="shared" si="39"/>
        <v>-80</v>
      </c>
      <c r="O171" s="12">
        <f t="shared" si="32"/>
        <v>-9.2292428559892017E-2</v>
      </c>
    </row>
    <row r="172" spans="1:17" s="9" customFormat="1" ht="15.75" x14ac:dyDescent="0.3">
      <c r="A172" s="6">
        <f t="shared" si="37"/>
        <v>42538</v>
      </c>
      <c r="B172" s="8">
        <f t="shared" si="40"/>
        <v>120494</v>
      </c>
      <c r="C172" s="8">
        <v>87816</v>
      </c>
      <c r="D172" s="8">
        <v>26678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6000</v>
      </c>
      <c r="K172" s="8">
        <v>0</v>
      </c>
      <c r="N172" s="12">
        <f t="shared" si="39"/>
        <v>1135</v>
      </c>
      <c r="O172" s="12">
        <f t="shared" si="32"/>
        <v>1.2924751753666757</v>
      </c>
      <c r="P172" s="9">
        <f>SUM(N168:N172)</f>
        <v>-1739</v>
      </c>
    </row>
    <row r="173" spans="1:17" s="9" customFormat="1" ht="15.75" x14ac:dyDescent="0.3">
      <c r="A173" s="6">
        <f>A172+3</f>
        <v>42541</v>
      </c>
      <c r="B173" s="8">
        <f t="shared" si="40"/>
        <v>121309</v>
      </c>
      <c r="C173" s="8">
        <v>88631</v>
      </c>
      <c r="D173" s="8">
        <v>26678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6000</v>
      </c>
      <c r="K173" s="8">
        <v>0</v>
      </c>
      <c r="N173" s="12">
        <f t="shared" si="39"/>
        <v>815</v>
      </c>
      <c r="O173" s="12">
        <f t="shared" si="32"/>
        <v>0.919542823617019</v>
      </c>
    </row>
    <row r="174" spans="1:17" s="9" customFormat="1" ht="15.75" x14ac:dyDescent="0.3">
      <c r="A174" s="6">
        <f t="shared" si="37"/>
        <v>42542</v>
      </c>
      <c r="B174" s="8">
        <f t="shared" si="40"/>
        <v>120819</v>
      </c>
      <c r="C174" s="8">
        <v>88141</v>
      </c>
      <c r="D174" s="8">
        <v>26678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6000</v>
      </c>
      <c r="K174" s="8">
        <v>0</v>
      </c>
      <c r="N174" s="12">
        <f t="shared" si="39"/>
        <v>-490</v>
      </c>
      <c r="O174" s="12">
        <f t="shared" si="32"/>
        <v>-0.5559274344516173</v>
      </c>
    </row>
    <row r="175" spans="1:17" s="9" customFormat="1" ht="15.75" x14ac:dyDescent="0.3">
      <c r="A175" s="6">
        <f t="shared" si="37"/>
        <v>42543</v>
      </c>
      <c r="B175" s="8">
        <f t="shared" si="40"/>
        <v>124234</v>
      </c>
      <c r="C175" s="8">
        <v>91556</v>
      </c>
      <c r="D175" s="8">
        <v>26678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6000</v>
      </c>
      <c r="K175" s="8">
        <v>0</v>
      </c>
      <c r="N175" s="12">
        <f t="shared" si="39"/>
        <v>3415</v>
      </c>
      <c r="O175" s="12">
        <f t="shared" si="32"/>
        <v>3.7299576215649437</v>
      </c>
    </row>
    <row r="176" spans="1:17" s="9" customFormat="1" ht="15.75" x14ac:dyDescent="0.3">
      <c r="A176" s="6">
        <f t="shared" si="37"/>
        <v>42544</v>
      </c>
      <c r="B176" s="8">
        <f t="shared" si="40"/>
        <v>124718</v>
      </c>
      <c r="C176" s="8">
        <v>92040</v>
      </c>
      <c r="D176" s="8">
        <v>26678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6000</v>
      </c>
      <c r="K176" s="8">
        <v>0</v>
      </c>
      <c r="N176" s="12">
        <f t="shared" si="39"/>
        <v>484</v>
      </c>
      <c r="O176" s="12">
        <f t="shared" si="32"/>
        <v>0.52585832246849196</v>
      </c>
    </row>
    <row r="177" spans="1:17" s="9" customFormat="1" ht="15.75" x14ac:dyDescent="0.3">
      <c r="A177" s="6">
        <f t="shared" si="37"/>
        <v>42545</v>
      </c>
      <c r="B177" s="8">
        <f t="shared" si="40"/>
        <v>122710</v>
      </c>
      <c r="C177" s="8">
        <f>91732-1700</f>
        <v>90032</v>
      </c>
      <c r="D177" s="8">
        <v>26678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6000</v>
      </c>
      <c r="K177" s="8">
        <v>0</v>
      </c>
      <c r="M177" s="9" t="s">
        <v>58</v>
      </c>
      <c r="N177" s="12">
        <f>C177-C176</f>
        <v>-2008</v>
      </c>
      <c r="O177" s="12">
        <f t="shared" si="32"/>
        <v>-2.2303181091167588</v>
      </c>
      <c r="P177" s="9">
        <f>SUM(N173:N177)</f>
        <v>2216</v>
      </c>
    </row>
    <row r="178" spans="1:17" s="9" customFormat="1" ht="15.75" x14ac:dyDescent="0.3">
      <c r="A178" s="6">
        <f>A177+3</f>
        <v>42548</v>
      </c>
      <c r="B178" s="8">
        <f t="shared" si="40"/>
        <v>125439</v>
      </c>
      <c r="C178" s="8">
        <v>92761</v>
      </c>
      <c r="D178" s="8">
        <v>26678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6000</v>
      </c>
      <c r="K178" s="8">
        <v>0</v>
      </c>
      <c r="N178" s="12">
        <f t="shared" ref="N178:N241" si="41">C178-C177</f>
        <v>2729</v>
      </c>
      <c r="O178" s="12">
        <f t="shared" si="32"/>
        <v>2.9419691465163162</v>
      </c>
    </row>
    <row r="179" spans="1:17" s="9" customFormat="1" ht="15.75" x14ac:dyDescent="0.3">
      <c r="A179" s="6">
        <f t="shared" si="37"/>
        <v>42549</v>
      </c>
      <c r="B179" s="8">
        <f t="shared" si="40"/>
        <v>126876</v>
      </c>
      <c r="C179" s="8">
        <v>94198</v>
      </c>
      <c r="D179" s="8">
        <v>26678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6000</v>
      </c>
      <c r="K179" s="8">
        <v>0</v>
      </c>
      <c r="N179" s="12">
        <f t="shared" si="41"/>
        <v>1437</v>
      </c>
      <c r="O179" s="12">
        <f t="shared" si="32"/>
        <v>1.5255100957557486</v>
      </c>
    </row>
    <row r="180" spans="1:17" s="9" customFormat="1" ht="15.75" x14ac:dyDescent="0.3">
      <c r="A180" s="6">
        <f t="shared" si="37"/>
        <v>42550</v>
      </c>
      <c r="B180" s="8">
        <f t="shared" si="40"/>
        <v>127076</v>
      </c>
      <c r="C180" s="8">
        <v>94398</v>
      </c>
      <c r="D180" s="8">
        <v>26678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6000</v>
      </c>
      <c r="K180" s="8">
        <v>0</v>
      </c>
      <c r="N180" s="12">
        <f t="shared" si="41"/>
        <v>200</v>
      </c>
      <c r="O180" s="12">
        <f t="shared" si="32"/>
        <v>0.21186889552744764</v>
      </c>
    </row>
    <row r="181" spans="1:17" s="9" customFormat="1" ht="15.75" x14ac:dyDescent="0.3">
      <c r="A181" s="6">
        <f t="shared" si="37"/>
        <v>42551</v>
      </c>
      <c r="B181" s="8">
        <f t="shared" si="40"/>
        <v>126409</v>
      </c>
      <c r="C181" s="8">
        <v>93731</v>
      </c>
      <c r="D181" s="8">
        <v>26678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6000</v>
      </c>
      <c r="K181" s="8">
        <v>0</v>
      </c>
      <c r="N181" s="12">
        <f t="shared" si="41"/>
        <v>-667</v>
      </c>
      <c r="O181" s="12">
        <f t="shared" si="32"/>
        <v>-0.71161088647299187</v>
      </c>
      <c r="Q181" s="9">
        <f>SUM(N162:N181)</f>
        <v>5071</v>
      </c>
    </row>
    <row r="182" spans="1:17" s="9" customFormat="1" ht="15.75" x14ac:dyDescent="0.3">
      <c r="A182" s="6">
        <f t="shared" si="37"/>
        <v>42552</v>
      </c>
      <c r="B182" s="8">
        <f t="shared" si="40"/>
        <v>126764</v>
      </c>
      <c r="C182" s="8">
        <v>94086</v>
      </c>
      <c r="D182" s="8">
        <v>26678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6000</v>
      </c>
      <c r="K182" s="8">
        <v>0</v>
      </c>
      <c r="N182" s="12">
        <f t="shared" si="41"/>
        <v>355</v>
      </c>
      <c r="O182" s="12">
        <f t="shared" si="32"/>
        <v>0.37731437195757073</v>
      </c>
      <c r="P182" s="9">
        <f>SUM(N178:N182)</f>
        <v>4054</v>
      </c>
    </row>
    <row r="183" spans="1:17" s="9" customFormat="1" ht="15.75" x14ac:dyDescent="0.3">
      <c r="A183" s="6">
        <f>A182+3</f>
        <v>42555</v>
      </c>
      <c r="B183" s="8">
        <f t="shared" si="40"/>
        <v>127864</v>
      </c>
      <c r="C183" s="8">
        <v>95186</v>
      </c>
      <c r="D183" s="8">
        <v>26678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6000</v>
      </c>
      <c r="K183" s="8">
        <v>0</v>
      </c>
      <c r="M183" s="9" t="s">
        <v>59</v>
      </c>
      <c r="N183" s="12">
        <f t="shared" si="41"/>
        <v>1100</v>
      </c>
      <c r="O183" s="12">
        <f t="shared" si="32"/>
        <v>1.1556321307755342</v>
      </c>
    </row>
    <row r="184" spans="1:17" s="9" customFormat="1" ht="15.75" x14ac:dyDescent="0.3">
      <c r="A184" s="6">
        <f t="shared" si="37"/>
        <v>42556</v>
      </c>
      <c r="B184" s="8">
        <f t="shared" si="40"/>
        <v>127492</v>
      </c>
      <c r="C184" s="8">
        <v>94814</v>
      </c>
      <c r="D184" s="8">
        <v>26678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6000</v>
      </c>
      <c r="K184" s="8">
        <v>0</v>
      </c>
      <c r="M184" s="9" t="s">
        <v>60</v>
      </c>
      <c r="N184" s="12">
        <f>C184-C183</f>
        <v>-372</v>
      </c>
      <c r="O184" s="12">
        <f t="shared" si="32"/>
        <v>-0.39234712173307734</v>
      </c>
    </row>
    <row r="185" spans="1:17" s="9" customFormat="1" ht="15.75" x14ac:dyDescent="0.3">
      <c r="A185" s="6">
        <f t="shared" si="37"/>
        <v>42557</v>
      </c>
      <c r="B185" s="8">
        <f t="shared" si="40"/>
        <v>127267</v>
      </c>
      <c r="C185" s="8">
        <v>94589</v>
      </c>
      <c r="D185" s="8">
        <v>26678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6000</v>
      </c>
      <c r="K185" s="8">
        <v>0</v>
      </c>
      <c r="N185" s="12">
        <f>C185-C184</f>
        <v>-225</v>
      </c>
      <c r="O185" s="12">
        <f t="shared" si="32"/>
        <v>-0.23787121124020763</v>
      </c>
    </row>
    <row r="186" spans="1:17" s="9" customFormat="1" ht="15.75" x14ac:dyDescent="0.3">
      <c r="A186" s="6">
        <f t="shared" si="37"/>
        <v>42558</v>
      </c>
      <c r="B186" s="8">
        <f t="shared" si="40"/>
        <v>127017</v>
      </c>
      <c r="C186" s="8">
        <v>94339</v>
      </c>
      <c r="D186" s="8">
        <v>26678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6000</v>
      </c>
      <c r="K186" s="8">
        <v>0</v>
      </c>
      <c r="N186" s="12">
        <f t="shared" si="41"/>
        <v>-250</v>
      </c>
      <c r="O186" s="12">
        <f t="shared" si="32"/>
        <v>-0.2650017490115435</v>
      </c>
    </row>
    <row r="187" spans="1:17" s="9" customFormat="1" ht="15.75" x14ac:dyDescent="0.3">
      <c r="A187" s="6">
        <f t="shared" si="37"/>
        <v>42559</v>
      </c>
      <c r="B187" s="8">
        <f t="shared" si="40"/>
        <v>126670</v>
      </c>
      <c r="C187" s="8">
        <v>93992</v>
      </c>
      <c r="D187" s="8">
        <v>26678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6000</v>
      </c>
      <c r="K187" s="8">
        <v>0</v>
      </c>
      <c r="M187" s="9" t="s">
        <v>61</v>
      </c>
      <c r="N187" s="12">
        <f t="shared" si="41"/>
        <v>-347</v>
      </c>
      <c r="O187" s="12">
        <f t="shared" si="32"/>
        <v>-0.36918035577495956</v>
      </c>
      <c r="P187" s="9">
        <f>SUM(N183:N187)</f>
        <v>-94</v>
      </c>
    </row>
    <row r="188" spans="1:17" s="9" customFormat="1" ht="15.75" x14ac:dyDescent="0.3">
      <c r="A188" s="6">
        <f>A187+3</f>
        <v>42562</v>
      </c>
      <c r="B188" s="8">
        <f t="shared" si="40"/>
        <v>123298</v>
      </c>
      <c r="C188" s="8">
        <v>90620</v>
      </c>
      <c r="D188" s="8">
        <v>26678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6000</v>
      </c>
      <c r="K188" s="8">
        <v>0</v>
      </c>
      <c r="M188" s="9" t="s">
        <v>62</v>
      </c>
      <c r="N188" s="12">
        <f t="shared" si="41"/>
        <v>-3372</v>
      </c>
      <c r="O188" s="12">
        <f t="shared" si="32"/>
        <v>-3.7210328845729417</v>
      </c>
    </row>
    <row r="189" spans="1:17" s="9" customFormat="1" ht="15.75" x14ac:dyDescent="0.3">
      <c r="A189" s="6">
        <f t="shared" si="37"/>
        <v>42563</v>
      </c>
      <c r="B189" s="8">
        <f t="shared" si="40"/>
        <v>124017</v>
      </c>
      <c r="C189" s="8">
        <v>91339</v>
      </c>
      <c r="D189" s="8">
        <v>26678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6000</v>
      </c>
      <c r="K189" s="8">
        <v>0</v>
      </c>
      <c r="N189" s="12">
        <f t="shared" si="41"/>
        <v>719</v>
      </c>
      <c r="O189" s="12">
        <f t="shared" si="32"/>
        <v>0.78717743789618899</v>
      </c>
    </row>
    <row r="190" spans="1:17" s="9" customFormat="1" ht="15.75" x14ac:dyDescent="0.3">
      <c r="A190" s="6">
        <f t="shared" si="37"/>
        <v>42564</v>
      </c>
      <c r="B190" s="8">
        <f t="shared" si="40"/>
        <v>124673</v>
      </c>
      <c r="C190" s="8">
        <v>91995</v>
      </c>
      <c r="D190" s="8">
        <v>26678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6000</v>
      </c>
      <c r="K190" s="8">
        <v>0</v>
      </c>
      <c r="N190" s="12">
        <f t="shared" si="41"/>
        <v>656</v>
      </c>
      <c r="O190" s="12">
        <f t="shared" si="32"/>
        <v>0.71308223273003968</v>
      </c>
    </row>
    <row r="191" spans="1:17" s="9" customFormat="1" ht="15.75" x14ac:dyDescent="0.3">
      <c r="A191" s="6">
        <f t="shared" si="37"/>
        <v>42565</v>
      </c>
      <c r="B191" s="8">
        <f t="shared" si="40"/>
        <v>125686</v>
      </c>
      <c r="C191" s="8">
        <v>93008</v>
      </c>
      <c r="D191" s="8">
        <v>26678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6000</v>
      </c>
      <c r="K191" s="8">
        <v>0</v>
      </c>
      <c r="N191" s="12">
        <f t="shared" si="41"/>
        <v>1013</v>
      </c>
      <c r="O191" s="12">
        <f t="shared" si="32"/>
        <v>1.0891536211938759</v>
      </c>
    </row>
    <row r="192" spans="1:17" s="9" customFormat="1" ht="15.75" x14ac:dyDescent="0.3">
      <c r="A192" s="6">
        <f t="shared" si="37"/>
        <v>42566</v>
      </c>
      <c r="B192" s="8">
        <f t="shared" si="40"/>
        <v>123457</v>
      </c>
      <c r="C192" s="8">
        <v>90779</v>
      </c>
      <c r="D192" s="8">
        <v>26678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6000</v>
      </c>
      <c r="K192" s="8">
        <v>0</v>
      </c>
      <c r="N192" s="12">
        <f t="shared" si="41"/>
        <v>-2229</v>
      </c>
      <c r="O192" s="12">
        <f t="shared" si="32"/>
        <v>-2.4554136970004072</v>
      </c>
      <c r="P192" s="9">
        <f>SUM(N188:N192)</f>
        <v>-3213</v>
      </c>
    </row>
    <row r="193" spans="1:17" s="9" customFormat="1" ht="15.75" x14ac:dyDescent="0.3">
      <c r="A193" s="6">
        <f>A192+3</f>
        <v>42569</v>
      </c>
      <c r="B193" s="8">
        <f t="shared" si="40"/>
        <v>122863</v>
      </c>
      <c r="C193" s="8">
        <v>90185</v>
      </c>
      <c r="D193" s="8">
        <v>26678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6000</v>
      </c>
      <c r="K193" s="8">
        <v>0</v>
      </c>
      <c r="N193" s="12">
        <f t="shared" si="41"/>
        <v>-594</v>
      </c>
      <c r="O193" s="12">
        <f t="shared" si="32"/>
        <v>-0.65864611631646064</v>
      </c>
    </row>
    <row r="194" spans="1:17" s="9" customFormat="1" ht="15.75" x14ac:dyDescent="0.3">
      <c r="A194" s="6">
        <f t="shared" si="37"/>
        <v>42570</v>
      </c>
      <c r="B194" s="8">
        <f t="shared" si="40"/>
        <v>123691</v>
      </c>
      <c r="C194" s="8">
        <v>91013</v>
      </c>
      <c r="D194" s="8">
        <v>26678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6000</v>
      </c>
      <c r="K194" s="8">
        <v>0</v>
      </c>
      <c r="N194" s="12">
        <f t="shared" si="41"/>
        <v>828</v>
      </c>
      <c r="O194" s="12">
        <f t="shared" ref="O194:O257" si="42">N194/C194*100</f>
        <v>0.90976014415523054</v>
      </c>
    </row>
    <row r="195" spans="1:17" s="9" customFormat="1" ht="15.75" x14ac:dyDescent="0.3">
      <c r="A195" s="6">
        <f t="shared" si="37"/>
        <v>42571</v>
      </c>
      <c r="B195" s="8">
        <f t="shared" si="40"/>
        <v>123378</v>
      </c>
      <c r="C195" s="8">
        <v>90700</v>
      </c>
      <c r="D195" s="8">
        <v>26678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6000</v>
      </c>
      <c r="K195" s="8">
        <v>0</v>
      </c>
      <c r="N195" s="12">
        <f t="shared" si="41"/>
        <v>-313</v>
      </c>
      <c r="O195" s="12">
        <f t="shared" si="42"/>
        <v>-0.34509371554575524</v>
      </c>
    </row>
    <row r="196" spans="1:17" s="9" customFormat="1" ht="15.75" x14ac:dyDescent="0.3">
      <c r="A196" s="6">
        <f t="shared" si="37"/>
        <v>42572</v>
      </c>
      <c r="B196" s="8">
        <f t="shared" si="40"/>
        <v>122478</v>
      </c>
      <c r="C196" s="8">
        <v>89800</v>
      </c>
      <c r="D196" s="8">
        <v>26678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6000</v>
      </c>
      <c r="K196" s="8">
        <v>0</v>
      </c>
      <c r="N196" s="12">
        <f t="shared" si="41"/>
        <v>-900</v>
      </c>
      <c r="O196" s="12">
        <f t="shared" si="42"/>
        <v>-1.0022271714922049</v>
      </c>
    </row>
    <row r="197" spans="1:17" s="9" customFormat="1" ht="15.75" x14ac:dyDescent="0.3">
      <c r="A197" s="6">
        <f t="shared" si="37"/>
        <v>42573</v>
      </c>
      <c r="B197" s="8">
        <f t="shared" si="40"/>
        <v>121978</v>
      </c>
      <c r="C197" s="8">
        <v>89300</v>
      </c>
      <c r="D197" s="8">
        <v>26678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6000</v>
      </c>
      <c r="K197" s="8">
        <v>0</v>
      </c>
      <c r="N197" s="12">
        <f t="shared" si="41"/>
        <v>-500</v>
      </c>
      <c r="O197" s="12">
        <f t="shared" si="42"/>
        <v>-0.55991041433370659</v>
      </c>
      <c r="P197" s="9">
        <f>SUM(N193:N197)</f>
        <v>-1479</v>
      </c>
    </row>
    <row r="198" spans="1:17" s="9" customFormat="1" ht="15.75" x14ac:dyDescent="0.3">
      <c r="A198" s="6">
        <f>A197+3</f>
        <v>42576</v>
      </c>
      <c r="B198" s="8">
        <f t="shared" si="40"/>
        <v>121503</v>
      </c>
      <c r="C198" s="8">
        <v>88825</v>
      </c>
      <c r="D198" s="8">
        <v>26678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6000</v>
      </c>
      <c r="K198" s="8">
        <v>0</v>
      </c>
      <c r="N198" s="12">
        <f t="shared" si="41"/>
        <v>-475</v>
      </c>
      <c r="O198" s="12">
        <f t="shared" si="42"/>
        <v>-0.53475935828876997</v>
      </c>
    </row>
    <row r="199" spans="1:17" s="9" customFormat="1" ht="15.75" x14ac:dyDescent="0.3">
      <c r="A199" s="6">
        <f t="shared" si="37"/>
        <v>42577</v>
      </c>
      <c r="B199" s="8">
        <f t="shared" si="40"/>
        <v>122552</v>
      </c>
      <c r="C199" s="8">
        <v>89874</v>
      </c>
      <c r="D199" s="8">
        <v>26678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6000</v>
      </c>
      <c r="K199" s="8">
        <v>0</v>
      </c>
      <c r="N199" s="12">
        <f t="shared" si="41"/>
        <v>1049</v>
      </c>
      <c r="O199" s="12">
        <f t="shared" si="42"/>
        <v>1.1671896210249906</v>
      </c>
    </row>
    <row r="200" spans="1:17" s="9" customFormat="1" ht="15.75" x14ac:dyDescent="0.3">
      <c r="A200" s="6">
        <f t="shared" si="37"/>
        <v>42578</v>
      </c>
      <c r="B200" s="8">
        <f t="shared" si="40"/>
        <v>117016</v>
      </c>
      <c r="C200" s="8">
        <v>84338</v>
      </c>
      <c r="D200" s="8">
        <v>26678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6000</v>
      </c>
      <c r="K200" s="8">
        <v>0</v>
      </c>
      <c r="N200" s="12">
        <f t="shared" si="41"/>
        <v>-5536</v>
      </c>
      <c r="O200" s="12">
        <f t="shared" si="42"/>
        <v>-6.564063648651854</v>
      </c>
    </row>
    <row r="201" spans="1:17" s="9" customFormat="1" ht="15.75" x14ac:dyDescent="0.3">
      <c r="A201" s="6">
        <f t="shared" si="37"/>
        <v>42579</v>
      </c>
      <c r="B201" s="8">
        <f t="shared" si="40"/>
        <v>115270</v>
      </c>
      <c r="C201" s="8">
        <v>82592</v>
      </c>
      <c r="D201" s="8">
        <v>26678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6000</v>
      </c>
      <c r="K201" s="8">
        <v>0</v>
      </c>
      <c r="N201" s="12">
        <f t="shared" si="41"/>
        <v>-1746</v>
      </c>
      <c r="O201" s="12">
        <f t="shared" si="42"/>
        <v>-2.1140061991476173</v>
      </c>
    </row>
    <row r="202" spans="1:17" s="9" customFormat="1" ht="15.75" x14ac:dyDescent="0.3">
      <c r="A202" s="6">
        <f t="shared" si="37"/>
        <v>42580</v>
      </c>
      <c r="B202" s="8">
        <f t="shared" si="40"/>
        <v>113814</v>
      </c>
      <c r="C202" s="8">
        <v>81136</v>
      </c>
      <c r="D202" s="8">
        <v>26678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6000</v>
      </c>
      <c r="K202" s="8">
        <v>0</v>
      </c>
      <c r="N202" s="12">
        <f t="shared" si="41"/>
        <v>-1456</v>
      </c>
      <c r="O202" s="12">
        <f t="shared" si="42"/>
        <v>-1.794517846578584</v>
      </c>
      <c r="P202" s="9">
        <f>SUM(N198:N202)</f>
        <v>-8164</v>
      </c>
      <c r="Q202" s="9">
        <f>SUM(N182:N202)</f>
        <v>-12595</v>
      </c>
    </row>
    <row r="203" spans="1:17" s="9" customFormat="1" ht="15.75" x14ac:dyDescent="0.3">
      <c r="A203" s="6">
        <f>A202+3</f>
        <v>42583</v>
      </c>
      <c r="B203" s="8">
        <f t="shared" si="40"/>
        <v>112130</v>
      </c>
      <c r="C203" s="8">
        <v>79452</v>
      </c>
      <c r="D203" s="8">
        <v>26678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6000</v>
      </c>
      <c r="K203" s="8">
        <v>0</v>
      </c>
      <c r="N203" s="12">
        <f t="shared" si="41"/>
        <v>-1684</v>
      </c>
      <c r="O203" s="12">
        <f t="shared" si="42"/>
        <v>-2.1195187031163467</v>
      </c>
    </row>
    <row r="204" spans="1:17" s="9" customFormat="1" ht="15.75" x14ac:dyDescent="0.3">
      <c r="A204" s="6">
        <f t="shared" si="37"/>
        <v>42584</v>
      </c>
      <c r="B204" s="8">
        <f t="shared" si="40"/>
        <v>112758</v>
      </c>
      <c r="C204" s="8">
        <v>80080</v>
      </c>
      <c r="D204" s="8">
        <v>26678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6000</v>
      </c>
      <c r="K204" s="8">
        <v>0</v>
      </c>
      <c r="N204" s="12">
        <f t="shared" si="41"/>
        <v>628</v>
      </c>
      <c r="O204" s="12">
        <f t="shared" si="42"/>
        <v>0.7842157842157842</v>
      </c>
    </row>
    <row r="205" spans="1:17" s="9" customFormat="1" ht="15.75" x14ac:dyDescent="0.3">
      <c r="A205" s="6">
        <f t="shared" si="37"/>
        <v>42585</v>
      </c>
      <c r="B205" s="8">
        <f t="shared" si="40"/>
        <v>112820</v>
      </c>
      <c r="C205" s="8">
        <v>80142</v>
      </c>
      <c r="D205" s="8">
        <v>26678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6000</v>
      </c>
      <c r="K205" s="8">
        <v>0</v>
      </c>
      <c r="N205" s="12">
        <f t="shared" si="41"/>
        <v>62</v>
      </c>
      <c r="O205" s="12">
        <f t="shared" si="42"/>
        <v>7.7362681240797593E-2</v>
      </c>
    </row>
    <row r="206" spans="1:17" s="9" customFormat="1" ht="15.75" x14ac:dyDescent="0.3">
      <c r="A206" s="6">
        <f t="shared" si="37"/>
        <v>42586</v>
      </c>
      <c r="B206" s="8">
        <f t="shared" si="40"/>
        <v>113107</v>
      </c>
      <c r="C206" s="8">
        <v>80429</v>
      </c>
      <c r="D206" s="8">
        <v>26678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6000</v>
      </c>
      <c r="K206" s="8">
        <v>0</v>
      </c>
      <c r="N206" s="12">
        <f t="shared" si="41"/>
        <v>287</v>
      </c>
      <c r="O206" s="12">
        <f t="shared" si="42"/>
        <v>0.35683646445933681</v>
      </c>
    </row>
    <row r="207" spans="1:17" s="9" customFormat="1" ht="15.75" x14ac:dyDescent="0.3">
      <c r="A207" s="6">
        <f>A206+3</f>
        <v>42589</v>
      </c>
      <c r="B207" s="8">
        <f t="shared" si="40"/>
        <v>112616</v>
      </c>
      <c r="C207" s="8">
        <v>79938</v>
      </c>
      <c r="D207" s="8">
        <v>26678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6000</v>
      </c>
      <c r="K207" s="8">
        <v>0</v>
      </c>
      <c r="N207" s="12">
        <f t="shared" si="41"/>
        <v>-491</v>
      </c>
      <c r="O207" s="12">
        <f t="shared" si="42"/>
        <v>-0.61422602516950631</v>
      </c>
      <c r="P207" s="9">
        <f>SUM(N203:N207)</f>
        <v>-1198</v>
      </c>
    </row>
    <row r="208" spans="1:17" s="9" customFormat="1" ht="15.75" x14ac:dyDescent="0.3">
      <c r="A208" s="6">
        <f t="shared" si="37"/>
        <v>42590</v>
      </c>
      <c r="B208" s="8">
        <f t="shared" si="40"/>
        <v>113052</v>
      </c>
      <c r="C208" s="8">
        <v>80374</v>
      </c>
      <c r="D208" s="8">
        <v>26678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6000</v>
      </c>
      <c r="K208" s="8">
        <v>0</v>
      </c>
      <c r="N208" s="12">
        <f t="shared" si="41"/>
        <v>436</v>
      </c>
      <c r="O208" s="12">
        <f t="shared" si="42"/>
        <v>0.54246398088934233</v>
      </c>
    </row>
    <row r="209" spans="1:18" s="9" customFormat="1" ht="15.75" x14ac:dyDescent="0.3">
      <c r="A209" s="6">
        <f t="shared" si="37"/>
        <v>42591</v>
      </c>
      <c r="B209" s="8">
        <f t="shared" si="40"/>
        <v>114306</v>
      </c>
      <c r="C209" s="8">
        <v>81628</v>
      </c>
      <c r="D209" s="8">
        <v>26678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6000</v>
      </c>
      <c r="K209" s="8">
        <v>0</v>
      </c>
      <c r="N209" s="12">
        <f t="shared" si="41"/>
        <v>1254</v>
      </c>
      <c r="O209" s="12">
        <f t="shared" si="42"/>
        <v>1.5362375655412359</v>
      </c>
    </row>
    <row r="210" spans="1:18" s="9" customFormat="1" ht="15.75" x14ac:dyDescent="0.3">
      <c r="A210" s="6">
        <f t="shared" si="37"/>
        <v>42592</v>
      </c>
      <c r="B210" s="8">
        <f t="shared" si="40"/>
        <v>114649</v>
      </c>
      <c r="C210" s="8">
        <v>81971</v>
      </c>
      <c r="D210" s="8">
        <v>26678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6000</v>
      </c>
      <c r="K210" s="8">
        <v>0</v>
      </c>
      <c r="N210" s="12">
        <f t="shared" si="41"/>
        <v>343</v>
      </c>
      <c r="O210" s="12">
        <f t="shared" si="42"/>
        <v>0.4184406680411365</v>
      </c>
    </row>
    <row r="211" spans="1:18" s="9" customFormat="1" ht="15.75" x14ac:dyDescent="0.3">
      <c r="A211" s="6">
        <f t="shared" ref="A211:A274" si="43">A210+1</f>
        <v>42593</v>
      </c>
      <c r="B211" s="8">
        <f t="shared" si="40"/>
        <v>113658</v>
      </c>
      <c r="C211" s="8">
        <v>80980</v>
      </c>
      <c r="D211" s="8">
        <v>26678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6000</v>
      </c>
      <c r="K211" s="8">
        <v>0</v>
      </c>
      <c r="N211" s="12">
        <f t="shared" si="41"/>
        <v>-991</v>
      </c>
      <c r="O211" s="12">
        <f t="shared" si="42"/>
        <v>-1.2237589528278587</v>
      </c>
    </row>
    <row r="212" spans="1:18" s="9" customFormat="1" ht="15.75" x14ac:dyDescent="0.3">
      <c r="A212" s="6">
        <f t="shared" si="43"/>
        <v>42594</v>
      </c>
      <c r="B212" s="8">
        <f t="shared" si="40"/>
        <v>114491</v>
      </c>
      <c r="C212" s="8">
        <v>81813</v>
      </c>
      <c r="D212" s="8">
        <v>26678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6000</v>
      </c>
      <c r="K212" s="8">
        <v>0</v>
      </c>
      <c r="N212" s="12">
        <f t="shared" si="41"/>
        <v>833</v>
      </c>
      <c r="O212" s="12">
        <f t="shared" si="42"/>
        <v>1.018175595565497</v>
      </c>
      <c r="P212" s="9">
        <f>SUM(N208:N212)</f>
        <v>1875</v>
      </c>
    </row>
    <row r="213" spans="1:18" s="9" customFormat="1" ht="15.75" x14ac:dyDescent="0.3">
      <c r="A213" s="6">
        <f>A212+3</f>
        <v>42597</v>
      </c>
      <c r="B213" s="8">
        <f t="shared" si="40"/>
        <v>116303</v>
      </c>
      <c r="C213" s="8">
        <v>83625</v>
      </c>
      <c r="D213" s="8">
        <v>26678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6000</v>
      </c>
      <c r="K213" s="8">
        <v>0</v>
      </c>
      <c r="N213" s="12">
        <f t="shared" si="41"/>
        <v>1812</v>
      </c>
      <c r="O213" s="12">
        <f t="shared" si="42"/>
        <v>2.166816143497758</v>
      </c>
    </row>
    <row r="214" spans="1:18" s="9" customFormat="1" ht="15.75" x14ac:dyDescent="0.3">
      <c r="A214" s="6">
        <f t="shared" si="43"/>
        <v>42598</v>
      </c>
      <c r="B214" s="8">
        <f t="shared" si="40"/>
        <v>116489</v>
      </c>
      <c r="C214" s="8">
        <v>83811</v>
      </c>
      <c r="D214" s="8">
        <v>26678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6000</v>
      </c>
      <c r="K214" s="8">
        <v>0</v>
      </c>
      <c r="N214" s="12">
        <f t="shared" si="41"/>
        <v>186</v>
      </c>
      <c r="O214" s="12">
        <f t="shared" si="42"/>
        <v>0.22192790922432615</v>
      </c>
    </row>
    <row r="215" spans="1:18" s="9" customFormat="1" ht="15.75" x14ac:dyDescent="0.3">
      <c r="A215" s="6">
        <f t="shared" si="43"/>
        <v>42599</v>
      </c>
      <c r="B215" s="8">
        <f t="shared" si="40"/>
        <v>116244</v>
      </c>
      <c r="C215" s="8">
        <v>83566</v>
      </c>
      <c r="D215" s="8">
        <v>26678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6000</v>
      </c>
      <c r="K215" s="8">
        <v>0</v>
      </c>
      <c r="N215" s="12">
        <f t="shared" si="41"/>
        <v>-245</v>
      </c>
      <c r="O215" s="12">
        <f t="shared" si="42"/>
        <v>-0.29318143742670461</v>
      </c>
    </row>
    <row r="216" spans="1:18" s="9" customFormat="1" ht="15.75" x14ac:dyDescent="0.3">
      <c r="A216" s="6">
        <f t="shared" si="43"/>
        <v>42600</v>
      </c>
      <c r="B216" s="8">
        <f t="shared" si="40"/>
        <v>115944</v>
      </c>
      <c r="C216" s="8">
        <v>83266</v>
      </c>
      <c r="D216" s="8">
        <v>26678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6000</v>
      </c>
      <c r="K216" s="8">
        <v>0</v>
      </c>
      <c r="N216" s="12">
        <f t="shared" si="41"/>
        <v>-300</v>
      </c>
      <c r="O216" s="12">
        <f t="shared" si="42"/>
        <v>-0.36029111522109863</v>
      </c>
    </row>
    <row r="217" spans="1:18" s="9" customFormat="1" ht="15.75" x14ac:dyDescent="0.3">
      <c r="A217" s="6">
        <f t="shared" si="43"/>
        <v>42601</v>
      </c>
      <c r="B217" s="8">
        <f t="shared" si="40"/>
        <v>115602</v>
      </c>
      <c r="C217" s="8">
        <v>82924</v>
      </c>
      <c r="D217" s="8">
        <v>26678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6000</v>
      </c>
      <c r="K217" s="8">
        <v>0</v>
      </c>
      <c r="N217" s="12">
        <f t="shared" si="41"/>
        <v>-342</v>
      </c>
      <c r="O217" s="12">
        <f t="shared" si="42"/>
        <v>-0.41242583570498287</v>
      </c>
      <c r="P217" s="9">
        <f>SUM(N213:N217)</f>
        <v>1111</v>
      </c>
      <c r="R217" s="9">
        <f>6468/83622*100</f>
        <v>7.7348066298342539</v>
      </c>
    </row>
    <row r="218" spans="1:18" s="9" customFormat="1" ht="15.75" x14ac:dyDescent="0.3">
      <c r="A218" s="6">
        <f>A217+3</f>
        <v>42604</v>
      </c>
      <c r="B218" s="8">
        <f t="shared" ref="B218:B222" si="44">SUM(C218:K218)</f>
        <v>115589</v>
      </c>
      <c r="C218" s="8">
        <v>82911</v>
      </c>
      <c r="D218" s="8">
        <v>26678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6000</v>
      </c>
      <c r="K218" s="8">
        <v>0</v>
      </c>
      <c r="N218" s="12">
        <f t="shared" si="41"/>
        <v>-13</v>
      </c>
      <c r="O218" s="12">
        <f t="shared" si="42"/>
        <v>-1.5679463521125064E-2</v>
      </c>
    </row>
    <row r="219" spans="1:18" s="9" customFormat="1" ht="15.75" x14ac:dyDescent="0.3">
      <c r="A219" s="6">
        <f t="shared" si="43"/>
        <v>42605</v>
      </c>
      <c r="B219" s="8">
        <f t="shared" si="44"/>
        <v>115557</v>
      </c>
      <c r="C219" s="8">
        <v>82879</v>
      </c>
      <c r="D219" s="8">
        <v>26678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6000</v>
      </c>
      <c r="K219" s="8">
        <v>0</v>
      </c>
      <c r="N219" s="12">
        <f t="shared" si="41"/>
        <v>-32</v>
      </c>
      <c r="O219" s="12">
        <f t="shared" si="42"/>
        <v>-3.8610504470372467E-2</v>
      </c>
    </row>
    <row r="220" spans="1:18" s="9" customFormat="1" ht="15.75" x14ac:dyDescent="0.3">
      <c r="A220" s="6">
        <f t="shared" si="43"/>
        <v>42606</v>
      </c>
      <c r="B220" s="8">
        <f t="shared" si="44"/>
        <v>115795</v>
      </c>
      <c r="C220" s="8">
        <v>83117</v>
      </c>
      <c r="D220" s="8">
        <v>26678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6000</v>
      </c>
      <c r="K220" s="8">
        <v>0</v>
      </c>
      <c r="N220" s="12">
        <f t="shared" si="41"/>
        <v>238</v>
      </c>
      <c r="O220" s="12">
        <f t="shared" si="42"/>
        <v>0.28634334732966782</v>
      </c>
    </row>
    <row r="221" spans="1:18" s="9" customFormat="1" ht="15.75" x14ac:dyDescent="0.3">
      <c r="A221" s="6">
        <f t="shared" si="43"/>
        <v>42607</v>
      </c>
      <c r="B221" s="8">
        <f t="shared" si="44"/>
        <v>114904</v>
      </c>
      <c r="C221" s="8">
        <v>82226</v>
      </c>
      <c r="D221" s="8">
        <v>26678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6000</v>
      </c>
      <c r="K221" s="8">
        <v>0</v>
      </c>
      <c r="N221" s="12">
        <f t="shared" si="41"/>
        <v>-891</v>
      </c>
      <c r="O221" s="12">
        <f t="shared" si="42"/>
        <v>-1.0835988616739229</v>
      </c>
    </row>
    <row r="222" spans="1:18" s="9" customFormat="1" ht="15.75" x14ac:dyDescent="0.3">
      <c r="A222" s="6">
        <f t="shared" si="43"/>
        <v>42608</v>
      </c>
      <c r="B222" s="8">
        <f t="shared" si="44"/>
        <v>115317</v>
      </c>
      <c r="C222" s="8">
        <v>82639</v>
      </c>
      <c r="D222" s="8">
        <v>26678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6000</v>
      </c>
      <c r="K222" s="8">
        <v>0</v>
      </c>
      <c r="N222" s="12">
        <f t="shared" si="41"/>
        <v>413</v>
      </c>
      <c r="O222" s="12">
        <f t="shared" si="42"/>
        <v>0.49976403393071067</v>
      </c>
      <c r="P222" s="9">
        <f>SUM(N218:N222)</f>
        <v>-285</v>
      </c>
    </row>
    <row r="223" spans="1:18" s="9" customFormat="1" ht="15.75" x14ac:dyDescent="0.3">
      <c r="A223" s="6">
        <f>A222+3</f>
        <v>42611</v>
      </c>
      <c r="B223" s="8">
        <f t="shared" ref="B223:B232" si="45">SUM(C223:K223)</f>
        <v>115048</v>
      </c>
      <c r="C223" s="8">
        <v>82370</v>
      </c>
      <c r="D223" s="8">
        <v>26678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6000</v>
      </c>
      <c r="K223" s="8">
        <v>0</v>
      </c>
      <c r="N223" s="12">
        <f t="shared" si="41"/>
        <v>-269</v>
      </c>
      <c r="O223" s="12">
        <f t="shared" si="42"/>
        <v>-0.32657520942090568</v>
      </c>
    </row>
    <row r="224" spans="1:18" s="9" customFormat="1" ht="15.75" x14ac:dyDescent="0.3">
      <c r="A224" s="6">
        <f t="shared" si="43"/>
        <v>42612</v>
      </c>
      <c r="B224" s="8">
        <f t="shared" si="45"/>
        <v>114880</v>
      </c>
      <c r="C224" s="8">
        <v>82202</v>
      </c>
      <c r="D224" s="8">
        <v>26678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6000</v>
      </c>
      <c r="K224" s="8">
        <v>0</v>
      </c>
      <c r="N224" s="12">
        <f t="shared" si="41"/>
        <v>-168</v>
      </c>
      <c r="O224" s="12">
        <f t="shared" si="42"/>
        <v>-0.20437458942604803</v>
      </c>
    </row>
    <row r="225" spans="1:17" s="9" customFormat="1" ht="15.75" x14ac:dyDescent="0.3">
      <c r="A225" s="6">
        <f t="shared" si="43"/>
        <v>42613</v>
      </c>
      <c r="B225" s="8">
        <f t="shared" si="45"/>
        <v>115038</v>
      </c>
      <c r="C225" s="8">
        <v>82360</v>
      </c>
      <c r="D225" s="8">
        <v>26678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6000</v>
      </c>
      <c r="K225" s="8">
        <v>0</v>
      </c>
      <c r="N225" s="12">
        <f t="shared" si="41"/>
        <v>158</v>
      </c>
      <c r="O225" s="12">
        <f t="shared" si="42"/>
        <v>0.19184069936862555</v>
      </c>
      <c r="Q225" s="9">
        <f>SUM(N203:N225)</f>
        <v>1224</v>
      </c>
    </row>
    <row r="226" spans="1:17" s="9" customFormat="1" ht="15.75" x14ac:dyDescent="0.3">
      <c r="A226" s="6">
        <f t="shared" si="43"/>
        <v>42614</v>
      </c>
      <c r="B226" s="8">
        <f t="shared" si="45"/>
        <v>115038</v>
      </c>
      <c r="C226" s="8">
        <v>82360</v>
      </c>
      <c r="D226" s="8">
        <v>26678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6000</v>
      </c>
      <c r="K226" s="8">
        <v>0</v>
      </c>
      <c r="N226" s="12">
        <f t="shared" si="41"/>
        <v>0</v>
      </c>
      <c r="O226" s="12">
        <f t="shared" si="42"/>
        <v>0</v>
      </c>
    </row>
    <row r="227" spans="1:17" s="9" customFormat="1" ht="15.75" x14ac:dyDescent="0.3">
      <c r="A227" s="6">
        <v>42627</v>
      </c>
      <c r="B227" s="8">
        <f t="shared" si="45"/>
        <v>111073</v>
      </c>
      <c r="C227" s="8">
        <f>92395-10000-4000</f>
        <v>78395</v>
      </c>
      <c r="D227" s="8">
        <v>26678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6000</v>
      </c>
      <c r="K227" s="8">
        <v>0</v>
      </c>
      <c r="N227" s="12">
        <f t="shared" si="41"/>
        <v>-3965</v>
      </c>
      <c r="O227" s="12">
        <f t="shared" si="42"/>
        <v>-5.0577205178901714</v>
      </c>
      <c r="P227" s="9">
        <f>SUM(N223:N227)</f>
        <v>-4244</v>
      </c>
    </row>
    <row r="228" spans="1:17" s="9" customFormat="1" ht="15.75" x14ac:dyDescent="0.3">
      <c r="A228" s="6">
        <v>42632</v>
      </c>
      <c r="B228" s="8">
        <f t="shared" si="45"/>
        <v>111903</v>
      </c>
      <c r="C228" s="8">
        <f>93225-10000-4000</f>
        <v>79225</v>
      </c>
      <c r="D228" s="8">
        <v>26678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6000</v>
      </c>
      <c r="K228" s="8">
        <v>0</v>
      </c>
      <c r="N228" s="12">
        <f t="shared" si="41"/>
        <v>830</v>
      </c>
      <c r="O228" s="12">
        <f t="shared" si="42"/>
        <v>1.0476491006626696</v>
      </c>
    </row>
    <row r="229" spans="1:17" s="9" customFormat="1" ht="15.75" x14ac:dyDescent="0.3">
      <c r="A229" s="6">
        <f t="shared" si="43"/>
        <v>42633</v>
      </c>
      <c r="B229" s="8">
        <f t="shared" si="45"/>
        <v>111584</v>
      </c>
      <c r="C229" s="8">
        <f>92906-10000-4000</f>
        <v>78906</v>
      </c>
      <c r="D229" s="8">
        <v>26678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6000</v>
      </c>
      <c r="K229" s="8">
        <v>0</v>
      </c>
      <c r="N229" s="12">
        <f t="shared" si="41"/>
        <v>-319</v>
      </c>
      <c r="O229" s="12">
        <f t="shared" si="42"/>
        <v>-0.40427850860517578</v>
      </c>
    </row>
    <row r="230" spans="1:17" s="9" customFormat="1" ht="15.75" x14ac:dyDescent="0.3">
      <c r="A230" s="6">
        <f t="shared" si="43"/>
        <v>42634</v>
      </c>
      <c r="B230" s="8">
        <f t="shared" si="45"/>
        <v>112161</v>
      </c>
      <c r="C230" s="8">
        <f>93483-10000-4000</f>
        <v>79483</v>
      </c>
      <c r="D230" s="8">
        <v>26678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6000</v>
      </c>
      <c r="K230" s="8">
        <v>0</v>
      </c>
      <c r="N230" s="12">
        <f t="shared" si="41"/>
        <v>577</v>
      </c>
      <c r="O230" s="12">
        <f t="shared" si="42"/>
        <v>0.72594139627341692</v>
      </c>
    </row>
    <row r="231" spans="1:17" s="9" customFormat="1" ht="15.75" x14ac:dyDescent="0.3">
      <c r="A231" s="6">
        <f t="shared" si="43"/>
        <v>42635</v>
      </c>
      <c r="B231" s="8">
        <f t="shared" si="45"/>
        <v>112341</v>
      </c>
      <c r="C231" s="8">
        <f>93663-10000-4000</f>
        <v>79663</v>
      </c>
      <c r="D231" s="8">
        <v>26678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6000</v>
      </c>
      <c r="K231" s="8">
        <v>0</v>
      </c>
      <c r="N231" s="12">
        <f t="shared" si="41"/>
        <v>180</v>
      </c>
      <c r="O231" s="12">
        <f t="shared" si="42"/>
        <v>0.22595182205038725</v>
      </c>
    </row>
    <row r="232" spans="1:17" s="9" customFormat="1" ht="15.75" x14ac:dyDescent="0.3">
      <c r="A232" s="6">
        <f t="shared" si="43"/>
        <v>42636</v>
      </c>
      <c r="B232" s="8">
        <f t="shared" si="45"/>
        <v>111552</v>
      </c>
      <c r="C232" s="8">
        <f>87874-10000-4000+5000</f>
        <v>78874</v>
      </c>
      <c r="D232" s="8">
        <v>26678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6000</v>
      </c>
      <c r="K232" s="8">
        <v>0</v>
      </c>
      <c r="N232" s="12">
        <f t="shared" si="41"/>
        <v>-789</v>
      </c>
      <c r="O232" s="12">
        <f t="shared" si="42"/>
        <v>-1.0003296396784747</v>
      </c>
      <c r="P232" s="9">
        <f>SUM(N228:N232)</f>
        <v>479</v>
      </c>
    </row>
    <row r="233" spans="1:17" s="9" customFormat="1" ht="15.75" x14ac:dyDescent="0.3">
      <c r="A233" s="6">
        <f>A232+3</f>
        <v>42639</v>
      </c>
      <c r="B233" s="8">
        <f t="shared" ref="B233:B242" si="46">SUM(C233:K233)</f>
        <v>109481</v>
      </c>
      <c r="C233" s="8">
        <f>85803-10000-4000+5000</f>
        <v>76803</v>
      </c>
      <c r="D233" s="8">
        <v>26678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6000</v>
      </c>
      <c r="K233" s="8">
        <v>0</v>
      </c>
      <c r="N233" s="12">
        <f t="shared" si="41"/>
        <v>-2071</v>
      </c>
      <c r="O233" s="12">
        <f t="shared" si="42"/>
        <v>-2.6965092509407187</v>
      </c>
    </row>
    <row r="234" spans="1:17" s="9" customFormat="1" ht="15.75" x14ac:dyDescent="0.3">
      <c r="A234" s="6">
        <f t="shared" si="43"/>
        <v>42640</v>
      </c>
      <c r="B234" s="8">
        <f t="shared" si="46"/>
        <v>109481</v>
      </c>
      <c r="C234" s="8">
        <f t="shared" ref="C234:C235" si="47">85803-10000-4000+5000</f>
        <v>76803</v>
      </c>
      <c r="D234" s="8">
        <v>26678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6000</v>
      </c>
      <c r="K234" s="8">
        <v>0</v>
      </c>
      <c r="N234" s="12">
        <f t="shared" si="41"/>
        <v>0</v>
      </c>
      <c r="O234" s="12">
        <f t="shared" si="42"/>
        <v>0</v>
      </c>
    </row>
    <row r="235" spans="1:17" s="9" customFormat="1" ht="15.75" x14ac:dyDescent="0.3">
      <c r="A235" s="6">
        <f t="shared" si="43"/>
        <v>42641</v>
      </c>
      <c r="B235" s="8">
        <f t="shared" si="46"/>
        <v>109481</v>
      </c>
      <c r="C235" s="8">
        <f t="shared" si="47"/>
        <v>76803</v>
      </c>
      <c r="D235" s="8">
        <v>26678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6000</v>
      </c>
      <c r="K235" s="8">
        <v>0</v>
      </c>
      <c r="N235" s="12">
        <f t="shared" si="41"/>
        <v>0</v>
      </c>
      <c r="O235" s="12">
        <f t="shared" si="42"/>
        <v>0</v>
      </c>
    </row>
    <row r="236" spans="1:17" s="9" customFormat="1" ht="15.75" x14ac:dyDescent="0.3">
      <c r="A236" s="6">
        <f t="shared" si="43"/>
        <v>42642</v>
      </c>
      <c r="B236" s="8">
        <f t="shared" si="46"/>
        <v>110084</v>
      </c>
      <c r="C236" s="8">
        <f>86406-10000-4000+5000</f>
        <v>77406</v>
      </c>
      <c r="D236" s="8">
        <v>26678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6000</v>
      </c>
      <c r="K236" s="8">
        <v>0</v>
      </c>
      <c r="N236" s="12">
        <f t="shared" si="41"/>
        <v>603</v>
      </c>
      <c r="O236" s="12">
        <f t="shared" si="42"/>
        <v>0.77900937911789792</v>
      </c>
    </row>
    <row r="237" spans="1:17" s="9" customFormat="1" ht="15.75" x14ac:dyDescent="0.3">
      <c r="A237" s="6">
        <f t="shared" si="43"/>
        <v>42643</v>
      </c>
      <c r="B237" s="8">
        <f t="shared" si="46"/>
        <v>110432</v>
      </c>
      <c r="C237" s="8">
        <f>86754-10000-4000+5000</f>
        <v>77754</v>
      </c>
      <c r="D237" s="8">
        <v>26678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6000</v>
      </c>
      <c r="K237" s="8">
        <v>0</v>
      </c>
      <c r="N237" s="12">
        <f t="shared" si="41"/>
        <v>348</v>
      </c>
      <c r="O237" s="12">
        <f t="shared" si="42"/>
        <v>0.44756539856470412</v>
      </c>
      <c r="P237" s="9">
        <f>SUM(N233:N237)</f>
        <v>-1120</v>
      </c>
      <c r="Q237" s="9">
        <f>SUM(N226:N237)</f>
        <v>-4606</v>
      </c>
    </row>
    <row r="238" spans="1:17" s="9" customFormat="1" ht="15.75" x14ac:dyDescent="0.3">
      <c r="A238" s="6">
        <f>A237+10</f>
        <v>42653</v>
      </c>
      <c r="B238" s="8">
        <f t="shared" si="46"/>
        <v>112266</v>
      </c>
      <c r="C238" s="8">
        <f>88588-10000-4000+5000</f>
        <v>79588</v>
      </c>
      <c r="D238" s="8">
        <v>26678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6000</v>
      </c>
      <c r="K238" s="8">
        <v>0</v>
      </c>
      <c r="N238" s="12">
        <f t="shared" si="41"/>
        <v>1834</v>
      </c>
      <c r="O238" s="12">
        <f t="shared" si="42"/>
        <v>2.3043674925868221</v>
      </c>
    </row>
    <row r="239" spans="1:17" s="9" customFormat="1" ht="15.75" x14ac:dyDescent="0.3">
      <c r="A239" s="6">
        <f t="shared" si="43"/>
        <v>42654</v>
      </c>
      <c r="B239" s="8">
        <f t="shared" si="46"/>
        <v>112988</v>
      </c>
      <c r="C239" s="8">
        <f>89310-9000</f>
        <v>80310</v>
      </c>
      <c r="D239" s="8">
        <v>26678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6000</v>
      </c>
      <c r="K239" s="8">
        <v>0</v>
      </c>
      <c r="N239" s="12">
        <f t="shared" si="41"/>
        <v>722</v>
      </c>
      <c r="O239" s="12">
        <f t="shared" si="42"/>
        <v>0.89901631179180685</v>
      </c>
    </row>
    <row r="240" spans="1:17" s="9" customFormat="1" ht="15.75" x14ac:dyDescent="0.3">
      <c r="A240" s="6">
        <f t="shared" si="43"/>
        <v>42655</v>
      </c>
      <c r="B240" s="8">
        <f t="shared" si="46"/>
        <v>112878</v>
      </c>
      <c r="C240" s="8">
        <f>89200-9000</f>
        <v>80200</v>
      </c>
      <c r="D240" s="8">
        <v>26678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6000</v>
      </c>
      <c r="K240" s="8">
        <v>0</v>
      </c>
      <c r="N240" s="12">
        <f t="shared" si="41"/>
        <v>-110</v>
      </c>
      <c r="O240" s="12">
        <f t="shared" si="42"/>
        <v>-0.13715710723192021</v>
      </c>
    </row>
    <row r="241" spans="1:17" s="9" customFormat="1" ht="15.75" x14ac:dyDescent="0.3">
      <c r="A241" s="6">
        <f t="shared" si="43"/>
        <v>42656</v>
      </c>
      <c r="B241" s="8">
        <f t="shared" si="46"/>
        <v>112923</v>
      </c>
      <c r="C241" s="8">
        <f>89245-9000</f>
        <v>80245</v>
      </c>
      <c r="D241" s="8">
        <v>26678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6000</v>
      </c>
      <c r="K241" s="8">
        <v>0</v>
      </c>
      <c r="N241" s="12">
        <f t="shared" si="41"/>
        <v>45</v>
      </c>
      <c r="O241" s="12">
        <f t="shared" si="42"/>
        <v>5.6078260327746272E-2</v>
      </c>
    </row>
    <row r="242" spans="1:17" s="9" customFormat="1" ht="15.75" x14ac:dyDescent="0.3">
      <c r="A242" s="6">
        <f t="shared" si="43"/>
        <v>42657</v>
      </c>
      <c r="B242" s="8">
        <f t="shared" si="46"/>
        <v>112678</v>
      </c>
      <c r="C242" s="8">
        <f>89000-9000</f>
        <v>80000</v>
      </c>
      <c r="D242" s="8">
        <v>26678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6000</v>
      </c>
      <c r="K242" s="8">
        <v>0</v>
      </c>
      <c r="N242" s="12">
        <f t="shared" ref="N242:N305" si="48">C242-C241</f>
        <v>-245</v>
      </c>
      <c r="O242" s="12">
        <f t="shared" si="42"/>
        <v>-0.30625000000000002</v>
      </c>
      <c r="P242" s="9">
        <f>SUM(N238:N242)</f>
        <v>2246</v>
      </c>
    </row>
    <row r="243" spans="1:17" s="9" customFormat="1" ht="15.75" x14ac:dyDescent="0.3">
      <c r="A243" s="6">
        <f>A242+3</f>
        <v>42660</v>
      </c>
      <c r="B243" s="8">
        <f t="shared" ref="B243:B255" si="49">SUM(C243:K243)</f>
        <v>112253</v>
      </c>
      <c r="C243" s="8">
        <f>88575-9000</f>
        <v>79575</v>
      </c>
      <c r="D243" s="8">
        <v>26678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6000</v>
      </c>
      <c r="K243" s="8">
        <v>0</v>
      </c>
      <c r="N243" s="12">
        <f t="shared" si="48"/>
        <v>-425</v>
      </c>
      <c r="O243" s="12">
        <f t="shared" si="42"/>
        <v>-0.53408733898837579</v>
      </c>
    </row>
    <row r="244" spans="1:17" s="9" customFormat="1" ht="15.75" x14ac:dyDescent="0.3">
      <c r="A244" s="6">
        <f t="shared" si="43"/>
        <v>42661</v>
      </c>
      <c r="B244" s="8">
        <f t="shared" si="49"/>
        <v>112814</v>
      </c>
      <c r="C244" s="8">
        <f>89136-9000</f>
        <v>80136</v>
      </c>
      <c r="D244" s="8">
        <v>26678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6000</v>
      </c>
      <c r="K244" s="8">
        <v>0</v>
      </c>
      <c r="N244" s="12">
        <f t="shared" si="48"/>
        <v>561</v>
      </c>
      <c r="O244" s="12">
        <f t="shared" si="42"/>
        <v>0.70005989817310565</v>
      </c>
    </row>
    <row r="245" spans="1:17" s="9" customFormat="1" ht="15.75" x14ac:dyDescent="0.3">
      <c r="A245" s="6">
        <f t="shared" si="43"/>
        <v>42662</v>
      </c>
      <c r="B245" s="8">
        <f t="shared" si="49"/>
        <v>112236</v>
      </c>
      <c r="C245" s="8">
        <f>88558-9000</f>
        <v>79558</v>
      </c>
      <c r="D245" s="8">
        <v>26678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6000</v>
      </c>
      <c r="K245" s="8">
        <v>0</v>
      </c>
      <c r="N245" s="12">
        <f t="shared" si="48"/>
        <v>-578</v>
      </c>
      <c r="O245" s="12">
        <f t="shared" si="42"/>
        <v>-0.7265139897936097</v>
      </c>
    </row>
    <row r="246" spans="1:17" s="9" customFormat="1" ht="15.75" x14ac:dyDescent="0.3">
      <c r="A246" s="6">
        <f t="shared" si="43"/>
        <v>42663</v>
      </c>
      <c r="B246" s="8">
        <f t="shared" si="49"/>
        <v>113246</v>
      </c>
      <c r="C246" s="8">
        <f>89568-9000</f>
        <v>80568</v>
      </c>
      <c r="D246" s="8">
        <v>26678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6000</v>
      </c>
      <c r="K246" s="8">
        <v>0</v>
      </c>
      <c r="N246" s="12">
        <f t="shared" si="48"/>
        <v>1010</v>
      </c>
      <c r="O246" s="12">
        <f t="shared" si="42"/>
        <v>1.2535994439479694</v>
      </c>
    </row>
    <row r="247" spans="1:17" s="9" customFormat="1" ht="15.75" x14ac:dyDescent="0.3">
      <c r="A247" s="6">
        <f>A246+1</f>
        <v>42664</v>
      </c>
      <c r="B247" s="8">
        <f t="shared" si="49"/>
        <v>112710</v>
      </c>
      <c r="C247" s="8">
        <f>89032-9000</f>
        <v>80032</v>
      </c>
      <c r="D247" s="8">
        <v>26678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6000</v>
      </c>
      <c r="K247" s="8">
        <v>0</v>
      </c>
      <c r="N247" s="12">
        <f t="shared" si="48"/>
        <v>-536</v>
      </c>
      <c r="O247" s="12">
        <f t="shared" si="42"/>
        <v>-0.66973210715713716</v>
      </c>
      <c r="P247" s="9">
        <f>SUM(N243:N247)</f>
        <v>32</v>
      </c>
    </row>
    <row r="248" spans="1:17" s="9" customFormat="1" ht="15.75" x14ac:dyDescent="0.3">
      <c r="A248" s="6">
        <f>A247+3</f>
        <v>42667</v>
      </c>
      <c r="B248" s="8">
        <f t="shared" si="49"/>
        <v>113211</v>
      </c>
      <c r="C248" s="8">
        <f>99533-9000-10000</f>
        <v>80533</v>
      </c>
      <c r="D248" s="8">
        <v>26678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6000</v>
      </c>
      <c r="K248" s="8">
        <v>0</v>
      </c>
      <c r="N248" s="12">
        <f t="shared" si="48"/>
        <v>501</v>
      </c>
      <c r="O248" s="12">
        <f t="shared" si="42"/>
        <v>0.6221052239454633</v>
      </c>
    </row>
    <row r="249" spans="1:17" s="9" customFormat="1" ht="15.75" x14ac:dyDescent="0.3">
      <c r="A249" s="6">
        <f t="shared" si="43"/>
        <v>42668</v>
      </c>
      <c r="B249" s="8">
        <f t="shared" si="49"/>
        <v>115384</v>
      </c>
      <c r="C249" s="8">
        <f>101706-9000-10000</f>
        <v>82706</v>
      </c>
      <c r="D249" s="8">
        <v>26678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6000</v>
      </c>
      <c r="K249" s="8">
        <v>0</v>
      </c>
      <c r="N249" s="12">
        <f t="shared" si="48"/>
        <v>2173</v>
      </c>
      <c r="O249" s="12">
        <f t="shared" si="42"/>
        <v>2.6273789084226054</v>
      </c>
    </row>
    <row r="250" spans="1:17" s="9" customFormat="1" ht="15.75" x14ac:dyDescent="0.3">
      <c r="A250" s="6">
        <f t="shared" si="43"/>
        <v>42669</v>
      </c>
      <c r="B250" s="8">
        <f t="shared" si="49"/>
        <v>114234</v>
      </c>
      <c r="C250" s="8">
        <f>90556-9000</f>
        <v>81556</v>
      </c>
      <c r="D250" s="8">
        <v>26678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6000</v>
      </c>
      <c r="K250" s="8">
        <v>0</v>
      </c>
      <c r="N250" s="12">
        <f t="shared" si="48"/>
        <v>-1150</v>
      </c>
      <c r="O250" s="12">
        <f t="shared" si="42"/>
        <v>-1.4100740595419099</v>
      </c>
    </row>
    <row r="251" spans="1:17" s="9" customFormat="1" ht="15.75" x14ac:dyDescent="0.3">
      <c r="A251" s="6">
        <f t="shared" si="43"/>
        <v>42670</v>
      </c>
      <c r="B251" s="8">
        <f t="shared" si="49"/>
        <v>114276</v>
      </c>
      <c r="C251" s="8">
        <f>90598-9000</f>
        <v>81598</v>
      </c>
      <c r="D251" s="8">
        <v>26678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6000</v>
      </c>
      <c r="K251" s="8">
        <v>0</v>
      </c>
      <c r="N251" s="12">
        <f t="shared" si="48"/>
        <v>42</v>
      </c>
      <c r="O251" s="12">
        <f t="shared" si="42"/>
        <v>5.1471849800240208E-2</v>
      </c>
    </row>
    <row r="252" spans="1:17" s="9" customFormat="1" ht="15.75" x14ac:dyDescent="0.3">
      <c r="A252" s="6">
        <f t="shared" si="43"/>
        <v>42671</v>
      </c>
      <c r="B252" s="8">
        <f t="shared" si="49"/>
        <v>113954</v>
      </c>
      <c r="C252" s="8">
        <f>90276-9000</f>
        <v>81276</v>
      </c>
      <c r="D252" s="8">
        <v>26678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6000</v>
      </c>
      <c r="K252" s="8">
        <v>0</v>
      </c>
      <c r="N252" s="12">
        <f t="shared" si="48"/>
        <v>-322</v>
      </c>
      <c r="O252" s="12">
        <f t="shared" si="42"/>
        <v>-0.39618091441507947</v>
      </c>
      <c r="P252" s="9">
        <f>SUM(N248:N252)</f>
        <v>1244</v>
      </c>
    </row>
    <row r="253" spans="1:17" s="9" customFormat="1" ht="15.75" x14ac:dyDescent="0.3">
      <c r="A253" s="6">
        <f>A252+3</f>
        <v>42674</v>
      </c>
      <c r="B253" s="8">
        <f t="shared" si="49"/>
        <v>113823</v>
      </c>
      <c r="C253" s="8">
        <f>90145-9000</f>
        <v>81145</v>
      </c>
      <c r="D253" s="8">
        <v>26678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6000</v>
      </c>
      <c r="K253" s="8">
        <v>0</v>
      </c>
      <c r="N253" s="12">
        <f t="shared" si="48"/>
        <v>-131</v>
      </c>
      <c r="O253" s="12">
        <f t="shared" si="42"/>
        <v>-0.16143939860743114</v>
      </c>
      <c r="Q253" s="9">
        <f>SUM(N238:N253)</f>
        <v>3391</v>
      </c>
    </row>
    <row r="254" spans="1:17" s="9" customFormat="1" ht="15.75" x14ac:dyDescent="0.3">
      <c r="A254" s="6">
        <f t="shared" si="43"/>
        <v>42675</v>
      </c>
      <c r="B254" s="8">
        <f t="shared" si="49"/>
        <v>114622</v>
      </c>
      <c r="C254" s="8">
        <f>94944-9000-4000</f>
        <v>81944</v>
      </c>
      <c r="D254" s="8">
        <v>26678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6000</v>
      </c>
      <c r="K254" s="8">
        <v>0</v>
      </c>
      <c r="N254" s="12">
        <f t="shared" si="48"/>
        <v>799</v>
      </c>
      <c r="O254" s="12">
        <f t="shared" si="42"/>
        <v>0.97505613589768614</v>
      </c>
    </row>
    <row r="255" spans="1:17" s="9" customFormat="1" ht="15.75" x14ac:dyDescent="0.3">
      <c r="A255" s="6">
        <f t="shared" si="43"/>
        <v>42676</v>
      </c>
      <c r="B255" s="8">
        <f t="shared" si="49"/>
        <v>113906</v>
      </c>
      <c r="C255" s="8">
        <f>94228-9000-4000</f>
        <v>81228</v>
      </c>
      <c r="D255" s="8">
        <v>26678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6000</v>
      </c>
      <c r="K255" s="8">
        <v>0</v>
      </c>
      <c r="N255" s="12">
        <f t="shared" si="48"/>
        <v>-716</v>
      </c>
      <c r="O255" s="12">
        <f t="shared" si="42"/>
        <v>-0.8814694440340769</v>
      </c>
    </row>
    <row r="256" spans="1:17" s="9" customFormat="1" ht="15.75" x14ac:dyDescent="0.3">
      <c r="A256" s="6">
        <f t="shared" si="43"/>
        <v>42677</v>
      </c>
      <c r="B256" s="8">
        <f t="shared" ref="B256:B257" si="50">SUM(C256:K256)</f>
        <v>113987</v>
      </c>
      <c r="C256" s="8">
        <f>94309-9000-4000</f>
        <v>81309</v>
      </c>
      <c r="D256" s="8">
        <v>26678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6000</v>
      </c>
      <c r="K256" s="8">
        <v>0</v>
      </c>
      <c r="N256" s="12">
        <f t="shared" si="48"/>
        <v>81</v>
      </c>
      <c r="O256" s="12">
        <f t="shared" si="42"/>
        <v>9.9619968269195308E-2</v>
      </c>
    </row>
    <row r="257" spans="1:16" s="9" customFormat="1" ht="15.75" x14ac:dyDescent="0.3">
      <c r="A257" s="6">
        <f t="shared" si="43"/>
        <v>42678</v>
      </c>
      <c r="B257" s="8">
        <f t="shared" si="50"/>
        <v>113866</v>
      </c>
      <c r="C257" s="8">
        <f>90188-9000</f>
        <v>81188</v>
      </c>
      <c r="D257" s="8">
        <v>26678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6000</v>
      </c>
      <c r="K257" s="8">
        <v>0</v>
      </c>
      <c r="N257" s="12">
        <f t="shared" si="48"/>
        <v>-121</v>
      </c>
      <c r="O257" s="12">
        <f t="shared" si="42"/>
        <v>-0.14903680346849288</v>
      </c>
      <c r="P257" s="9">
        <f>SUM(N253:N257)</f>
        <v>-88</v>
      </c>
    </row>
    <row r="258" spans="1:16" s="9" customFormat="1" ht="15.75" x14ac:dyDescent="0.3">
      <c r="A258" s="6">
        <f>A257+3</f>
        <v>42681</v>
      </c>
      <c r="B258" s="8">
        <f t="shared" ref="B258:B267" si="51">SUM(C258:K258)</f>
        <v>114208</v>
      </c>
      <c r="C258" s="8">
        <f>90530-9000</f>
        <v>81530</v>
      </c>
      <c r="D258" s="8">
        <v>26678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6000</v>
      </c>
      <c r="K258" s="8">
        <v>0</v>
      </c>
      <c r="N258" s="12">
        <f t="shared" si="48"/>
        <v>342</v>
      </c>
      <c r="O258" s="12">
        <f t="shared" ref="O258:O320" si="52">N258/C258*100</f>
        <v>0.41947749294738129</v>
      </c>
    </row>
    <row r="259" spans="1:16" s="9" customFormat="1" ht="15.75" x14ac:dyDescent="0.3">
      <c r="A259" s="6">
        <f t="shared" si="43"/>
        <v>42682</v>
      </c>
      <c r="B259" s="8">
        <f t="shared" si="51"/>
        <v>114464</v>
      </c>
      <c r="C259" s="8">
        <f>90786-9000</f>
        <v>81786</v>
      </c>
      <c r="D259" s="8">
        <v>26678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6000</v>
      </c>
      <c r="K259" s="8">
        <v>0</v>
      </c>
      <c r="N259" s="12">
        <f t="shared" si="48"/>
        <v>256</v>
      </c>
      <c r="O259" s="12">
        <f t="shared" si="52"/>
        <v>0.3130120069449539</v>
      </c>
    </row>
    <row r="260" spans="1:16" s="9" customFormat="1" ht="15.75" x14ac:dyDescent="0.3">
      <c r="A260" s="6">
        <f t="shared" si="43"/>
        <v>42683</v>
      </c>
      <c r="B260" s="8">
        <f t="shared" si="51"/>
        <v>113554</v>
      </c>
      <c r="C260" s="8">
        <f>85876-9000+4000</f>
        <v>80876</v>
      </c>
      <c r="D260" s="8">
        <v>26678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6000</v>
      </c>
      <c r="K260" s="8">
        <v>0</v>
      </c>
      <c r="N260" s="12">
        <f t="shared" si="48"/>
        <v>-910</v>
      </c>
      <c r="O260" s="12">
        <f t="shared" si="52"/>
        <v>-1.1251792868094368</v>
      </c>
    </row>
    <row r="261" spans="1:16" s="9" customFormat="1" ht="15.75" x14ac:dyDescent="0.3">
      <c r="A261" s="6">
        <f t="shared" si="43"/>
        <v>42684</v>
      </c>
      <c r="B261" s="8">
        <f t="shared" si="51"/>
        <v>114603</v>
      </c>
      <c r="C261" s="8">
        <f>86925-5000</f>
        <v>81925</v>
      </c>
      <c r="D261" s="8">
        <v>26678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6000</v>
      </c>
      <c r="K261" s="8">
        <v>0</v>
      </c>
      <c r="N261" s="12">
        <f t="shared" si="48"/>
        <v>1049</v>
      </c>
      <c r="O261" s="12">
        <f t="shared" si="52"/>
        <v>1.2804394263045469</v>
      </c>
    </row>
    <row r="262" spans="1:16" s="9" customFormat="1" ht="15.75" x14ac:dyDescent="0.3">
      <c r="A262" s="6">
        <f t="shared" si="43"/>
        <v>42685</v>
      </c>
      <c r="B262" s="8">
        <f t="shared" si="51"/>
        <v>115319</v>
      </c>
      <c r="C262" s="8">
        <f>86141-5000+1500</f>
        <v>82641</v>
      </c>
      <c r="D262" s="8">
        <v>26678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6000</v>
      </c>
      <c r="K262" s="8">
        <v>0</v>
      </c>
      <c r="N262" s="12">
        <f t="shared" si="48"/>
        <v>716</v>
      </c>
      <c r="O262" s="12">
        <f t="shared" si="52"/>
        <v>0.86639803487373102</v>
      </c>
      <c r="P262" s="9">
        <f>SUM(N258:N262)</f>
        <v>1453</v>
      </c>
    </row>
    <row r="263" spans="1:16" s="9" customFormat="1" ht="15.75" x14ac:dyDescent="0.3">
      <c r="A263" s="6">
        <f>A262+3</f>
        <v>42688</v>
      </c>
      <c r="B263" s="8">
        <f t="shared" si="51"/>
        <v>116670</v>
      </c>
      <c r="C263" s="8">
        <f>87492-5000+1500</f>
        <v>83992</v>
      </c>
      <c r="D263" s="8">
        <v>26678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6000</v>
      </c>
      <c r="K263" s="8">
        <v>0</v>
      </c>
      <c r="N263" s="12">
        <f t="shared" si="48"/>
        <v>1351</v>
      </c>
      <c r="O263" s="12">
        <f t="shared" si="52"/>
        <v>1.6084865225259548</v>
      </c>
    </row>
    <row r="264" spans="1:16" s="9" customFormat="1" ht="15.75" x14ac:dyDescent="0.3">
      <c r="A264" s="6">
        <f t="shared" si="43"/>
        <v>42689</v>
      </c>
      <c r="B264" s="8">
        <f t="shared" si="51"/>
        <v>117670</v>
      </c>
      <c r="C264" s="8">
        <f>88492-5000+1500</f>
        <v>84992</v>
      </c>
      <c r="D264" s="8">
        <v>26678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6000</v>
      </c>
      <c r="K264" s="8">
        <v>0</v>
      </c>
      <c r="N264" s="12">
        <f t="shared" si="48"/>
        <v>1000</v>
      </c>
      <c r="O264" s="12">
        <f t="shared" si="52"/>
        <v>1.176581325301205</v>
      </c>
    </row>
    <row r="265" spans="1:16" s="9" customFormat="1" ht="15.75" x14ac:dyDescent="0.3">
      <c r="A265" s="6">
        <f t="shared" si="43"/>
        <v>42690</v>
      </c>
      <c r="B265" s="8">
        <f t="shared" si="51"/>
        <v>118919</v>
      </c>
      <c r="C265" s="8">
        <f>89741-5000+1500</f>
        <v>86241</v>
      </c>
      <c r="D265" s="8">
        <v>26678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6000</v>
      </c>
      <c r="K265" s="8">
        <v>0</v>
      </c>
      <c r="N265" s="12">
        <f t="shared" si="48"/>
        <v>1249</v>
      </c>
      <c r="O265" s="12">
        <f t="shared" si="52"/>
        <v>1.448267065548869</v>
      </c>
    </row>
    <row r="266" spans="1:16" s="9" customFormat="1" ht="15.75" x14ac:dyDescent="0.3">
      <c r="A266" s="6">
        <f t="shared" si="43"/>
        <v>42691</v>
      </c>
      <c r="B266" s="8">
        <f t="shared" si="51"/>
        <v>119547</v>
      </c>
      <c r="C266" s="8">
        <f>89369-2500</f>
        <v>86869</v>
      </c>
      <c r="D266" s="8">
        <v>26678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6000</v>
      </c>
      <c r="K266" s="8">
        <v>0</v>
      </c>
      <c r="N266" s="12">
        <f t="shared" si="48"/>
        <v>628</v>
      </c>
      <c r="O266" s="12">
        <f t="shared" si="52"/>
        <v>0.72292762665622945</v>
      </c>
    </row>
    <row r="267" spans="1:16" s="9" customFormat="1" ht="15.75" x14ac:dyDescent="0.3">
      <c r="A267" s="6">
        <f t="shared" si="43"/>
        <v>42692</v>
      </c>
      <c r="B267" s="8">
        <f t="shared" si="51"/>
        <v>118877</v>
      </c>
      <c r="C267" s="8">
        <f>88699-5000+1500+1000</f>
        <v>86199</v>
      </c>
      <c r="D267" s="8">
        <v>26678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6000</v>
      </c>
      <c r="K267" s="8">
        <v>0</v>
      </c>
      <c r="N267" s="12">
        <f t="shared" si="48"/>
        <v>-670</v>
      </c>
      <c r="O267" s="12">
        <f t="shared" si="52"/>
        <v>-0.77727119804174061</v>
      </c>
      <c r="P267" s="9">
        <f>SUM(N263:N267)</f>
        <v>3558</v>
      </c>
    </row>
    <row r="268" spans="1:16" s="9" customFormat="1" ht="15.75" x14ac:dyDescent="0.3">
      <c r="A268" s="6">
        <f>A267+3</f>
        <v>42695</v>
      </c>
      <c r="B268" s="8">
        <f t="shared" ref="B268:B275" si="53">SUM(C268:K268)</f>
        <v>119089</v>
      </c>
      <c r="C268" s="8">
        <f>89911-5000+1500+1000-1000</f>
        <v>86411</v>
      </c>
      <c r="D268" s="8">
        <v>26678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6000</v>
      </c>
      <c r="K268" s="8">
        <v>0</v>
      </c>
      <c r="N268" s="12">
        <f t="shared" si="48"/>
        <v>212</v>
      </c>
      <c r="O268" s="12">
        <f t="shared" si="52"/>
        <v>0.24533913506382291</v>
      </c>
    </row>
    <row r="269" spans="1:16" s="9" customFormat="1" ht="15.75" x14ac:dyDescent="0.3">
      <c r="A269" s="6">
        <f t="shared" si="43"/>
        <v>42696</v>
      </c>
      <c r="B269" s="8">
        <f t="shared" si="53"/>
        <v>119533</v>
      </c>
      <c r="C269" s="8">
        <f>90355-5000+1500+1000-1000</f>
        <v>86855</v>
      </c>
      <c r="D269" s="8">
        <v>26678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6000</v>
      </c>
      <c r="K269" s="8">
        <v>0</v>
      </c>
      <c r="N269" s="12">
        <f t="shared" si="48"/>
        <v>444</v>
      </c>
      <c r="O269" s="12">
        <f t="shared" si="52"/>
        <v>0.51119682229002361</v>
      </c>
    </row>
    <row r="270" spans="1:16" s="9" customFormat="1" ht="15.75" x14ac:dyDescent="0.3">
      <c r="A270" s="6">
        <f t="shared" si="43"/>
        <v>42697</v>
      </c>
      <c r="B270" s="8">
        <f t="shared" si="53"/>
        <v>119206</v>
      </c>
      <c r="C270" s="8">
        <f>89028-5000+1500+1000</f>
        <v>86528</v>
      </c>
      <c r="D270" s="8">
        <v>26678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6000</v>
      </c>
      <c r="K270" s="8">
        <v>0</v>
      </c>
      <c r="N270" s="12">
        <f t="shared" si="48"/>
        <v>-327</v>
      </c>
      <c r="O270" s="12">
        <f t="shared" si="52"/>
        <v>-0.37791235207100587</v>
      </c>
    </row>
    <row r="271" spans="1:16" s="9" customFormat="1" ht="15.75" x14ac:dyDescent="0.3">
      <c r="A271" s="6">
        <f t="shared" si="43"/>
        <v>42698</v>
      </c>
      <c r="B271" s="8">
        <f t="shared" si="53"/>
        <v>118131</v>
      </c>
      <c r="C271" s="8">
        <f>82953-5000+1500+1000+5000</f>
        <v>85453</v>
      </c>
      <c r="D271" s="8">
        <v>26678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6000</v>
      </c>
      <c r="K271" s="8">
        <v>0</v>
      </c>
      <c r="N271" s="12">
        <f t="shared" si="48"/>
        <v>-1075</v>
      </c>
      <c r="O271" s="12">
        <f t="shared" si="52"/>
        <v>-1.2580014744947516</v>
      </c>
    </row>
    <row r="272" spans="1:16" s="9" customFormat="1" ht="15.75" x14ac:dyDescent="0.3">
      <c r="A272" s="6">
        <f t="shared" si="43"/>
        <v>42699</v>
      </c>
      <c r="B272" s="8">
        <f t="shared" si="53"/>
        <v>118265</v>
      </c>
      <c r="C272" s="8">
        <f>83087+2500</f>
        <v>85587</v>
      </c>
      <c r="D272" s="8">
        <v>26678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6000</v>
      </c>
      <c r="K272" s="8">
        <v>0</v>
      </c>
      <c r="N272" s="12">
        <f t="shared" si="48"/>
        <v>134</v>
      </c>
      <c r="O272" s="12">
        <f t="shared" si="52"/>
        <v>0.15656583359622372</v>
      </c>
      <c r="P272" s="9">
        <f>SUM(N268:N272)</f>
        <v>-612</v>
      </c>
    </row>
    <row r="273" spans="1:24" ht="15.75" x14ac:dyDescent="0.3">
      <c r="A273" s="6">
        <f>A272+3</f>
        <v>42702</v>
      </c>
      <c r="B273" s="8">
        <f t="shared" si="53"/>
        <v>118029</v>
      </c>
      <c r="C273" s="8">
        <f>82851+2500</f>
        <v>85351</v>
      </c>
      <c r="D273" s="8">
        <v>26678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6000</v>
      </c>
      <c r="K273" s="8">
        <v>0</v>
      </c>
      <c r="N273" s="12">
        <f t="shared" si="48"/>
        <v>-236</v>
      </c>
      <c r="O273" s="12">
        <f t="shared" si="52"/>
        <v>-0.27650525477147309</v>
      </c>
    </row>
    <row r="274" spans="1:24" ht="15.75" x14ac:dyDescent="0.3">
      <c r="A274" s="6">
        <f t="shared" si="43"/>
        <v>42703</v>
      </c>
      <c r="B274" s="8">
        <f t="shared" si="53"/>
        <v>117041</v>
      </c>
      <c r="C274" s="8">
        <f>81863+2500</f>
        <v>84363</v>
      </c>
      <c r="D274" s="8">
        <v>26678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6000</v>
      </c>
      <c r="K274" s="8">
        <v>0</v>
      </c>
      <c r="N274" s="12">
        <f t="shared" si="48"/>
        <v>-988</v>
      </c>
      <c r="O274" s="12">
        <f t="shared" si="52"/>
        <v>-1.1711295236063204</v>
      </c>
    </row>
    <row r="275" spans="1:24" ht="15.75" x14ac:dyDescent="0.3">
      <c r="A275" s="6">
        <f t="shared" ref="A275:A301" si="54">A274+1</f>
        <v>42704</v>
      </c>
      <c r="B275" s="8">
        <f t="shared" si="53"/>
        <v>117041</v>
      </c>
      <c r="C275" s="8">
        <f t="shared" ref="C275" si="55">81863+2500</f>
        <v>84363</v>
      </c>
      <c r="D275" s="8">
        <v>26678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6000</v>
      </c>
      <c r="K275" s="8">
        <v>0</v>
      </c>
      <c r="N275" s="12">
        <f t="shared" si="48"/>
        <v>0</v>
      </c>
      <c r="O275" s="12">
        <f t="shared" si="52"/>
        <v>0</v>
      </c>
      <c r="Q275" s="9">
        <f>SUM(N254:N275)</f>
        <v>3218</v>
      </c>
      <c r="R275" s="9" t="s">
        <v>17</v>
      </c>
    </row>
    <row r="276" spans="1:24" ht="15.75" x14ac:dyDescent="0.3">
      <c r="A276" s="6">
        <f t="shared" si="54"/>
        <v>42705</v>
      </c>
      <c r="B276" s="8">
        <f t="shared" ref="B276:B296" si="56">SUM(C276:K276)</f>
        <v>117426</v>
      </c>
      <c r="C276" s="8">
        <f>82248+2500</f>
        <v>84748</v>
      </c>
      <c r="D276" s="8">
        <v>26678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6000</v>
      </c>
      <c r="K276" s="8">
        <v>0</v>
      </c>
      <c r="N276" s="12">
        <f t="shared" si="48"/>
        <v>385</v>
      </c>
      <c r="O276" s="12">
        <f t="shared" si="52"/>
        <v>0.45428800679662057</v>
      </c>
    </row>
    <row r="277" spans="1:24" ht="15.75" x14ac:dyDescent="0.3">
      <c r="A277" s="6">
        <f t="shared" si="54"/>
        <v>42706</v>
      </c>
      <c r="B277" s="8">
        <f t="shared" si="56"/>
        <v>115750</v>
      </c>
      <c r="C277" s="8">
        <f>80572+2500</f>
        <v>83072</v>
      </c>
      <c r="D277" s="8">
        <v>26678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6000</v>
      </c>
      <c r="K277" s="8">
        <v>0</v>
      </c>
      <c r="N277" s="12">
        <f t="shared" si="48"/>
        <v>-1676</v>
      </c>
      <c r="O277" s="12">
        <f t="shared" si="52"/>
        <v>-2.0175269645608629</v>
      </c>
      <c r="P277" s="9">
        <f>SUM(N273:N277)</f>
        <v>-2515</v>
      </c>
    </row>
    <row r="278" spans="1:24" ht="15.75" x14ac:dyDescent="0.3">
      <c r="A278" s="6">
        <f>A277+3</f>
        <v>42709</v>
      </c>
      <c r="B278" s="8">
        <f t="shared" si="56"/>
        <v>115258</v>
      </c>
      <c r="C278" s="8">
        <f>80080+2500</f>
        <v>82580</v>
      </c>
      <c r="D278" s="8">
        <v>26678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6000</v>
      </c>
      <c r="K278" s="8">
        <v>0</v>
      </c>
      <c r="N278" s="12">
        <f t="shared" si="48"/>
        <v>-492</v>
      </c>
      <c r="O278" s="12">
        <f t="shared" si="52"/>
        <v>-0.59578590457737945</v>
      </c>
    </row>
    <row r="279" spans="1:24" ht="15.75" x14ac:dyDescent="0.3">
      <c r="A279" s="6">
        <f t="shared" si="54"/>
        <v>42710</v>
      </c>
      <c r="B279" s="8">
        <f t="shared" si="56"/>
        <v>115521</v>
      </c>
      <c r="C279" s="8">
        <f>80343+2500</f>
        <v>82843</v>
      </c>
      <c r="D279" s="8">
        <v>26678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6000</v>
      </c>
      <c r="K279" s="8">
        <v>0</v>
      </c>
      <c r="N279" s="12">
        <f t="shared" si="48"/>
        <v>263</v>
      </c>
      <c r="O279" s="12">
        <f t="shared" si="52"/>
        <v>0.3174679816037565</v>
      </c>
      <c r="X279" s="9">
        <f>104069-487-1900</f>
        <v>101682</v>
      </c>
    </row>
    <row r="280" spans="1:24" ht="15.75" x14ac:dyDescent="0.3">
      <c r="A280" s="6">
        <f t="shared" si="54"/>
        <v>42711</v>
      </c>
      <c r="B280" s="8">
        <f t="shared" si="56"/>
        <v>116330</v>
      </c>
      <c r="C280" s="8">
        <f>81152+2500</f>
        <v>83652</v>
      </c>
      <c r="D280" s="8">
        <v>26678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6000</v>
      </c>
      <c r="K280" s="8">
        <v>0</v>
      </c>
      <c r="N280" s="12">
        <f t="shared" si="48"/>
        <v>809</v>
      </c>
      <c r="O280" s="12">
        <f t="shared" si="52"/>
        <v>0.96710180270645052</v>
      </c>
    </row>
    <row r="281" spans="1:24" ht="15.75" x14ac:dyDescent="0.3">
      <c r="A281" s="6">
        <f t="shared" si="54"/>
        <v>42712</v>
      </c>
      <c r="B281" s="8">
        <f t="shared" si="56"/>
        <v>115872</v>
      </c>
      <c r="C281" s="8">
        <f>80694+2500</f>
        <v>83194</v>
      </c>
      <c r="D281" s="8">
        <v>26678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6000</v>
      </c>
      <c r="K281" s="8">
        <v>0</v>
      </c>
      <c r="N281" s="12">
        <f t="shared" si="48"/>
        <v>-458</v>
      </c>
      <c r="O281" s="12">
        <f t="shared" si="52"/>
        <v>-0.55052047022621819</v>
      </c>
    </row>
    <row r="282" spans="1:24" ht="15.75" x14ac:dyDescent="0.3">
      <c r="A282" s="6">
        <f t="shared" si="54"/>
        <v>42713</v>
      </c>
      <c r="B282" s="8">
        <f t="shared" si="56"/>
        <v>114542</v>
      </c>
      <c r="C282" s="8">
        <f>79364+2500</f>
        <v>81864</v>
      </c>
      <c r="D282" s="8">
        <v>26678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6000</v>
      </c>
      <c r="K282" s="8">
        <v>0</v>
      </c>
      <c r="N282" s="12">
        <f t="shared" si="48"/>
        <v>-1330</v>
      </c>
      <c r="O282" s="12">
        <f t="shared" si="52"/>
        <v>-1.6246457539333528</v>
      </c>
      <c r="P282" s="9">
        <f>SUM(N278:N282)</f>
        <v>-1208</v>
      </c>
    </row>
    <row r="283" spans="1:24" ht="15.75" x14ac:dyDescent="0.3">
      <c r="A283" s="6">
        <f>A282+3</f>
        <v>42716</v>
      </c>
      <c r="B283" s="8">
        <f t="shared" si="56"/>
        <v>110551</v>
      </c>
      <c r="C283" s="8">
        <f>75373+2500</f>
        <v>77873</v>
      </c>
      <c r="D283" s="8">
        <v>26678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6000</v>
      </c>
      <c r="K283" s="8">
        <v>0</v>
      </c>
      <c r="N283" s="12">
        <f t="shared" si="48"/>
        <v>-3991</v>
      </c>
      <c r="O283" s="12">
        <f t="shared" si="52"/>
        <v>-5.125011236243628</v>
      </c>
    </row>
    <row r="284" spans="1:24" ht="15.75" x14ac:dyDescent="0.3">
      <c r="A284" s="6">
        <f t="shared" si="54"/>
        <v>42717</v>
      </c>
      <c r="B284" s="8">
        <f t="shared" si="56"/>
        <v>111076</v>
      </c>
      <c r="C284" s="8">
        <f>75898+2500</f>
        <v>78398</v>
      </c>
      <c r="D284" s="8">
        <v>26678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6000</v>
      </c>
      <c r="K284" s="8">
        <v>0</v>
      </c>
      <c r="N284" s="12">
        <f t="shared" si="48"/>
        <v>525</v>
      </c>
      <c r="O284" s="12">
        <f t="shared" si="52"/>
        <v>0.66965994030459963</v>
      </c>
    </row>
    <row r="285" spans="1:24" ht="15.75" x14ac:dyDescent="0.3">
      <c r="A285" s="6">
        <f t="shared" si="54"/>
        <v>42718</v>
      </c>
      <c r="B285" s="8">
        <f t="shared" si="56"/>
        <v>110614</v>
      </c>
      <c r="C285" s="8">
        <f>75436+2500</f>
        <v>77936</v>
      </c>
      <c r="D285" s="8">
        <v>26678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6000</v>
      </c>
      <c r="K285" s="8">
        <v>0</v>
      </c>
      <c r="N285" s="12">
        <f t="shared" si="48"/>
        <v>-462</v>
      </c>
      <c r="O285" s="12">
        <f t="shared" si="52"/>
        <v>-0.59279408745637452</v>
      </c>
    </row>
    <row r="286" spans="1:24" ht="15.75" x14ac:dyDescent="0.3">
      <c r="A286" s="6">
        <f t="shared" si="54"/>
        <v>42719</v>
      </c>
      <c r="B286" s="8">
        <f t="shared" si="56"/>
        <v>111203</v>
      </c>
      <c r="C286" s="8">
        <f>76025+2500</f>
        <v>78525</v>
      </c>
      <c r="D286" s="8">
        <v>26678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6000</v>
      </c>
      <c r="K286" s="8">
        <v>0</v>
      </c>
      <c r="N286" s="12">
        <f t="shared" si="48"/>
        <v>589</v>
      </c>
      <c r="O286" s="12">
        <f t="shared" si="52"/>
        <v>0.75007959248646927</v>
      </c>
    </row>
    <row r="287" spans="1:24" ht="15.75" x14ac:dyDescent="0.3">
      <c r="A287" s="6">
        <f t="shared" si="54"/>
        <v>42720</v>
      </c>
      <c r="B287" s="8">
        <f t="shared" si="56"/>
        <v>112034</v>
      </c>
      <c r="C287" s="8">
        <f>76856+2500</f>
        <v>79356</v>
      </c>
      <c r="D287" s="8">
        <v>26678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6000</v>
      </c>
      <c r="K287" s="8">
        <v>0</v>
      </c>
      <c r="N287" s="12">
        <f t="shared" si="48"/>
        <v>831</v>
      </c>
      <c r="O287" s="12">
        <f t="shared" si="52"/>
        <v>1.0471797973688191</v>
      </c>
      <c r="P287" s="9">
        <f>SUM(N283:N287)</f>
        <v>-2508</v>
      </c>
      <c r="R287" s="9" t="s">
        <v>18</v>
      </c>
    </row>
    <row r="288" spans="1:24" ht="15.75" x14ac:dyDescent="0.3">
      <c r="A288" s="6">
        <f>A287+3</f>
        <v>42723</v>
      </c>
      <c r="B288" s="8">
        <f t="shared" si="56"/>
        <v>105964</v>
      </c>
      <c r="C288" s="8">
        <f>70786+2500</f>
        <v>73286</v>
      </c>
      <c r="D288" s="8">
        <v>26678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6000</v>
      </c>
      <c r="K288" s="8">
        <v>0</v>
      </c>
      <c r="N288" s="12">
        <f t="shared" si="48"/>
        <v>-6070</v>
      </c>
      <c r="O288" s="12">
        <f t="shared" si="52"/>
        <v>-8.2826187812133281</v>
      </c>
    </row>
    <row r="289" spans="1:18" s="9" customFormat="1" ht="15.75" x14ac:dyDescent="0.3">
      <c r="A289" s="6">
        <f t="shared" si="54"/>
        <v>42724</v>
      </c>
      <c r="B289" s="8">
        <f t="shared" si="56"/>
        <v>105795</v>
      </c>
      <c r="C289" s="8">
        <f>70617+2500</f>
        <v>73117</v>
      </c>
      <c r="D289" s="8">
        <v>26678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6000</v>
      </c>
      <c r="K289" s="8">
        <v>0</v>
      </c>
      <c r="N289" s="12">
        <f t="shared" si="48"/>
        <v>-169</v>
      </c>
      <c r="O289" s="12">
        <f t="shared" si="52"/>
        <v>-0.23113639782813847</v>
      </c>
    </row>
    <row r="290" spans="1:18" s="9" customFormat="1" ht="15.75" x14ac:dyDescent="0.3">
      <c r="A290" s="6">
        <f t="shared" si="54"/>
        <v>42725</v>
      </c>
      <c r="B290" s="8">
        <f t="shared" si="56"/>
        <v>107026</v>
      </c>
      <c r="C290" s="8">
        <f>71848+2500</f>
        <v>74348</v>
      </c>
      <c r="D290" s="8">
        <v>26678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6000</v>
      </c>
      <c r="K290" s="8">
        <v>0</v>
      </c>
      <c r="N290" s="12">
        <f t="shared" si="48"/>
        <v>1231</v>
      </c>
      <c r="O290" s="12">
        <f t="shared" si="52"/>
        <v>1.6557271211061493</v>
      </c>
    </row>
    <row r="291" spans="1:18" s="9" customFormat="1" ht="15.75" x14ac:dyDescent="0.3">
      <c r="A291" s="6">
        <f t="shared" si="54"/>
        <v>42726</v>
      </c>
      <c r="B291" s="8">
        <f t="shared" si="56"/>
        <v>107253</v>
      </c>
      <c r="C291" s="8">
        <f>72075+2500</f>
        <v>74575</v>
      </c>
      <c r="D291" s="8">
        <v>26678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6000</v>
      </c>
      <c r="K291" s="8">
        <v>0</v>
      </c>
      <c r="N291" s="12">
        <f t="shared" si="48"/>
        <v>227</v>
      </c>
      <c r="O291" s="12">
        <f t="shared" si="52"/>
        <v>0.30439155212872943</v>
      </c>
    </row>
    <row r="292" spans="1:18" s="9" customFormat="1" ht="15.75" x14ac:dyDescent="0.3">
      <c r="A292" s="6">
        <f t="shared" si="54"/>
        <v>42727</v>
      </c>
      <c r="B292" s="8">
        <f t="shared" si="56"/>
        <v>105755</v>
      </c>
      <c r="C292" s="8">
        <f>70577+2500</f>
        <v>73077</v>
      </c>
      <c r="D292" s="8">
        <v>26678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6000</v>
      </c>
      <c r="K292" s="8">
        <v>0</v>
      </c>
      <c r="N292" s="12">
        <f t="shared" si="48"/>
        <v>-1498</v>
      </c>
      <c r="O292" s="12">
        <f t="shared" si="52"/>
        <v>-2.049892579060443</v>
      </c>
      <c r="P292" s="9">
        <f>SUM(N288:N292)</f>
        <v>-6279</v>
      </c>
    </row>
    <row r="293" spans="1:18" s="9" customFormat="1" ht="15.75" x14ac:dyDescent="0.3">
      <c r="A293" s="6">
        <f>A292+3</f>
        <v>42730</v>
      </c>
      <c r="B293" s="8">
        <f t="shared" si="56"/>
        <v>106305</v>
      </c>
      <c r="C293" s="8">
        <f>71127+2500</f>
        <v>73627</v>
      </c>
      <c r="D293" s="8">
        <v>26678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6000</v>
      </c>
      <c r="K293" s="8">
        <v>0</v>
      </c>
      <c r="N293" s="12">
        <f t="shared" si="48"/>
        <v>550</v>
      </c>
      <c r="O293" s="12">
        <f t="shared" si="52"/>
        <v>0.74700857022559652</v>
      </c>
    </row>
    <row r="294" spans="1:18" s="9" customFormat="1" ht="15.75" x14ac:dyDescent="0.3">
      <c r="A294" s="6">
        <f t="shared" si="54"/>
        <v>42731</v>
      </c>
      <c r="B294" s="8">
        <f t="shared" si="56"/>
        <v>106468</v>
      </c>
      <c r="C294" s="8">
        <f>71290+2500</f>
        <v>73790</v>
      </c>
      <c r="D294" s="8">
        <v>26678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6000</v>
      </c>
      <c r="K294" s="8">
        <v>0</v>
      </c>
      <c r="N294" s="12">
        <f t="shared" si="48"/>
        <v>163</v>
      </c>
      <c r="O294" s="12">
        <f t="shared" si="52"/>
        <v>0.22089714053394768</v>
      </c>
      <c r="R294" s="9" t="s">
        <v>19</v>
      </c>
    </row>
    <row r="295" spans="1:18" s="9" customFormat="1" ht="15.75" x14ac:dyDescent="0.3">
      <c r="A295" s="6">
        <f t="shared" si="54"/>
        <v>42732</v>
      </c>
      <c r="B295" s="8">
        <f t="shared" si="56"/>
        <v>106171</v>
      </c>
      <c r="C295" s="8">
        <f>70993+2500</f>
        <v>73493</v>
      </c>
      <c r="D295" s="8">
        <v>26678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6000</v>
      </c>
      <c r="K295" s="8">
        <v>0</v>
      </c>
      <c r="N295" s="12">
        <f t="shared" si="48"/>
        <v>-297</v>
      </c>
      <c r="O295" s="12">
        <f t="shared" si="52"/>
        <v>-0.40412012028356442</v>
      </c>
    </row>
    <row r="296" spans="1:18" s="9" customFormat="1" ht="15.75" x14ac:dyDescent="0.3">
      <c r="A296" s="6">
        <f t="shared" si="54"/>
        <v>42733</v>
      </c>
      <c r="B296" s="8">
        <f t="shared" si="56"/>
        <v>105969</v>
      </c>
      <c r="C296" s="8">
        <f>100791+2500-25000-5000</f>
        <v>73291</v>
      </c>
      <c r="D296" s="8">
        <v>26678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6000</v>
      </c>
      <c r="K296" s="8">
        <v>0</v>
      </c>
      <c r="N296" s="12">
        <f t="shared" si="48"/>
        <v>-202</v>
      </c>
      <c r="O296" s="12">
        <f t="shared" si="52"/>
        <v>-0.27561364969778007</v>
      </c>
    </row>
    <row r="297" spans="1:18" s="9" customFormat="1" ht="15.75" x14ac:dyDescent="0.3">
      <c r="A297" s="6">
        <f t="shared" si="54"/>
        <v>42734</v>
      </c>
      <c r="B297" s="8">
        <f t="shared" ref="B297" si="57">SUM(C297:K297)</f>
        <v>106253</v>
      </c>
      <c r="C297" s="8">
        <f>101075+2500-25000-5000</f>
        <v>73575</v>
      </c>
      <c r="D297" s="8">
        <v>26678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6000</v>
      </c>
      <c r="K297" s="8">
        <v>0</v>
      </c>
      <c r="N297" s="12">
        <f t="shared" si="48"/>
        <v>284</v>
      </c>
      <c r="O297" s="12">
        <f t="shared" si="52"/>
        <v>0.38600067957866124</v>
      </c>
      <c r="P297" s="9">
        <f>SUM(N293:N297)</f>
        <v>498</v>
      </c>
    </row>
    <row r="298" spans="1:18" s="9" customFormat="1" ht="15.75" x14ac:dyDescent="0.3">
      <c r="A298" s="6">
        <f>A297+4</f>
        <v>42738</v>
      </c>
      <c r="B298" s="8">
        <f t="shared" ref="B298:B302" si="58">SUM(C298:K298)</f>
        <v>106860</v>
      </c>
      <c r="C298" s="8">
        <f>101682+2500-25000-5000</f>
        <v>74182</v>
      </c>
      <c r="D298" s="8">
        <v>26678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6000</v>
      </c>
      <c r="K298" s="8">
        <v>0</v>
      </c>
      <c r="N298" s="12">
        <f t="shared" si="48"/>
        <v>607</v>
      </c>
      <c r="O298" s="12">
        <f t="shared" si="52"/>
        <v>0.81825779838774904</v>
      </c>
    </row>
    <row r="299" spans="1:18" s="9" customFormat="1" ht="15.75" x14ac:dyDescent="0.3">
      <c r="A299" s="6">
        <f t="shared" si="54"/>
        <v>42739</v>
      </c>
      <c r="B299" s="8">
        <f t="shared" si="58"/>
        <v>107714</v>
      </c>
      <c r="C299" s="8">
        <f>129436+2500-25000-5000-1900-25000</f>
        <v>75036</v>
      </c>
      <c r="D299" s="8">
        <v>26678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6000</v>
      </c>
      <c r="K299" s="8">
        <v>0</v>
      </c>
      <c r="N299" s="12">
        <f t="shared" si="48"/>
        <v>854</v>
      </c>
      <c r="O299" s="12">
        <f t="shared" si="52"/>
        <v>1.1381203688895998</v>
      </c>
    </row>
    <row r="300" spans="1:18" s="9" customFormat="1" ht="15.75" x14ac:dyDescent="0.3">
      <c r="A300" s="6">
        <f t="shared" si="54"/>
        <v>42740</v>
      </c>
      <c r="B300" s="8">
        <f t="shared" si="58"/>
        <v>107324</v>
      </c>
      <c r="C300" s="8">
        <f>129046+2500-25000-5000-1900-25000</f>
        <v>74646</v>
      </c>
      <c r="D300" s="8">
        <v>26678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6000</v>
      </c>
      <c r="K300" s="8">
        <v>0</v>
      </c>
      <c r="N300" s="12">
        <f t="shared" si="48"/>
        <v>-390</v>
      </c>
      <c r="O300" s="12">
        <f t="shared" si="52"/>
        <v>-0.52246603970741901</v>
      </c>
    </row>
    <row r="301" spans="1:18" s="9" customFormat="1" ht="15.75" x14ac:dyDescent="0.3">
      <c r="A301" s="6">
        <f t="shared" si="54"/>
        <v>42741</v>
      </c>
      <c r="B301" s="8">
        <f t="shared" si="58"/>
        <v>106094</v>
      </c>
      <c r="C301" s="8">
        <f>150816+2500-25000-5000-1900-25000-23000</f>
        <v>73416</v>
      </c>
      <c r="D301" s="8">
        <v>26678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6000</v>
      </c>
      <c r="K301" s="8">
        <v>0</v>
      </c>
      <c r="N301" s="12">
        <f t="shared" si="48"/>
        <v>-1230</v>
      </c>
      <c r="O301" s="12">
        <f t="shared" si="52"/>
        <v>-1.6753841124550508</v>
      </c>
      <c r="P301" s="9">
        <f>SUM(N298:N301)</f>
        <v>-159</v>
      </c>
    </row>
    <row r="302" spans="1:18" s="9" customFormat="1" ht="15.75" x14ac:dyDescent="0.3">
      <c r="A302" s="6">
        <f>A301+3</f>
        <v>42744</v>
      </c>
      <c r="B302" s="8">
        <f t="shared" si="58"/>
        <v>106400</v>
      </c>
      <c r="C302" s="8">
        <f>151122+2500-25000-5000-1900-25000-23000</f>
        <v>73722</v>
      </c>
      <c r="D302" s="8">
        <v>26678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6000</v>
      </c>
      <c r="K302" s="8">
        <v>0</v>
      </c>
      <c r="N302" s="12">
        <f t="shared" si="48"/>
        <v>306</v>
      </c>
      <c r="O302" s="12">
        <f t="shared" si="52"/>
        <v>0.41507284121429155</v>
      </c>
    </row>
    <row r="303" spans="1:18" s="9" customFormat="1" ht="15.75" x14ac:dyDescent="0.3">
      <c r="A303" s="6">
        <f>A302+1</f>
        <v>42745</v>
      </c>
      <c r="B303" s="8">
        <f t="shared" ref="B303:B306" si="59">SUM(C303:K303)</f>
        <v>106223</v>
      </c>
      <c r="C303" s="8">
        <f>100990+2500-5000-1900-23000-45</f>
        <v>73545</v>
      </c>
      <c r="D303" s="8">
        <v>26678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6000</v>
      </c>
      <c r="K303" s="8">
        <v>0</v>
      </c>
      <c r="N303" s="12">
        <f t="shared" si="48"/>
        <v>-177</v>
      </c>
      <c r="O303" s="12">
        <f t="shared" si="52"/>
        <v>-0.24066897817662655</v>
      </c>
    </row>
    <row r="304" spans="1:18" s="9" customFormat="1" ht="15.75" x14ac:dyDescent="0.3">
      <c r="A304" s="6">
        <f>A303+1</f>
        <v>42746</v>
      </c>
      <c r="B304" s="8">
        <f t="shared" si="59"/>
        <v>105680</v>
      </c>
      <c r="C304" s="8">
        <f>102557+2500-5000-1900-23000-45-2110</f>
        <v>73002</v>
      </c>
      <c r="D304" s="8">
        <v>26678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6000</v>
      </c>
      <c r="K304" s="8">
        <v>0</v>
      </c>
      <c r="N304" s="12">
        <f t="shared" si="48"/>
        <v>-543</v>
      </c>
      <c r="O304" s="12">
        <f t="shared" si="52"/>
        <v>-0.74381523793868665</v>
      </c>
    </row>
    <row r="305" spans="1:19" ht="15.75" x14ac:dyDescent="0.3">
      <c r="A305" s="6">
        <f t="shared" ref="A305:A315" si="60">A304+1</f>
        <v>42747</v>
      </c>
      <c r="B305" s="8">
        <f t="shared" si="59"/>
        <v>105532</v>
      </c>
      <c r="C305" s="8">
        <f>103086+2500-5000-1900-23000-45-2787</f>
        <v>72854</v>
      </c>
      <c r="D305" s="8">
        <v>26678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6000</v>
      </c>
      <c r="K305" s="8">
        <v>0</v>
      </c>
      <c r="N305" s="12">
        <f t="shared" si="48"/>
        <v>-148</v>
      </c>
      <c r="O305" s="12">
        <f t="shared" si="52"/>
        <v>-0.20314601806352431</v>
      </c>
    </row>
    <row r="306" spans="1:19" ht="15.75" x14ac:dyDescent="0.3">
      <c r="A306" s="6">
        <f>A305+1</f>
        <v>42748</v>
      </c>
      <c r="B306" s="8">
        <f t="shared" si="59"/>
        <v>104109</v>
      </c>
      <c r="C306" s="8">
        <f>101593+2500-5000-1900-23000-45-3546+829</f>
        <v>71431</v>
      </c>
      <c r="D306" s="8">
        <v>26678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6000</v>
      </c>
      <c r="K306" s="8">
        <v>0</v>
      </c>
      <c r="N306" s="12">
        <f t="shared" ref="N306:N318" si="61">C306-C305</f>
        <v>-1423</v>
      </c>
      <c r="O306" s="12">
        <f t="shared" si="52"/>
        <v>-1.9921322675029047</v>
      </c>
      <c r="P306" s="9">
        <f>SUM(N302:N306)</f>
        <v>-1985</v>
      </c>
    </row>
    <row r="307" spans="1:19" ht="15.75" x14ac:dyDescent="0.3">
      <c r="A307" s="6">
        <f>A306+3</f>
        <v>42751</v>
      </c>
      <c r="B307" s="8">
        <f t="shared" ref="B307:B320" si="62">SUM(C307:K307)</f>
        <v>101048</v>
      </c>
      <c r="C307" s="8">
        <f>79366+2500-5000-1900-23000-45+829+20000-4380</f>
        <v>68370</v>
      </c>
      <c r="D307" s="8">
        <v>26678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6000</v>
      </c>
      <c r="K307" s="8">
        <v>0</v>
      </c>
      <c r="N307" s="12">
        <f t="shared" si="61"/>
        <v>-3061</v>
      </c>
      <c r="O307" s="12">
        <f t="shared" si="52"/>
        <v>-4.4771098434986101</v>
      </c>
      <c r="R307" s="9" t="s">
        <v>20</v>
      </c>
    </row>
    <row r="308" spans="1:19" ht="15.75" x14ac:dyDescent="0.3">
      <c r="A308" s="6">
        <f t="shared" si="60"/>
        <v>42752</v>
      </c>
      <c r="B308" s="8">
        <f t="shared" si="62"/>
        <v>102416</v>
      </c>
      <c r="C308" s="8">
        <f>91653+2500-5000-1900-3000-45+829-5299-10000</f>
        <v>69738</v>
      </c>
      <c r="D308" s="8">
        <v>26678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6000</v>
      </c>
      <c r="K308" s="8">
        <v>0</v>
      </c>
      <c r="N308" s="12">
        <f t="shared" si="61"/>
        <v>1368</v>
      </c>
      <c r="O308" s="12">
        <f t="shared" si="52"/>
        <v>1.9616278069345263</v>
      </c>
    </row>
    <row r="309" spans="1:19" ht="15.75" x14ac:dyDescent="0.3">
      <c r="A309" s="6">
        <f t="shared" si="60"/>
        <v>42753</v>
      </c>
      <c r="B309" s="8">
        <f t="shared" si="62"/>
        <v>101858</v>
      </c>
      <c r="C309" s="8">
        <f>92104+2500-5000-1900-3000-45+829-6308-10000</f>
        <v>69180</v>
      </c>
      <c r="D309" s="8">
        <v>26678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6000</v>
      </c>
      <c r="K309" s="8">
        <v>0</v>
      </c>
      <c r="N309" s="12">
        <f t="shared" si="61"/>
        <v>-558</v>
      </c>
      <c r="O309" s="12">
        <f t="shared" si="52"/>
        <v>-0.80659150043365135</v>
      </c>
    </row>
    <row r="310" spans="1:19" ht="15.75" x14ac:dyDescent="0.3">
      <c r="A310" s="6">
        <f t="shared" si="60"/>
        <v>42754</v>
      </c>
      <c r="B310" s="8">
        <f t="shared" si="62"/>
        <v>101218</v>
      </c>
      <c r="C310" s="8">
        <f>92573+2500-5000-1900-3000-45+829-7417-10000</f>
        <v>68540</v>
      </c>
      <c r="D310" s="8">
        <v>26678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6000</v>
      </c>
      <c r="K310" s="8">
        <v>0</v>
      </c>
      <c r="N310" s="12">
        <f t="shared" si="61"/>
        <v>-640</v>
      </c>
      <c r="O310" s="12">
        <f t="shared" si="52"/>
        <v>-0.93376130726583007</v>
      </c>
    </row>
    <row r="311" spans="1:19" ht="15.75" x14ac:dyDescent="0.3">
      <c r="A311" s="6">
        <f t="shared" si="60"/>
        <v>42755</v>
      </c>
      <c r="B311" s="8">
        <f t="shared" si="62"/>
        <v>104218</v>
      </c>
      <c r="C311" s="8">
        <f>95573+2500-5000-1900-3000-45+829-7417-10000</f>
        <v>71540</v>
      </c>
      <c r="D311" s="8">
        <v>26678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6000</v>
      </c>
      <c r="K311" s="8">
        <v>0</v>
      </c>
      <c r="N311" s="12">
        <f t="shared" si="61"/>
        <v>3000</v>
      </c>
      <c r="O311" s="12">
        <f t="shared" si="52"/>
        <v>4.1934582051998879</v>
      </c>
      <c r="P311" s="9">
        <f>SUM(N307:N311)</f>
        <v>109</v>
      </c>
    </row>
    <row r="312" spans="1:19" ht="15.75" x14ac:dyDescent="0.3">
      <c r="A312" s="6">
        <f>A311+3</f>
        <v>42758</v>
      </c>
      <c r="B312" s="8">
        <f t="shared" si="62"/>
        <v>104593</v>
      </c>
      <c r="C312" s="8">
        <f>99048+2500-5000-1900-3000-45+829-7417-10000-5000+1900</f>
        <v>71915</v>
      </c>
      <c r="D312" s="8">
        <v>26678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6000</v>
      </c>
      <c r="K312" s="8">
        <v>0</v>
      </c>
      <c r="N312" s="12">
        <f t="shared" si="61"/>
        <v>375</v>
      </c>
      <c r="O312" s="12">
        <f t="shared" si="52"/>
        <v>0.52144893276785098</v>
      </c>
    </row>
    <row r="313" spans="1:19" ht="15.75" x14ac:dyDescent="0.3">
      <c r="A313" s="6">
        <f t="shared" si="60"/>
        <v>42759</v>
      </c>
      <c r="B313" s="8">
        <f t="shared" si="62"/>
        <v>103042</v>
      </c>
      <c r="C313" s="8">
        <f>96497+2500-5000-1900-3000-45+829-7417-10000-5000+1900+1000</f>
        <v>70364</v>
      </c>
      <c r="D313" s="8">
        <v>26678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6000</v>
      </c>
      <c r="K313" s="8">
        <v>0</v>
      </c>
      <c r="N313" s="12">
        <f t="shared" si="61"/>
        <v>-1551</v>
      </c>
      <c r="O313" s="12">
        <f t="shared" si="52"/>
        <v>-2.2042521744073671</v>
      </c>
    </row>
    <row r="314" spans="1:19" ht="15.75" x14ac:dyDescent="0.3">
      <c r="A314" s="6">
        <f t="shared" si="60"/>
        <v>42760</v>
      </c>
      <c r="B314" s="8">
        <f t="shared" si="62"/>
        <v>103095</v>
      </c>
      <c r="C314" s="8">
        <f>96550+2500-5000-1900-3000-45+829-7417-10000-5000+1900+1000</f>
        <v>70417</v>
      </c>
      <c r="D314" s="8">
        <v>26678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6000</v>
      </c>
      <c r="K314" s="8">
        <v>0</v>
      </c>
      <c r="N314" s="12">
        <f t="shared" si="61"/>
        <v>53</v>
      </c>
      <c r="O314" s="12">
        <f t="shared" si="52"/>
        <v>7.5265915900989813E-2</v>
      </c>
    </row>
    <row r="315" spans="1:19" ht="15.75" x14ac:dyDescent="0.3">
      <c r="A315" s="6">
        <f t="shared" si="60"/>
        <v>42761</v>
      </c>
      <c r="B315" s="8">
        <f t="shared" si="62"/>
        <v>103562</v>
      </c>
      <c r="C315" s="8">
        <f>97017+2500-5000-1900-3000-45+829-7417-10000-5000+1900+1000</f>
        <v>70884</v>
      </c>
      <c r="D315" s="8">
        <v>26678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6000</v>
      </c>
      <c r="K315" s="8">
        <v>0</v>
      </c>
      <c r="N315" s="12">
        <f t="shared" si="61"/>
        <v>467</v>
      </c>
      <c r="O315" s="12">
        <f t="shared" si="52"/>
        <v>0.65882286552677616</v>
      </c>
      <c r="P315" s="9">
        <f>SUM(N312:N315)</f>
        <v>-656</v>
      </c>
      <c r="S315" s="18">
        <f>SUM(N298:N315)</f>
        <v>-2691</v>
      </c>
    </row>
    <row r="316" spans="1:19" ht="15.75" x14ac:dyDescent="0.3">
      <c r="A316" s="6">
        <v>42769</v>
      </c>
      <c r="B316" s="8">
        <f t="shared" si="62"/>
        <v>103419</v>
      </c>
      <c r="C316" s="8">
        <f>111974+2500-5000-1900-3000-45+829-7417-10000-5000+1900+1000-10000-5100</f>
        <v>70741</v>
      </c>
      <c r="D316" s="8">
        <v>26678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6000</v>
      </c>
      <c r="K316" s="8">
        <v>0</v>
      </c>
      <c r="N316" s="12">
        <f t="shared" si="61"/>
        <v>-143</v>
      </c>
      <c r="O316" s="12">
        <f t="shared" si="52"/>
        <v>-0.20214585600995177</v>
      </c>
    </row>
    <row r="317" spans="1:19" ht="15.75" x14ac:dyDescent="0.3">
      <c r="A317" s="6">
        <f>A316+3</f>
        <v>42772</v>
      </c>
      <c r="B317" s="8">
        <f t="shared" si="62"/>
        <v>104951</v>
      </c>
      <c r="C317" s="8">
        <f>113506+2500-5000-1900-3000-45+829-7417-10000-5000+1900+1000-10000-5100</f>
        <v>72273</v>
      </c>
      <c r="D317" s="8">
        <v>26678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6000</v>
      </c>
      <c r="K317" s="8">
        <v>0</v>
      </c>
      <c r="N317" s="12">
        <f t="shared" si="61"/>
        <v>1532</v>
      </c>
      <c r="O317" s="12">
        <f t="shared" si="52"/>
        <v>2.1197404286524706</v>
      </c>
    </row>
    <row r="318" spans="1:19" ht="15.75" x14ac:dyDescent="0.3">
      <c r="A318" s="6">
        <f>A317+1</f>
        <v>42773</v>
      </c>
      <c r="B318" s="8">
        <f t="shared" si="62"/>
        <v>104540</v>
      </c>
      <c r="C318" s="8">
        <f>109095+2500-5000-1900-3000-45+829-7417-10000-5000+1900+1000-10000-5100+4000</f>
        <v>71862</v>
      </c>
      <c r="D318" s="8">
        <v>26678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6000</v>
      </c>
      <c r="K318" s="8">
        <v>0</v>
      </c>
      <c r="N318" s="12">
        <f t="shared" si="61"/>
        <v>-411</v>
      </c>
      <c r="O318" s="12">
        <f t="shared" si="52"/>
        <v>-0.57192953160223758</v>
      </c>
    </row>
    <row r="319" spans="1:19" ht="15.75" x14ac:dyDescent="0.3">
      <c r="A319" s="6">
        <f t="shared" ref="A319:A382" si="63">A318+1</f>
        <v>42774</v>
      </c>
      <c r="B319" s="8">
        <f t="shared" si="62"/>
        <v>104959</v>
      </c>
      <c r="C319" s="8">
        <f>104421+2500-5000-1900-3000-45+829-7417-10000-5000+1900+1000-10000-5100+4000+12793-3700-4000</f>
        <v>72281</v>
      </c>
      <c r="D319" s="8">
        <v>26678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6000</v>
      </c>
      <c r="K319" s="8">
        <v>0</v>
      </c>
      <c r="N319" s="12">
        <f>C319-C318</f>
        <v>419</v>
      </c>
      <c r="O319" s="12">
        <f>N319/C319*100</f>
        <v>0.57968207412736394</v>
      </c>
    </row>
    <row r="320" spans="1:19" ht="15.75" x14ac:dyDescent="0.3">
      <c r="A320" s="6">
        <f t="shared" si="63"/>
        <v>42775</v>
      </c>
      <c r="B320" s="8">
        <f t="shared" si="62"/>
        <v>105737</v>
      </c>
      <c r="C320" s="8">
        <f>105199+2500-5000-1900-3000-45+829-7417-10000-5000+1900+1000-10000-5100+4000+12793-3700-4000</f>
        <v>73059</v>
      </c>
      <c r="D320" s="8">
        <v>26678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6000</v>
      </c>
      <c r="K320" s="8">
        <v>0</v>
      </c>
      <c r="N320" s="12">
        <f>C320-C319</f>
        <v>778</v>
      </c>
      <c r="O320" s="12">
        <f t="shared" si="52"/>
        <v>1.0648927579079921</v>
      </c>
    </row>
    <row r="321" spans="1:19" ht="15.75" x14ac:dyDescent="0.3">
      <c r="A321" s="6">
        <f t="shared" si="63"/>
        <v>42776</v>
      </c>
      <c r="B321" s="8">
        <f>SUM(C321:K321)</f>
        <v>105442</v>
      </c>
      <c r="C321" s="8">
        <f>104904+2500-5000-1900-3000-45+829-7417-10000-5000+1900+1000-10000-5100+4000+12793-3700-4000</f>
        <v>72764</v>
      </c>
      <c r="D321" s="8">
        <v>26678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6000</v>
      </c>
      <c r="K321" s="8">
        <v>0</v>
      </c>
      <c r="N321" s="12">
        <f>C321-C320</f>
        <v>-295</v>
      </c>
      <c r="O321" s="12">
        <f>N321/C321*100</f>
        <v>-0.40542026276730253</v>
      </c>
      <c r="P321" s="9">
        <f>SUM(N317:N321)</f>
        <v>2023</v>
      </c>
    </row>
    <row r="322" spans="1:19" ht="15.75" x14ac:dyDescent="0.3">
      <c r="A322" s="6">
        <f>A321+3</f>
        <v>42779</v>
      </c>
      <c r="B322" s="8">
        <f t="shared" ref="B322:B326" si="64">SUM(C322:K322)</f>
        <v>106504</v>
      </c>
      <c r="C322" s="8">
        <f>105966+2500-5000-1900-3000-45+829-7417-10000-5000+1900+1000-10000-5100+4000+12793-3700-4000</f>
        <v>73826</v>
      </c>
      <c r="D322" s="8">
        <v>26678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6000</v>
      </c>
      <c r="K322" s="8">
        <v>0</v>
      </c>
      <c r="N322" s="12">
        <f t="shared" ref="N322:N385" si="65">C322-C321</f>
        <v>1062</v>
      </c>
      <c r="O322" s="12">
        <f t="shared" ref="O322:O385" si="66">N322/C322*100</f>
        <v>1.4385175954270852</v>
      </c>
    </row>
    <row r="323" spans="1:19" ht="15.75" x14ac:dyDescent="0.3">
      <c r="A323" s="6">
        <f t="shared" si="63"/>
        <v>42780</v>
      </c>
      <c r="B323" s="8">
        <f t="shared" si="64"/>
        <v>106966</v>
      </c>
      <c r="C323" s="8">
        <f>103428+2500-5000-1900-3000-45+829-7417-10000-5000+1900+1000-10000-5100+4000+12793-3700-4000+3000</f>
        <v>74288</v>
      </c>
      <c r="D323" s="8">
        <v>26678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6000</v>
      </c>
      <c r="K323" s="8">
        <v>0</v>
      </c>
      <c r="N323" s="12">
        <f t="shared" si="65"/>
        <v>462</v>
      </c>
      <c r="O323" s="12">
        <f t="shared" si="66"/>
        <v>0.62190394141718708</v>
      </c>
    </row>
    <row r="324" spans="1:19" ht="15.75" x14ac:dyDescent="0.3">
      <c r="A324" s="6">
        <f t="shared" si="63"/>
        <v>42781</v>
      </c>
      <c r="B324" s="8">
        <f t="shared" si="64"/>
        <v>105254</v>
      </c>
      <c r="C324" s="8">
        <f>101716+2500-5000-1900-3000-45+829-7417-10000-5000+1900+1000-10000-5100+4000+12793-3700-4000+3000</f>
        <v>72576</v>
      </c>
      <c r="D324" s="8">
        <v>26678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6000</v>
      </c>
      <c r="K324" s="8">
        <v>0</v>
      </c>
      <c r="N324" s="12">
        <f t="shared" si="65"/>
        <v>-1712</v>
      </c>
      <c r="O324" s="12">
        <f t="shared" si="66"/>
        <v>-2.3589065255731922</v>
      </c>
      <c r="Q324" s="9" t="s">
        <v>21</v>
      </c>
    </row>
    <row r="325" spans="1:19" ht="15.75" x14ac:dyDescent="0.3">
      <c r="A325" s="6">
        <f t="shared" si="63"/>
        <v>42782</v>
      </c>
      <c r="B325" s="8">
        <f t="shared" si="64"/>
        <v>105494</v>
      </c>
      <c r="C325" s="8">
        <f>71956+2500-1900-3000-45+829-7417+1900+1000-5100+4000+12793-3700-4000+3000</f>
        <v>72816</v>
      </c>
      <c r="D325" s="8">
        <v>26678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6000</v>
      </c>
      <c r="K325" s="8">
        <v>0</v>
      </c>
      <c r="N325" s="12">
        <f t="shared" si="65"/>
        <v>240</v>
      </c>
      <c r="O325" s="12">
        <f t="shared" si="66"/>
        <v>0.32959789057350031</v>
      </c>
    </row>
    <row r="326" spans="1:19" ht="15.75" x14ac:dyDescent="0.3">
      <c r="A326" s="6">
        <f t="shared" si="63"/>
        <v>42783</v>
      </c>
      <c r="B326" s="8">
        <f t="shared" si="64"/>
        <v>105631</v>
      </c>
      <c r="C326" s="8">
        <f>72093+2500-1900-3000-45+829-7417+1900+1000-5100+4000+12793-3700-4000+3000</f>
        <v>72953</v>
      </c>
      <c r="D326" s="8">
        <v>26678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6000</v>
      </c>
      <c r="K326" s="8">
        <v>0</v>
      </c>
      <c r="N326" s="12">
        <f t="shared" si="65"/>
        <v>137</v>
      </c>
      <c r="O326" s="12">
        <f t="shared" si="66"/>
        <v>0.18779214014502488</v>
      </c>
      <c r="P326" s="9">
        <f>SUM(N322:N326)</f>
        <v>189</v>
      </c>
    </row>
    <row r="327" spans="1:19" ht="15.75" x14ac:dyDescent="0.3">
      <c r="A327" s="6">
        <f>A326+3</f>
        <v>42786</v>
      </c>
      <c r="B327" s="8">
        <f t="shared" ref="B327:B351" si="67">SUM(C327:K327)</f>
        <v>100907</v>
      </c>
      <c r="C327" s="8">
        <f>67369+2500-1900-3000-45+829-7417+1900+1000-5100+4000+12793-3700-4000+3000</f>
        <v>68229</v>
      </c>
      <c r="D327" s="8">
        <v>26678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6000</v>
      </c>
      <c r="K327" s="8">
        <v>0</v>
      </c>
      <c r="N327" s="12">
        <f t="shared" si="65"/>
        <v>-4724</v>
      </c>
      <c r="O327" s="12">
        <f t="shared" si="66"/>
        <v>-6.9237421037975064</v>
      </c>
    </row>
    <row r="328" spans="1:19" ht="15.75" x14ac:dyDescent="0.3">
      <c r="A328" s="6">
        <f t="shared" si="63"/>
        <v>42787</v>
      </c>
      <c r="B328" s="8">
        <f t="shared" si="67"/>
        <v>102256</v>
      </c>
      <c r="C328" s="8">
        <f>68718+2500-1900-3000-45+829-7417+1900+1000-5100+4000+12793-3700-4000+3000</f>
        <v>69578</v>
      </c>
      <c r="D328" s="8">
        <v>26678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6000</v>
      </c>
      <c r="K328" s="8">
        <v>0</v>
      </c>
      <c r="N328" s="12">
        <f t="shared" si="65"/>
        <v>1349</v>
      </c>
      <c r="O328" s="12">
        <f t="shared" si="66"/>
        <v>1.9388312397596943</v>
      </c>
    </row>
    <row r="329" spans="1:19" ht="15.75" x14ac:dyDescent="0.3">
      <c r="A329" s="6">
        <f t="shared" si="63"/>
        <v>42788</v>
      </c>
      <c r="B329" s="8">
        <f t="shared" si="67"/>
        <v>102713</v>
      </c>
      <c r="C329" s="8">
        <f>69175+2500-1900-3000-45+829-7417+1900+1000-5100+4000+12793-3700-4000+3000</f>
        <v>70035</v>
      </c>
      <c r="D329" s="8">
        <v>26678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6000</v>
      </c>
      <c r="K329" s="8">
        <v>0</v>
      </c>
      <c r="N329" s="12">
        <f t="shared" si="65"/>
        <v>457</v>
      </c>
      <c r="O329" s="12">
        <f t="shared" si="66"/>
        <v>0.65253087741843363</v>
      </c>
    </row>
    <row r="330" spans="1:19" ht="15.75" x14ac:dyDescent="0.3">
      <c r="A330" s="6">
        <f t="shared" si="63"/>
        <v>42789</v>
      </c>
      <c r="B330" s="8">
        <f t="shared" si="67"/>
        <v>102940</v>
      </c>
      <c r="C330" s="8">
        <f>69402+2500-1900-3000-45+829-7417+1900+1000-5100+4000+12793-3700-4000+3000</f>
        <v>70262</v>
      </c>
      <c r="D330" s="8">
        <v>26678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6000</v>
      </c>
      <c r="K330" s="8">
        <v>0</v>
      </c>
      <c r="N330" s="12">
        <f t="shared" si="65"/>
        <v>227</v>
      </c>
      <c r="O330" s="12">
        <f t="shared" si="66"/>
        <v>0.32307648515556059</v>
      </c>
    </row>
    <row r="331" spans="1:19" ht="15.75" x14ac:dyDescent="0.3">
      <c r="A331" s="6">
        <f t="shared" si="63"/>
        <v>42790</v>
      </c>
      <c r="B331" s="8">
        <f t="shared" si="67"/>
        <v>103064</v>
      </c>
      <c r="C331" s="8">
        <f>69526+2500-1900-3000-45+829-7417+1900+1000-5100+4000+12793-3700-4000+3000</f>
        <v>70386</v>
      </c>
      <c r="D331" s="8">
        <v>26678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6000</v>
      </c>
      <c r="K331" s="8">
        <v>0</v>
      </c>
      <c r="N331" s="12">
        <f t="shared" si="65"/>
        <v>124</v>
      </c>
      <c r="O331" s="12">
        <f t="shared" si="66"/>
        <v>0.17617139772113771</v>
      </c>
      <c r="P331" s="9">
        <f>SUM(N327:N331)</f>
        <v>-2567</v>
      </c>
    </row>
    <row r="332" spans="1:19" ht="15.75" x14ac:dyDescent="0.3">
      <c r="A332" s="6">
        <f>A331+3</f>
        <v>42793</v>
      </c>
      <c r="B332" s="8">
        <f t="shared" si="67"/>
        <v>102123</v>
      </c>
      <c r="C332" s="8">
        <f>68585+2500-1900-3000-45+829-7417+1900+1000-5100+4000+12793-3700-4000+3000</f>
        <v>69445</v>
      </c>
      <c r="D332" s="8">
        <v>26678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6000</v>
      </c>
      <c r="K332" s="8">
        <v>0</v>
      </c>
      <c r="N332" s="12">
        <f t="shared" si="65"/>
        <v>-941</v>
      </c>
      <c r="O332" s="12">
        <f t="shared" si="66"/>
        <v>-1.3550291597667219</v>
      </c>
    </row>
    <row r="333" spans="1:19" ht="15.75" x14ac:dyDescent="0.3">
      <c r="A333" s="6">
        <f t="shared" si="63"/>
        <v>42794</v>
      </c>
      <c r="B333" s="8">
        <f t="shared" si="67"/>
        <v>102345</v>
      </c>
      <c r="C333" s="8">
        <f>68807+2500-1900-3000-45+829-7417+1900+1000-5100+4000+12793-3700-4000+3000</f>
        <v>69667</v>
      </c>
      <c r="D333" s="8">
        <v>26678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6000</v>
      </c>
      <c r="K333" s="8">
        <v>0</v>
      </c>
      <c r="N333" s="12">
        <f t="shared" si="65"/>
        <v>222</v>
      </c>
      <c r="O333" s="12">
        <f t="shared" si="66"/>
        <v>0.31865876239826607</v>
      </c>
      <c r="S333" s="18">
        <f>SUM(N316:N333)</f>
        <v>-1217</v>
      </c>
    </row>
    <row r="334" spans="1:19" ht="15.75" x14ac:dyDescent="0.3">
      <c r="A334" s="6">
        <f t="shared" si="63"/>
        <v>42795</v>
      </c>
      <c r="B334" s="8">
        <f t="shared" si="67"/>
        <v>102008</v>
      </c>
      <c r="C334" s="8">
        <f>68470+2500-1900-3000-45+829-7417+1900+1000-5100+4000+12793-3700-4000+3000</f>
        <v>69330</v>
      </c>
      <c r="D334" s="8">
        <v>26678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6000</v>
      </c>
      <c r="K334" s="8">
        <v>0</v>
      </c>
      <c r="N334" s="12">
        <f t="shared" si="65"/>
        <v>-337</v>
      </c>
      <c r="O334" s="12">
        <f t="shared" si="66"/>
        <v>-0.48608106158949949</v>
      </c>
    </row>
    <row r="335" spans="1:19" ht="15.75" x14ac:dyDescent="0.3">
      <c r="A335" s="6">
        <f t="shared" si="63"/>
        <v>42796</v>
      </c>
      <c r="B335" s="8">
        <f t="shared" si="67"/>
        <v>100584</v>
      </c>
      <c r="C335" s="8">
        <f>67046+2500-1900-3000-45+829-7417+1900+1000-5100+4000+12793-3700-4000+3000</f>
        <v>67906</v>
      </c>
      <c r="D335" s="8">
        <v>26678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6000</v>
      </c>
      <c r="K335" s="8">
        <v>0</v>
      </c>
      <c r="N335" s="12">
        <f t="shared" si="65"/>
        <v>-1424</v>
      </c>
      <c r="O335" s="12">
        <f t="shared" si="66"/>
        <v>-2.0970164639354403</v>
      </c>
    </row>
    <row r="336" spans="1:19" ht="15.75" x14ac:dyDescent="0.3">
      <c r="A336" s="6">
        <f t="shared" si="63"/>
        <v>42797</v>
      </c>
      <c r="B336" s="8">
        <f t="shared" si="67"/>
        <v>100641</v>
      </c>
      <c r="C336" s="8">
        <f>67103+2500-1900-3000-45+829-7417+1900+1000-5100+4000+12793-3700-4000+3000</f>
        <v>67963</v>
      </c>
      <c r="D336" s="8">
        <v>26678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6000</v>
      </c>
      <c r="K336" s="8">
        <v>0</v>
      </c>
      <c r="N336" s="12">
        <f t="shared" si="65"/>
        <v>57</v>
      </c>
      <c r="O336" s="12">
        <f t="shared" si="66"/>
        <v>8.3869164103997765E-2</v>
      </c>
      <c r="P336" s="9">
        <f>SUM(N332:N336)</f>
        <v>-2423</v>
      </c>
    </row>
    <row r="337" spans="1:17" s="9" customFormat="1" ht="15.75" x14ac:dyDescent="0.3">
      <c r="A337" s="6">
        <f>A336+3</f>
        <v>42800</v>
      </c>
      <c r="B337" s="8">
        <f t="shared" si="67"/>
        <v>101442</v>
      </c>
      <c r="C337" s="8">
        <f>67904+2500-1900-3000-45+829-7417+1900+1000-5100+4000+12793-3700-4000+3000</f>
        <v>68764</v>
      </c>
      <c r="D337" s="8">
        <v>26678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6000</v>
      </c>
      <c r="K337" s="8">
        <v>0</v>
      </c>
      <c r="N337" s="12">
        <f t="shared" si="65"/>
        <v>801</v>
      </c>
      <c r="O337" s="12">
        <f t="shared" si="66"/>
        <v>1.16485370251876</v>
      </c>
    </row>
    <row r="338" spans="1:17" s="9" customFormat="1" ht="15.75" x14ac:dyDescent="0.3">
      <c r="A338" s="6">
        <f t="shared" si="63"/>
        <v>42801</v>
      </c>
      <c r="B338" s="8">
        <f t="shared" si="67"/>
        <v>101693</v>
      </c>
      <c r="C338" s="8">
        <f>68155+2500-1900-3000-45+829-7417+1900+1000-5100+4000+12793-3700-4000+3000</f>
        <v>69015</v>
      </c>
      <c r="D338" s="8">
        <v>26678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6000</v>
      </c>
      <c r="K338" s="8">
        <v>0</v>
      </c>
      <c r="N338" s="12">
        <f t="shared" si="65"/>
        <v>251</v>
      </c>
      <c r="O338" s="12">
        <f t="shared" si="66"/>
        <v>0.36368905310439759</v>
      </c>
    </row>
    <row r="339" spans="1:17" s="9" customFormat="1" ht="15.75" x14ac:dyDescent="0.3">
      <c r="A339" s="6">
        <f t="shared" si="63"/>
        <v>42802</v>
      </c>
      <c r="B339" s="8">
        <f t="shared" si="67"/>
        <v>101264</v>
      </c>
      <c r="C339" s="8">
        <f>67726+2500-1900-3000-45+829-7417+1900+1000-5100+4000+12793-3700-4000+3000</f>
        <v>68586</v>
      </c>
      <c r="D339" s="8">
        <v>26678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6000</v>
      </c>
      <c r="K339" s="8">
        <v>0</v>
      </c>
      <c r="N339" s="12">
        <f t="shared" si="65"/>
        <v>-429</v>
      </c>
      <c r="O339" s="12">
        <f t="shared" si="66"/>
        <v>-0.6254920829323769</v>
      </c>
    </row>
    <row r="340" spans="1:17" s="9" customFormat="1" ht="15.75" x14ac:dyDescent="0.3">
      <c r="A340" s="6">
        <f t="shared" si="63"/>
        <v>42803</v>
      </c>
      <c r="B340" s="8">
        <f t="shared" si="67"/>
        <v>100728</v>
      </c>
      <c r="C340" s="8">
        <f>67190+2500-1900-3000-45+829-7417+1900+1000-5100+4000+12793-3700-4000+3000</f>
        <v>68050</v>
      </c>
      <c r="D340" s="8">
        <v>26678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6000</v>
      </c>
      <c r="K340" s="8">
        <v>0</v>
      </c>
      <c r="N340" s="12">
        <f t="shared" si="65"/>
        <v>-536</v>
      </c>
      <c r="O340" s="12">
        <f t="shared" si="66"/>
        <v>-0.78765613519470967</v>
      </c>
    </row>
    <row r="341" spans="1:17" s="9" customFormat="1" ht="15.75" x14ac:dyDescent="0.3">
      <c r="A341" s="6">
        <f t="shared" si="63"/>
        <v>42804</v>
      </c>
      <c r="B341" s="8">
        <f t="shared" si="67"/>
        <v>100348</v>
      </c>
      <c r="C341" s="8">
        <f>66810+2500-1900-3000-45+829-7417+1900+1000-5100+4000+12793-3700-4000+3000</f>
        <v>67670</v>
      </c>
      <c r="D341" s="8">
        <v>26678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6000</v>
      </c>
      <c r="K341" s="8">
        <v>0</v>
      </c>
      <c r="N341" s="12">
        <f t="shared" si="65"/>
        <v>-380</v>
      </c>
      <c r="O341" s="12">
        <f t="shared" si="66"/>
        <v>-0.56154869218265113</v>
      </c>
      <c r="P341" s="9">
        <f>SUM(N337:N341)</f>
        <v>-293</v>
      </c>
    </row>
    <row r="342" spans="1:17" s="9" customFormat="1" ht="15.75" x14ac:dyDescent="0.3">
      <c r="A342" s="6">
        <f>A341+3</f>
        <v>42807</v>
      </c>
      <c r="B342" s="8">
        <f t="shared" si="67"/>
        <v>100603</v>
      </c>
      <c r="C342" s="8">
        <f>67065+2500-1900-3000-45+829-7417+1900+1000-5100+4000+12793-3700-4000+3000</f>
        <v>67925</v>
      </c>
      <c r="D342" s="8">
        <v>26678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6000</v>
      </c>
      <c r="K342" s="8">
        <v>0</v>
      </c>
      <c r="N342" s="12">
        <f t="shared" si="65"/>
        <v>255</v>
      </c>
      <c r="O342" s="12">
        <f t="shared" si="66"/>
        <v>0.37541405962458596</v>
      </c>
    </row>
    <row r="343" spans="1:17" s="9" customFormat="1" ht="15.75" x14ac:dyDescent="0.3">
      <c r="A343" s="6">
        <f t="shared" si="63"/>
        <v>42808</v>
      </c>
      <c r="B343" s="8">
        <f t="shared" si="67"/>
        <v>100222</v>
      </c>
      <c r="C343" s="8">
        <f>66684+2500-1900-3000-45+829-7417+1900+1000-5100+4000+12793-3700-4000+3000</f>
        <v>67544</v>
      </c>
      <c r="D343" s="8">
        <v>26678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6000</v>
      </c>
      <c r="K343" s="8">
        <v>0</v>
      </c>
      <c r="N343" s="12">
        <f t="shared" si="65"/>
        <v>-381</v>
      </c>
      <c r="O343" s="12">
        <f t="shared" si="66"/>
        <v>-0.5640767499703897</v>
      </c>
    </row>
    <row r="344" spans="1:17" s="9" customFormat="1" ht="15.75" x14ac:dyDescent="0.3">
      <c r="A344" s="6">
        <f t="shared" si="63"/>
        <v>42809</v>
      </c>
      <c r="B344" s="8">
        <f t="shared" si="67"/>
        <v>100401</v>
      </c>
      <c r="C344" s="8">
        <f>66863+2500-1900-3000-45+829-7417+1900+1000-5100+4000+12793-3700-4000+3000</f>
        <v>67723</v>
      </c>
      <c r="D344" s="8">
        <v>26678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6000</v>
      </c>
      <c r="K344" s="8">
        <v>0</v>
      </c>
      <c r="N344" s="12">
        <f t="shared" si="65"/>
        <v>179</v>
      </c>
      <c r="O344" s="12">
        <f t="shared" si="66"/>
        <v>0.26431197672873324</v>
      </c>
    </row>
    <row r="345" spans="1:17" s="9" customFormat="1" ht="15.75" x14ac:dyDescent="0.3">
      <c r="A345" s="6">
        <f t="shared" si="63"/>
        <v>42810</v>
      </c>
      <c r="B345" s="8">
        <f t="shared" si="67"/>
        <v>100985</v>
      </c>
      <c r="C345" s="8">
        <f>67447+2500-1900-3000-45+829-7417+1900+1000-5100+4000+12793-3700-4000+3000</f>
        <v>68307</v>
      </c>
      <c r="D345" s="8">
        <v>26678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6000</v>
      </c>
      <c r="K345" s="8">
        <v>0</v>
      </c>
      <c r="N345" s="12">
        <f t="shared" si="65"/>
        <v>584</v>
      </c>
      <c r="O345" s="12">
        <f t="shared" si="66"/>
        <v>0.85496362012678051</v>
      </c>
    </row>
    <row r="346" spans="1:17" s="9" customFormat="1" ht="15.75" x14ac:dyDescent="0.3">
      <c r="A346" s="6">
        <f>A345+3</f>
        <v>42813</v>
      </c>
      <c r="B346" s="8">
        <f t="shared" si="67"/>
        <v>100516</v>
      </c>
      <c r="C346" s="8">
        <f>66978+2500-1900-3000-45+829-7417+1900+1000-5100+4000+12793-3700-4000+3000</f>
        <v>67838</v>
      </c>
      <c r="D346" s="8">
        <v>26678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6000</v>
      </c>
      <c r="K346" s="8">
        <v>0</v>
      </c>
      <c r="N346" s="12">
        <f t="shared" si="65"/>
        <v>-469</v>
      </c>
      <c r="O346" s="12">
        <f t="shared" si="66"/>
        <v>-0.69135292903682299</v>
      </c>
      <c r="P346" s="9">
        <f>SUM(N342:N346)</f>
        <v>168</v>
      </c>
    </row>
    <row r="347" spans="1:17" s="9" customFormat="1" ht="15.75" x14ac:dyDescent="0.3">
      <c r="A347" s="6">
        <f t="shared" si="63"/>
        <v>42814</v>
      </c>
      <c r="B347" s="8">
        <f t="shared" si="67"/>
        <v>100516</v>
      </c>
      <c r="C347" s="8">
        <f t="shared" ref="C347" si="68">66978+2500-1900-3000-45+829-7417+1900+1000-5100+4000+12793-3700-4000+3000</f>
        <v>67838</v>
      </c>
      <c r="D347" s="8">
        <v>26678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6000</v>
      </c>
      <c r="K347" s="8">
        <v>0</v>
      </c>
      <c r="N347" s="12">
        <f t="shared" si="65"/>
        <v>0</v>
      </c>
      <c r="O347" s="12">
        <f t="shared" si="66"/>
        <v>0</v>
      </c>
    </row>
    <row r="348" spans="1:17" s="9" customFormat="1" ht="15.75" x14ac:dyDescent="0.3">
      <c r="A348" s="6">
        <f t="shared" si="63"/>
        <v>42815</v>
      </c>
      <c r="B348" s="8">
        <f t="shared" si="67"/>
        <v>97486</v>
      </c>
      <c r="C348" s="8">
        <f>63948+2500-1900-3000-45+829-7417+1900+1000-5100+4000+12793-3700-4000+3000</f>
        <v>64808</v>
      </c>
      <c r="D348" s="8">
        <v>26678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6000</v>
      </c>
      <c r="K348" s="8">
        <v>0</v>
      </c>
      <c r="N348" s="12">
        <f t="shared" si="65"/>
        <v>-3030</v>
      </c>
      <c r="O348" s="12">
        <f t="shared" si="66"/>
        <v>-4.6753487223799528</v>
      </c>
    </row>
    <row r="349" spans="1:17" s="9" customFormat="1" ht="15.75" x14ac:dyDescent="0.3">
      <c r="A349" s="6">
        <f t="shared" si="63"/>
        <v>42816</v>
      </c>
      <c r="B349" s="8">
        <f t="shared" si="67"/>
        <v>96695</v>
      </c>
      <c r="C349" s="8">
        <f>63157+2500-1900-3000-45+829-7417+1900+1000-5100+4000+12793-3700-4000+3000</f>
        <v>64017</v>
      </c>
      <c r="D349" s="8">
        <v>26678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6000</v>
      </c>
      <c r="K349" s="8">
        <v>0</v>
      </c>
      <c r="N349" s="12">
        <f t="shared" si="65"/>
        <v>-791</v>
      </c>
      <c r="O349" s="12">
        <f t="shared" si="66"/>
        <v>-1.2356092912820031</v>
      </c>
    </row>
    <row r="350" spans="1:17" s="9" customFormat="1" ht="15.75" x14ac:dyDescent="0.3">
      <c r="A350" s="6">
        <f t="shared" si="63"/>
        <v>42817</v>
      </c>
      <c r="B350" s="8">
        <f t="shared" si="67"/>
        <v>96833</v>
      </c>
      <c r="C350" s="8">
        <f>63295+2500-1900-3000-45+829-7417+1900+1000-5100+4000+12793-3700-4000+3000</f>
        <v>64155</v>
      </c>
      <c r="D350" s="8">
        <v>26678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6000</v>
      </c>
      <c r="K350" s="8">
        <v>0</v>
      </c>
      <c r="N350" s="12">
        <f t="shared" si="65"/>
        <v>138</v>
      </c>
      <c r="O350" s="12">
        <f t="shared" si="66"/>
        <v>0.21510404489127893</v>
      </c>
    </row>
    <row r="351" spans="1:17" s="9" customFormat="1" ht="15.75" x14ac:dyDescent="0.3">
      <c r="A351" s="6">
        <f t="shared" si="63"/>
        <v>42818</v>
      </c>
      <c r="B351" s="8">
        <f t="shared" si="67"/>
        <v>96806</v>
      </c>
      <c r="C351" s="8">
        <f>62768+2500-1900-3000-45+829-7417+1900+1000-5100+4000+12793-3700-4000+3000+500</f>
        <v>64128</v>
      </c>
      <c r="D351" s="8">
        <v>26678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6000</v>
      </c>
      <c r="K351" s="8">
        <v>0</v>
      </c>
      <c r="N351" s="12">
        <f t="shared" si="65"/>
        <v>-27</v>
      </c>
      <c r="O351" s="12">
        <f t="shared" si="66"/>
        <v>-4.2103293413173655E-2</v>
      </c>
      <c r="P351" s="9">
        <f>SUM(N347:N351)</f>
        <v>-3710</v>
      </c>
      <c r="Q351" s="9" t="s">
        <v>63</v>
      </c>
    </row>
    <row r="352" spans="1:17" s="9" customFormat="1" ht="15.75" x14ac:dyDescent="0.3">
      <c r="A352" s="6">
        <f>A351+3</f>
        <v>42821</v>
      </c>
      <c r="B352" s="8">
        <f t="shared" ref="B352:B364" si="69">SUM(C352:K352)</f>
        <v>96473</v>
      </c>
      <c r="C352" s="8">
        <f>62435+2500-1900-3000-45+829-7417+1900+1000-5100+4000+12793-3700-4000+3000+500</f>
        <v>63795</v>
      </c>
      <c r="D352" s="8">
        <v>26678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6000</v>
      </c>
      <c r="K352" s="8">
        <v>0</v>
      </c>
      <c r="N352" s="12">
        <f t="shared" si="65"/>
        <v>-333</v>
      </c>
      <c r="O352" s="12">
        <f t="shared" si="66"/>
        <v>-0.52198448154244059</v>
      </c>
    </row>
    <row r="353" spans="1:19" ht="15.75" x14ac:dyDescent="0.3">
      <c r="A353" s="6">
        <f t="shared" si="63"/>
        <v>42822</v>
      </c>
      <c r="B353" s="8">
        <f t="shared" si="69"/>
        <v>96325</v>
      </c>
      <c r="C353" s="8">
        <f>62287+2500-1900-3000-45+829-7417+1900+1000-5100+4000+12793-3700-4000+3000+500</f>
        <v>63647</v>
      </c>
      <c r="D353" s="8">
        <v>26678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6000</v>
      </c>
      <c r="K353" s="8">
        <v>0</v>
      </c>
      <c r="N353" s="12">
        <f t="shared" si="65"/>
        <v>-148</v>
      </c>
      <c r="O353" s="12">
        <f t="shared" si="66"/>
        <v>-0.23253256241456782</v>
      </c>
    </row>
    <row r="354" spans="1:19" ht="15.75" x14ac:dyDescent="0.3">
      <c r="A354" s="6">
        <f t="shared" si="63"/>
        <v>42823</v>
      </c>
      <c r="B354" s="8">
        <f t="shared" si="69"/>
        <v>95518</v>
      </c>
      <c r="C354" s="8">
        <f>61480+2500-1900-3000-45+829-7417+1900+1000-5100+4000+12793-3700-4000+3000+500</f>
        <v>62840</v>
      </c>
      <c r="D354" s="8">
        <v>26678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6000</v>
      </c>
      <c r="K354" s="8">
        <v>0</v>
      </c>
      <c r="N354" s="12">
        <f t="shared" si="65"/>
        <v>-807</v>
      </c>
      <c r="O354" s="12">
        <f t="shared" si="66"/>
        <v>-1.2842138765117759</v>
      </c>
    </row>
    <row r="355" spans="1:19" ht="15.75" x14ac:dyDescent="0.3">
      <c r="A355" s="6">
        <f t="shared" si="63"/>
        <v>42824</v>
      </c>
      <c r="B355" s="8">
        <f t="shared" si="69"/>
        <v>93657</v>
      </c>
      <c r="C355" s="8">
        <f>59619+2500-1900-3000-45+829-7417+1900+1000-5100+4000+12793-3700-4000+3000+500</f>
        <v>60979</v>
      </c>
      <c r="D355" s="8">
        <v>26678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6000</v>
      </c>
      <c r="K355" s="8">
        <v>0</v>
      </c>
      <c r="N355" s="12">
        <f t="shared" si="65"/>
        <v>-1861</v>
      </c>
      <c r="O355" s="12">
        <f t="shared" si="66"/>
        <v>-3.0518703160104299</v>
      </c>
    </row>
    <row r="356" spans="1:19" ht="15.75" x14ac:dyDescent="0.3">
      <c r="A356" s="6">
        <f t="shared" si="63"/>
        <v>42825</v>
      </c>
      <c r="B356" s="8">
        <f t="shared" si="69"/>
        <v>93795</v>
      </c>
      <c r="C356" s="8">
        <f>63757+2500-1900-3000-45+829-7417+1900+1000-5100+4000+12793-3700-4000+3000+500-4000</f>
        <v>61117</v>
      </c>
      <c r="D356" s="8">
        <v>26678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6000</v>
      </c>
      <c r="K356" s="8">
        <v>0</v>
      </c>
      <c r="N356" s="12">
        <f t="shared" si="65"/>
        <v>138</v>
      </c>
      <c r="O356" s="12">
        <f t="shared" si="66"/>
        <v>0.2257964232537592</v>
      </c>
      <c r="P356" s="9">
        <f>SUM(N352:N356)</f>
        <v>-3011</v>
      </c>
      <c r="S356" s="18">
        <f>SUM(N334:N356)</f>
        <v>-8550</v>
      </c>
    </row>
    <row r="357" spans="1:19" ht="15.75" x14ac:dyDescent="0.3">
      <c r="A357" s="6">
        <f>A356+5</f>
        <v>42830</v>
      </c>
      <c r="B357" s="8">
        <f t="shared" si="69"/>
        <v>94788</v>
      </c>
      <c r="C357" s="8">
        <f>64750+2500-1900-3000-45+829-7417+1900+1000-5100+4000+12793-3700-4000+3000+500-4000</f>
        <v>62110</v>
      </c>
      <c r="D357" s="8">
        <v>26678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6000</v>
      </c>
      <c r="K357" s="8">
        <v>0</v>
      </c>
      <c r="N357" s="12">
        <f t="shared" si="65"/>
        <v>993</v>
      </c>
      <c r="O357" s="12">
        <f t="shared" si="66"/>
        <v>1.5987763645145709</v>
      </c>
    </row>
    <row r="358" spans="1:19" ht="15.75" x14ac:dyDescent="0.3">
      <c r="A358" s="6">
        <f t="shared" si="63"/>
        <v>42831</v>
      </c>
      <c r="B358" s="8">
        <f t="shared" si="69"/>
        <v>94970</v>
      </c>
      <c r="C358" s="8">
        <f>64932+2500-1900-3000-45+829-7417+1900+1000-5100+4000+12793-3700-4000+3000+500-4000</f>
        <v>62292</v>
      </c>
      <c r="D358" s="8">
        <v>26678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6000</v>
      </c>
      <c r="K358" s="8">
        <v>0</v>
      </c>
      <c r="N358" s="12">
        <f t="shared" si="65"/>
        <v>182</v>
      </c>
      <c r="O358" s="12">
        <f t="shared" si="66"/>
        <v>0.29217234957940025</v>
      </c>
    </row>
    <row r="359" spans="1:19" ht="15.75" x14ac:dyDescent="0.3">
      <c r="A359" s="6">
        <f t="shared" si="63"/>
        <v>42832</v>
      </c>
      <c r="B359" s="8">
        <f t="shared" si="69"/>
        <v>94847</v>
      </c>
      <c r="C359" s="8">
        <f>64809+2500-1900-3000-45+829-7417+1900+1000-5100+4000+12793-3700-4000+3000+500-4000</f>
        <v>62169</v>
      </c>
      <c r="D359" s="8">
        <v>26678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6000</v>
      </c>
      <c r="K359" s="8">
        <v>0</v>
      </c>
      <c r="N359" s="12">
        <f t="shared" si="65"/>
        <v>-123</v>
      </c>
      <c r="O359" s="12">
        <f t="shared" si="66"/>
        <v>-0.19784780195917581</v>
      </c>
      <c r="P359" s="9">
        <f>SUM(N357:N359)</f>
        <v>1052</v>
      </c>
    </row>
    <row r="360" spans="1:19" ht="15.75" x14ac:dyDescent="0.3">
      <c r="A360" s="6">
        <f>A359+3</f>
        <v>42835</v>
      </c>
      <c r="B360" s="8">
        <f t="shared" si="69"/>
        <v>93496</v>
      </c>
      <c r="C360" s="8">
        <f>63458+2500-1900-3000-45+829-7417+1900+1000-5100+4000+12793-3700-4000+3000+500-4000</f>
        <v>60818</v>
      </c>
      <c r="D360" s="8">
        <v>26678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6000</v>
      </c>
      <c r="K360" s="8">
        <v>0</v>
      </c>
      <c r="N360" s="12">
        <f t="shared" si="65"/>
        <v>-1351</v>
      </c>
      <c r="O360" s="12">
        <f t="shared" si="66"/>
        <v>-2.2213818277483641</v>
      </c>
      <c r="Q360" s="9" t="s">
        <v>64</v>
      </c>
    </row>
    <row r="361" spans="1:19" ht="15.75" x14ac:dyDescent="0.3">
      <c r="A361" s="6">
        <f t="shared" si="63"/>
        <v>42836</v>
      </c>
      <c r="B361" s="8">
        <f t="shared" si="69"/>
        <v>93973</v>
      </c>
      <c r="C361" s="8">
        <f>69235+2500-1900-3000-45+829-7417+1900+1000-5100+4000+12793-3700-4000+3000+500-4000-5300</f>
        <v>61295</v>
      </c>
      <c r="D361" s="8">
        <v>26678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6000</v>
      </c>
      <c r="K361" s="8">
        <v>0</v>
      </c>
      <c r="N361" s="12">
        <f t="shared" si="65"/>
        <v>477</v>
      </c>
      <c r="O361" s="12">
        <f t="shared" si="66"/>
        <v>0.77820376865976015</v>
      </c>
    </row>
    <row r="362" spans="1:19" ht="15.75" x14ac:dyDescent="0.3">
      <c r="A362" s="6">
        <f t="shared" si="63"/>
        <v>42837</v>
      </c>
      <c r="B362" s="8">
        <f t="shared" si="69"/>
        <v>93080</v>
      </c>
      <c r="C362" s="8">
        <f>68342+2500-1900-3000-45+829-7417+1900+1000-5100+4000+12793-3700-4000+3000+500-4000-5300</f>
        <v>60402</v>
      </c>
      <c r="D362" s="8">
        <v>26678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6000</v>
      </c>
      <c r="K362" s="8">
        <v>0</v>
      </c>
      <c r="N362" s="12">
        <f t="shared" si="65"/>
        <v>-893</v>
      </c>
      <c r="O362" s="12">
        <f t="shared" si="66"/>
        <v>-1.4784278666269328</v>
      </c>
    </row>
    <row r="363" spans="1:19" ht="15.75" x14ac:dyDescent="0.3">
      <c r="A363" s="6">
        <f t="shared" si="63"/>
        <v>42838</v>
      </c>
      <c r="B363" s="8">
        <f t="shared" si="69"/>
        <v>93117</v>
      </c>
      <c r="C363" s="8">
        <f>68379+2500-1900-3000-45+829-7417+1900+1000-5100+4000+12793-3700-4000+3000+500-4000-5300</f>
        <v>60439</v>
      </c>
      <c r="D363" s="8">
        <v>26678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6000</v>
      </c>
      <c r="K363" s="8">
        <v>0</v>
      </c>
      <c r="N363" s="12">
        <f t="shared" si="65"/>
        <v>37</v>
      </c>
      <c r="O363" s="12">
        <f t="shared" si="66"/>
        <v>6.1218749482949752E-2</v>
      </c>
    </row>
    <row r="364" spans="1:19" ht="15.75" x14ac:dyDescent="0.3">
      <c r="A364" s="6">
        <f t="shared" si="63"/>
        <v>42839</v>
      </c>
      <c r="B364" s="8">
        <f t="shared" si="69"/>
        <v>92435</v>
      </c>
      <c r="C364" s="8">
        <f>67697+2500-1900-3000-45+829-7417+1900+1000-5100+4000+12793-3700-4000+3000+500-4000-5300</f>
        <v>59757</v>
      </c>
      <c r="D364" s="8">
        <v>26678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6000</v>
      </c>
      <c r="K364" s="8">
        <v>0</v>
      </c>
      <c r="N364" s="12">
        <f t="shared" si="65"/>
        <v>-682</v>
      </c>
      <c r="O364" s="12">
        <f t="shared" si="66"/>
        <v>-1.1412888866576301</v>
      </c>
      <c r="P364" s="9">
        <f>SUM(N360:N364)</f>
        <v>-2412</v>
      </c>
    </row>
    <row r="365" spans="1:19" ht="15.75" x14ac:dyDescent="0.3">
      <c r="A365" s="6">
        <f>A364+3</f>
        <v>42842</v>
      </c>
      <c r="B365" s="8">
        <f t="shared" ref="B365:B368" si="70">SUM(C365:K365)</f>
        <v>91028</v>
      </c>
      <c r="C365" s="8">
        <f>66290+2500-1900-3000-45+829-7417+1900+1000-5100+4000+12793-3700-4000+3000+500-4000-5300</f>
        <v>58350</v>
      </c>
      <c r="D365" s="8">
        <v>26678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6000</v>
      </c>
      <c r="K365" s="8">
        <v>0</v>
      </c>
      <c r="N365" s="12">
        <f t="shared" si="65"/>
        <v>-1407</v>
      </c>
      <c r="O365" s="12">
        <f t="shared" si="66"/>
        <v>-2.4113110539845759</v>
      </c>
    </row>
    <row r="366" spans="1:19" ht="15.75" x14ac:dyDescent="0.3">
      <c r="A366" s="6">
        <f t="shared" si="63"/>
        <v>42843</v>
      </c>
      <c r="B366" s="8">
        <f t="shared" si="70"/>
        <v>90086</v>
      </c>
      <c r="C366" s="8">
        <f>65348+2500-1900-3000-45+829-7417+1900+1000-5100+4000+12793-3700-4000+3000+500-4000-5300</f>
        <v>57408</v>
      </c>
      <c r="D366" s="8">
        <v>26678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6000</v>
      </c>
      <c r="K366" s="8">
        <v>0</v>
      </c>
      <c r="N366" s="12">
        <f t="shared" si="65"/>
        <v>-942</v>
      </c>
      <c r="O366" s="12">
        <f t="shared" si="66"/>
        <v>-1.640886287625418</v>
      </c>
    </row>
    <row r="367" spans="1:19" ht="15.75" x14ac:dyDescent="0.3">
      <c r="A367" s="6">
        <f t="shared" si="63"/>
        <v>42844</v>
      </c>
      <c r="B367" s="8">
        <f t="shared" si="70"/>
        <v>89233</v>
      </c>
      <c r="C367" s="8">
        <f>64495+2500-1900-3000-45+829-7417+1900+1000-5100+4000+12793-3700-4000+3000+500-4000-5300</f>
        <v>56555</v>
      </c>
      <c r="D367" s="8">
        <v>26678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6000</v>
      </c>
      <c r="K367" s="8">
        <v>0</v>
      </c>
      <c r="N367" s="12">
        <f t="shared" si="65"/>
        <v>-853</v>
      </c>
      <c r="O367" s="12">
        <f t="shared" si="66"/>
        <v>-1.508266289452745</v>
      </c>
    </row>
    <row r="368" spans="1:19" ht="15.75" x14ac:dyDescent="0.3">
      <c r="A368" s="6">
        <f t="shared" si="63"/>
        <v>42845</v>
      </c>
      <c r="B368" s="8">
        <f t="shared" si="70"/>
        <v>88812</v>
      </c>
      <c r="C368" s="8">
        <f>64074+2500-1900-3000-45+829-7417+1900+1000-5100+4000+12793-3700-4000+3000+500-4000-5300</f>
        <v>56134</v>
      </c>
      <c r="D368" s="8">
        <v>26678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6000</v>
      </c>
      <c r="K368" s="8">
        <v>0</v>
      </c>
      <c r="N368" s="12">
        <f t="shared" si="65"/>
        <v>-421</v>
      </c>
      <c r="O368" s="12">
        <f t="shared" si="66"/>
        <v>-0.74999109274236653</v>
      </c>
    </row>
    <row r="369" spans="1:19" ht="15.75" x14ac:dyDescent="0.3">
      <c r="A369" s="6">
        <f t="shared" si="63"/>
        <v>42846</v>
      </c>
      <c r="B369" s="8">
        <f t="shared" ref="B369" si="71">SUM(C369:K369)</f>
        <v>88490</v>
      </c>
      <c r="C369" s="8">
        <f>63752+2500-1900-3000-45+829-7417+1900+1000-5100+4000+12793-3700-4000+3000+500-4000-5300</f>
        <v>55812</v>
      </c>
      <c r="D369" s="8">
        <v>26678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6000</v>
      </c>
      <c r="K369" s="8">
        <v>0</v>
      </c>
      <c r="N369" s="12">
        <f t="shared" si="65"/>
        <v>-322</v>
      </c>
      <c r="O369" s="12">
        <f t="shared" si="66"/>
        <v>-0.57693685945674766</v>
      </c>
      <c r="P369" s="9">
        <f>SUM(N365:N369)</f>
        <v>-3945</v>
      </c>
    </row>
    <row r="370" spans="1:19" ht="15.75" x14ac:dyDescent="0.3">
      <c r="A370" s="6">
        <f>A369+3</f>
        <v>42849</v>
      </c>
      <c r="B370" s="8">
        <f t="shared" ref="B370:B374" si="72">SUM(C370:K370)</f>
        <v>86936</v>
      </c>
      <c r="C370" s="8">
        <f>69798-7600+2500-1900-3000-45+829-7417+1900+1000-5100+4000+12793-3700-4000+3000+500-4000-5300</f>
        <v>54258</v>
      </c>
      <c r="D370" s="8">
        <v>26678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6000</v>
      </c>
      <c r="K370" s="8">
        <v>0</v>
      </c>
      <c r="N370" s="12">
        <f t="shared" si="65"/>
        <v>-1554</v>
      </c>
      <c r="O370" s="12">
        <f t="shared" si="66"/>
        <v>-2.864093774189981</v>
      </c>
    </row>
    <row r="371" spans="1:19" ht="15.75" x14ac:dyDescent="0.3">
      <c r="A371" s="6">
        <f t="shared" si="63"/>
        <v>42850</v>
      </c>
      <c r="B371" s="8">
        <f t="shared" si="72"/>
        <v>87125</v>
      </c>
      <c r="C371" s="8">
        <f>69887-7600+100+2500-1900-3000-45+829-7417+1900+1000-5100+4000+12793-3700-4000+3000+500-4000-5300</f>
        <v>54447</v>
      </c>
      <c r="D371" s="8">
        <v>26678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6000</v>
      </c>
      <c r="K371" s="8">
        <v>0</v>
      </c>
      <c r="N371" s="12">
        <f t="shared" si="65"/>
        <v>189</v>
      </c>
      <c r="O371" s="12">
        <f t="shared" si="66"/>
        <v>0.34712656344702186</v>
      </c>
    </row>
    <row r="372" spans="1:19" ht="15.75" x14ac:dyDescent="0.3">
      <c r="A372" s="6">
        <f t="shared" si="63"/>
        <v>42851</v>
      </c>
      <c r="B372" s="8">
        <f t="shared" si="72"/>
        <v>87107</v>
      </c>
      <c r="C372" s="8">
        <f>69869-7600+100+2500-1900-3000-45+829-7417+1900+1000-5100+4000+12793-3700-4000+3000+500-4000-5300</f>
        <v>54429</v>
      </c>
      <c r="D372" s="8">
        <v>26678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6000</v>
      </c>
      <c r="K372" s="8">
        <v>0</v>
      </c>
      <c r="N372" s="12">
        <f t="shared" si="65"/>
        <v>-18</v>
      </c>
      <c r="O372" s="12">
        <f t="shared" si="66"/>
        <v>-3.3070605743261865E-2</v>
      </c>
    </row>
    <row r="373" spans="1:19" ht="15.75" x14ac:dyDescent="0.3">
      <c r="A373" s="6">
        <f t="shared" si="63"/>
        <v>42852</v>
      </c>
      <c r="B373" s="8">
        <f t="shared" si="72"/>
        <v>88149</v>
      </c>
      <c r="C373" s="8">
        <f>70911-7600+100+2500-1900-3000-45+829-7417+1900+1000-5100+4000+12793-3700-4000+3000+500-4000-5300</f>
        <v>55471</v>
      </c>
      <c r="D373" s="8">
        <v>26678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6000</v>
      </c>
      <c r="K373" s="8">
        <v>0</v>
      </c>
      <c r="N373" s="12">
        <f t="shared" si="65"/>
        <v>1042</v>
      </c>
      <c r="O373" s="12">
        <f t="shared" si="66"/>
        <v>1.878459014620252</v>
      </c>
    </row>
    <row r="374" spans="1:19" ht="15.75" x14ac:dyDescent="0.3">
      <c r="A374" s="6">
        <f t="shared" si="63"/>
        <v>42853</v>
      </c>
      <c r="B374" s="8">
        <f t="shared" si="72"/>
        <v>88561</v>
      </c>
      <c r="C374" s="8">
        <f>71323-7600+100+2500-1900-3000-45+829-7417+1900+1000-5100+4000+12793-3700-4000+3000+500-4000-5300</f>
        <v>55883</v>
      </c>
      <c r="D374" s="8">
        <v>26678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6000</v>
      </c>
      <c r="K374" s="8">
        <v>0</v>
      </c>
      <c r="N374" s="12">
        <f t="shared" si="65"/>
        <v>412</v>
      </c>
      <c r="O374" s="12">
        <f t="shared" si="66"/>
        <v>0.73725462126228014</v>
      </c>
      <c r="P374" s="9">
        <f>SUM(N370:N374)</f>
        <v>71</v>
      </c>
      <c r="S374" s="18">
        <f>SUM(N357:N374)</f>
        <v>-5234</v>
      </c>
    </row>
    <row r="375" spans="1:19" ht="15.75" x14ac:dyDescent="0.3">
      <c r="A375" s="6">
        <f>A374+4</f>
        <v>42857</v>
      </c>
      <c r="B375" s="8">
        <f t="shared" ref="B375:B379" si="73">SUM(C375:K375)</f>
        <v>88319</v>
      </c>
      <c r="C375" s="8">
        <f>71081-7600+100+2500-1900-3000-45+829-7417+1900+1000-5100+4000+12793-3700-4000+3000+500-4000-5300</f>
        <v>55641</v>
      </c>
      <c r="D375" s="8">
        <v>26678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6000</v>
      </c>
      <c r="K375" s="8">
        <v>0</v>
      </c>
      <c r="N375" s="12">
        <f t="shared" si="65"/>
        <v>-242</v>
      </c>
      <c r="O375" s="12">
        <f t="shared" si="66"/>
        <v>-0.43493107600510417</v>
      </c>
    </row>
    <row r="376" spans="1:19" ht="15.75" x14ac:dyDescent="0.3">
      <c r="A376" s="6">
        <f t="shared" si="63"/>
        <v>42858</v>
      </c>
      <c r="B376" s="8">
        <f t="shared" si="73"/>
        <v>88223</v>
      </c>
      <c r="C376" s="8">
        <f>74314-3329-7600+100+2500-1900-3000-45+829-7417+1900+1000-5100+4000+12793-3700-4000+3000+500-4000-5300</f>
        <v>55545</v>
      </c>
      <c r="D376" s="8">
        <v>26678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6000</v>
      </c>
      <c r="K376" s="8">
        <v>0</v>
      </c>
      <c r="N376" s="12">
        <f t="shared" si="65"/>
        <v>-96</v>
      </c>
      <c r="O376" s="12">
        <f t="shared" si="66"/>
        <v>-0.17283283823926546</v>
      </c>
      <c r="Q376" s="9" t="s">
        <v>22</v>
      </c>
    </row>
    <row r="377" spans="1:19" ht="15.75" x14ac:dyDescent="0.3">
      <c r="A377" s="6">
        <f t="shared" si="63"/>
        <v>42859</v>
      </c>
      <c r="B377" s="8">
        <f t="shared" si="73"/>
        <v>87810</v>
      </c>
      <c r="C377" s="8">
        <f>74994-4422-7600+100+2500-1900-3000-45+829-7417+1900+1000-5100+4000+12793-3700-4000+3000+500-4000-5300</f>
        <v>55132</v>
      </c>
      <c r="D377" s="8">
        <v>26678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6000</v>
      </c>
      <c r="K377" s="8">
        <v>0</v>
      </c>
      <c r="N377" s="12">
        <f t="shared" si="65"/>
        <v>-413</v>
      </c>
      <c r="O377" s="12">
        <f t="shared" si="66"/>
        <v>-0.74911122397155916</v>
      </c>
    </row>
    <row r="378" spans="1:19" ht="15.75" x14ac:dyDescent="0.3">
      <c r="A378" s="6">
        <f t="shared" si="63"/>
        <v>42860</v>
      </c>
      <c r="B378" s="8">
        <f t="shared" si="73"/>
        <v>87343</v>
      </c>
      <c r="C378" s="8">
        <f>75731-5626-7600+100+2500-1900-3000-45+829-7417+1900+1000-5100+4000+12793-3700-4000+3000+500-4000-5300</f>
        <v>54665</v>
      </c>
      <c r="D378" s="8">
        <v>26678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6000</v>
      </c>
      <c r="K378" s="8">
        <v>0</v>
      </c>
      <c r="N378" s="12">
        <f t="shared" si="65"/>
        <v>-467</v>
      </c>
      <c r="O378" s="12">
        <f t="shared" si="66"/>
        <v>-0.8542943382420195</v>
      </c>
      <c r="P378" s="9">
        <f>SUM(N375:N378)</f>
        <v>-1218</v>
      </c>
    </row>
    <row r="379" spans="1:19" ht="15.75" x14ac:dyDescent="0.3">
      <c r="A379" s="6">
        <f>A378+3</f>
        <v>42863</v>
      </c>
      <c r="B379" s="8">
        <f t="shared" si="73"/>
        <v>86555</v>
      </c>
      <c r="C379" s="8">
        <f>76267-6950-7600+100+2500-1900-3000-45+829-7417+1900+1000-5100+4000+12793-3700-4000+3000+500-4000-5300</f>
        <v>53877</v>
      </c>
      <c r="D379" s="8">
        <v>26678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6000</v>
      </c>
      <c r="K379" s="8">
        <v>0</v>
      </c>
      <c r="N379" s="12">
        <f t="shared" si="65"/>
        <v>-788</v>
      </c>
      <c r="O379" s="12">
        <f t="shared" si="66"/>
        <v>-1.4625907158898974</v>
      </c>
    </row>
    <row r="380" spans="1:19" ht="15.75" x14ac:dyDescent="0.3">
      <c r="A380" s="6">
        <f t="shared" si="63"/>
        <v>42864</v>
      </c>
      <c r="B380" s="8">
        <f t="shared" ref="B380:B384" si="74">SUM(C380:K380)</f>
        <v>87206</v>
      </c>
      <c r="C380" s="8">
        <f>78371-8403-7600+100+2500-1900-3000-45+829-7417+1900+1000-5100+4000+12793-3700-4000+3000+500-4000-5300</f>
        <v>54528</v>
      </c>
      <c r="D380" s="8">
        <v>26678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6000</v>
      </c>
      <c r="K380" s="8">
        <v>0</v>
      </c>
      <c r="N380" s="12">
        <f t="shared" si="65"/>
        <v>651</v>
      </c>
      <c r="O380" s="12">
        <f t="shared" si="66"/>
        <v>1.193882042253521</v>
      </c>
    </row>
    <row r="381" spans="1:19" ht="15.75" x14ac:dyDescent="0.3">
      <c r="A381" s="6">
        <f t="shared" si="63"/>
        <v>42865</v>
      </c>
      <c r="B381" s="8">
        <f t="shared" si="74"/>
        <v>86333</v>
      </c>
      <c r="C381" s="8">
        <f>79102-10007-7600+100+2500-1900-3000-45+829-7417+1900+1000-5100+4000+12793-3700-4000+3000+500-4000-5300</f>
        <v>53655</v>
      </c>
      <c r="D381" s="8">
        <v>26678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6000</v>
      </c>
      <c r="K381" s="8">
        <v>0</v>
      </c>
      <c r="N381" s="12">
        <f t="shared" si="65"/>
        <v>-873</v>
      </c>
      <c r="O381" s="12">
        <f t="shared" si="66"/>
        <v>-1.6270617836175567</v>
      </c>
    </row>
    <row r="382" spans="1:19" ht="15.75" x14ac:dyDescent="0.3">
      <c r="A382" s="6">
        <f t="shared" si="63"/>
        <v>42866</v>
      </c>
      <c r="B382" s="8">
        <f t="shared" si="74"/>
        <v>86265</v>
      </c>
      <c r="C382" s="8">
        <f>80797-11770-7600+100+2500-1900-3000-45+829-7417+1900+1000-5100+4000+12793-3700-4000+3000+500-4000-5300</f>
        <v>53587</v>
      </c>
      <c r="D382" s="8">
        <v>26678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6000</v>
      </c>
      <c r="K382" s="8">
        <v>0</v>
      </c>
      <c r="N382" s="12">
        <f t="shared" si="65"/>
        <v>-68</v>
      </c>
      <c r="O382" s="12">
        <f t="shared" si="66"/>
        <v>-0.12689644876555881</v>
      </c>
    </row>
    <row r="383" spans="1:19" ht="15.75" x14ac:dyDescent="0.3">
      <c r="A383" s="6">
        <f t="shared" ref="A383" si="75">A382+1</f>
        <v>42867</v>
      </c>
      <c r="B383" s="8">
        <f t="shared" si="74"/>
        <v>85940</v>
      </c>
      <c r="C383" s="8">
        <f>80927-13549+1324-7600+100+2500-1900-3000-45+829-7417+1900+1000-5100+4000+12793-3700-4000+3000+500-4000-5300</f>
        <v>53262</v>
      </c>
      <c r="D383" s="8">
        <v>26678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6000</v>
      </c>
      <c r="K383" s="8">
        <v>0</v>
      </c>
      <c r="N383" s="12">
        <f t="shared" si="65"/>
        <v>-325</v>
      </c>
      <c r="O383" s="12">
        <f t="shared" si="66"/>
        <v>-0.6101911306372273</v>
      </c>
      <c r="P383" s="9">
        <f>SUM(N379:N383)</f>
        <v>-1403</v>
      </c>
    </row>
    <row r="384" spans="1:19" ht="15.75" x14ac:dyDescent="0.3">
      <c r="A384" s="6">
        <f>A383+3</f>
        <v>42870</v>
      </c>
      <c r="B384" s="8">
        <f t="shared" si="74"/>
        <v>86115</v>
      </c>
      <c r="C384" s="8">
        <f>61102-13549+1324-7600+100+2500-1900-3000-45+829-7417+1900+1000-5100+4000+12793-3700-4000+3000+500-4000-5300+20000</f>
        <v>53437</v>
      </c>
      <c r="D384" s="8">
        <v>26678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6000</v>
      </c>
      <c r="K384" s="8">
        <v>0</v>
      </c>
      <c r="N384" s="12">
        <f t="shared" si="65"/>
        <v>175</v>
      </c>
      <c r="O384" s="12">
        <f t="shared" si="66"/>
        <v>0.32748844433632129</v>
      </c>
      <c r="Q384" s="9" t="s">
        <v>65</v>
      </c>
    </row>
    <row r="385" spans="1:16" s="9" customFormat="1" ht="15.75" x14ac:dyDescent="0.3">
      <c r="A385" s="6">
        <f>A384+1</f>
        <v>42871</v>
      </c>
      <c r="B385" s="8">
        <f t="shared" ref="B385:B388" si="76">SUM(C385:K385)</f>
        <v>87023</v>
      </c>
      <c r="C385" s="8">
        <f>62010-13549+1324-7600+100+2500-1900-3000-45+829-7417+1900+1000-5100+4000+12793-3700-4000+3000+500-4000-5300+20000</f>
        <v>54345</v>
      </c>
      <c r="D385" s="8">
        <v>26678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6000</v>
      </c>
      <c r="K385" s="8">
        <v>0</v>
      </c>
      <c r="N385" s="12">
        <f t="shared" si="65"/>
        <v>908</v>
      </c>
      <c r="O385" s="12">
        <f t="shared" si="66"/>
        <v>1.6708068819578621</v>
      </c>
    </row>
    <row r="386" spans="1:16" s="9" customFormat="1" ht="15.75" x14ac:dyDescent="0.3">
      <c r="A386" s="6">
        <f>A385+1</f>
        <v>42872</v>
      </c>
      <c r="B386" s="8">
        <f t="shared" si="76"/>
        <v>87516</v>
      </c>
      <c r="C386" s="8">
        <f>61354-13549+1324+1149-7600+100+2500-1900-3000-45+829-7417+1900+1000-5100+4000+12793-3700-4000+3000+500-4000-5300+20000</f>
        <v>54838</v>
      </c>
      <c r="D386" s="8">
        <v>26678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6000</v>
      </c>
      <c r="K386" s="8">
        <v>0</v>
      </c>
      <c r="N386" s="12">
        <f t="shared" ref="N386:N426" si="77">C386-C385</f>
        <v>493</v>
      </c>
      <c r="O386" s="12">
        <f t="shared" ref="O386:O426" si="78">N386/C386*100</f>
        <v>0.89901163426820818</v>
      </c>
    </row>
    <row r="387" spans="1:16" s="9" customFormat="1" ht="15.75" x14ac:dyDescent="0.3">
      <c r="A387" s="6">
        <f t="shared" ref="A387:A416" si="79">A386+1</f>
        <v>42873</v>
      </c>
      <c r="B387" s="8">
        <f t="shared" si="76"/>
        <v>87004</v>
      </c>
      <c r="C387" s="8">
        <f>60842-13549+1324+1149-7600+100+2500-1900-3000-45+829-7417+1900+1000-5100+4000+12793-3700-4000+3000+500-4000-5300+20000</f>
        <v>54326</v>
      </c>
      <c r="D387" s="8">
        <v>26678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6000</v>
      </c>
      <c r="K387" s="8">
        <v>0</v>
      </c>
      <c r="N387" s="12">
        <f t="shared" si="77"/>
        <v>-512</v>
      </c>
      <c r="O387" s="12">
        <f t="shared" si="78"/>
        <v>-0.94245849133011805</v>
      </c>
    </row>
    <row r="388" spans="1:16" s="9" customFormat="1" ht="15.75" x14ac:dyDescent="0.3">
      <c r="A388" s="6">
        <f t="shared" si="79"/>
        <v>42874</v>
      </c>
      <c r="B388" s="8">
        <f t="shared" si="76"/>
        <v>87079</v>
      </c>
      <c r="C388" s="8">
        <f>60917-13549+1324+1149-7600+100+2500-1900-3000-45+829-7417+1900+1000-5100+4000+12793-3700-4000+3000+500-4000-5300+20000</f>
        <v>54401</v>
      </c>
      <c r="D388" s="8">
        <v>26678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6000</v>
      </c>
      <c r="K388" s="8">
        <v>0</v>
      </c>
      <c r="N388" s="12">
        <f t="shared" si="77"/>
        <v>75</v>
      </c>
      <c r="O388" s="12">
        <f t="shared" si="78"/>
        <v>0.13786511277366226</v>
      </c>
      <c r="P388" s="9">
        <f>SUM(N384:N388)</f>
        <v>1139</v>
      </c>
    </row>
    <row r="389" spans="1:16" s="9" customFormat="1" ht="15.75" x14ac:dyDescent="0.3">
      <c r="A389" s="6">
        <f>A388+3</f>
        <v>42877</v>
      </c>
      <c r="B389" s="8">
        <f t="shared" ref="B389:B393" si="80">SUM(C389:K389)</f>
        <v>86324</v>
      </c>
      <c r="C389" s="8">
        <f>60162-13549+1324+1149-7600+100+2500-1900-3000-45+829-7417+1900+1000-5100+4000+12793-3700-4000+3000+500-4000-5300+20000</f>
        <v>53646</v>
      </c>
      <c r="D389" s="8">
        <v>26678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6000</v>
      </c>
      <c r="K389" s="8">
        <v>0</v>
      </c>
      <c r="N389" s="12">
        <f t="shared" si="77"/>
        <v>-755</v>
      </c>
      <c r="O389" s="12">
        <f t="shared" si="78"/>
        <v>-1.4073742683517876</v>
      </c>
    </row>
    <row r="390" spans="1:16" s="9" customFormat="1" ht="15.75" x14ac:dyDescent="0.3">
      <c r="A390" s="6">
        <f t="shared" si="79"/>
        <v>42878</v>
      </c>
      <c r="B390" s="8">
        <f t="shared" si="80"/>
        <v>83755</v>
      </c>
      <c r="C390" s="8">
        <f>57593-13549+1324+1149-7600+100+2500-1900-3000-45+829-7417+1900+1000-5100+4000+12793-3700-4000+3000+500-4000-5300+20000</f>
        <v>51077</v>
      </c>
      <c r="D390" s="8">
        <v>26678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6000</v>
      </c>
      <c r="K390" s="8">
        <v>0</v>
      </c>
      <c r="N390" s="12">
        <f t="shared" si="77"/>
        <v>-2569</v>
      </c>
      <c r="O390" s="12">
        <f t="shared" si="78"/>
        <v>-5.0296610999079814</v>
      </c>
    </row>
    <row r="391" spans="1:16" s="9" customFormat="1" ht="15.75" x14ac:dyDescent="0.3">
      <c r="A391" s="6">
        <f t="shared" si="79"/>
        <v>42879</v>
      </c>
      <c r="B391" s="8">
        <f t="shared" si="80"/>
        <v>83833</v>
      </c>
      <c r="C391" s="8">
        <f>62671-5000-13549+1324+1149-7600+100+2500-1900-3000-45+829-7417+1900+1000-5100+4000+12793-3700-4000+3000+500-4000-5300+20000</f>
        <v>51155</v>
      </c>
      <c r="D391" s="8">
        <v>26678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6000</v>
      </c>
      <c r="K391" s="8">
        <v>0</v>
      </c>
      <c r="N391" s="12">
        <f t="shared" si="77"/>
        <v>78</v>
      </c>
      <c r="O391" s="12">
        <f t="shared" si="78"/>
        <v>0.15247776365946633</v>
      </c>
    </row>
    <row r="392" spans="1:16" s="9" customFormat="1" ht="15.75" x14ac:dyDescent="0.3">
      <c r="A392" s="6">
        <f t="shared" si="79"/>
        <v>42880</v>
      </c>
      <c r="B392" s="8">
        <f t="shared" si="80"/>
        <v>84309</v>
      </c>
      <c r="C392" s="8">
        <f>63147-5000-13549+1324+1149-7600+100+2500-1900-3000-45+829-7417+1900+1000-5100+4000+12793-3700-4000+3000+500-4000-5300+20000</f>
        <v>51631</v>
      </c>
      <c r="D392" s="8">
        <v>26678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6000</v>
      </c>
      <c r="K392" s="8">
        <v>0</v>
      </c>
      <c r="N392" s="12">
        <f t="shared" si="77"/>
        <v>476</v>
      </c>
      <c r="O392" s="12">
        <f t="shared" si="78"/>
        <v>0.92192674943347985</v>
      </c>
    </row>
    <row r="393" spans="1:16" s="9" customFormat="1" ht="15.75" x14ac:dyDescent="0.3">
      <c r="A393" s="6">
        <f t="shared" si="79"/>
        <v>42881</v>
      </c>
      <c r="B393" s="8">
        <f t="shared" si="80"/>
        <v>84351</v>
      </c>
      <c r="C393" s="8">
        <f>63189-5000-13549+1324+1149-7600+100+2500-1900-3000-45+829-7417+1900+1000-5100+4000+12793-3700-4000+3000+500-4000-5300+20000</f>
        <v>51673</v>
      </c>
      <c r="D393" s="8">
        <v>26678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6000</v>
      </c>
      <c r="K393" s="8">
        <v>0</v>
      </c>
      <c r="N393" s="12">
        <f t="shared" si="77"/>
        <v>42</v>
      </c>
      <c r="O393" s="12">
        <f t="shared" si="78"/>
        <v>8.1280359181777714E-2</v>
      </c>
      <c r="P393" s="9">
        <f>SUM(N389:N393)</f>
        <v>-2728</v>
      </c>
    </row>
    <row r="394" spans="1:16" s="9" customFormat="1" ht="15.75" x14ac:dyDescent="0.3">
      <c r="A394" s="6">
        <f>A393+5</f>
        <v>42886</v>
      </c>
      <c r="B394" s="8">
        <f t="shared" ref="B394:B417" si="81">SUM(C394:K394)</f>
        <v>83937</v>
      </c>
      <c r="C394" s="8">
        <f>62775-5000-13549+1324+1149-7600+100+2500-1900-3000-45+829-7417+1900+1000-5100+4000+12793-3700-4000+3000+500-4000-5300+20000</f>
        <v>51259</v>
      </c>
      <c r="D394" s="8">
        <v>26678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6000</v>
      </c>
      <c r="K394" s="8">
        <v>0</v>
      </c>
      <c r="N394" s="12">
        <f t="shared" si="77"/>
        <v>-414</v>
      </c>
      <c r="O394" s="12">
        <f t="shared" si="78"/>
        <v>-0.80766304453852</v>
      </c>
    </row>
    <row r="395" spans="1:16" s="9" customFormat="1" ht="15.75" x14ac:dyDescent="0.3">
      <c r="A395" s="6">
        <f t="shared" si="79"/>
        <v>42887</v>
      </c>
      <c r="B395" s="8">
        <f t="shared" si="81"/>
        <v>82414</v>
      </c>
      <c r="C395" s="8">
        <f>61252-5000-13549+1324+1149-7600+100+2500-1900-3000-45+829-7417+1900+1000-5100+4000+12793-3700-4000+3000+500-4000-5300+20000</f>
        <v>49736</v>
      </c>
      <c r="D395" s="8">
        <v>26678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6000</v>
      </c>
      <c r="K395" s="8">
        <v>0</v>
      </c>
      <c r="N395" s="12">
        <f t="shared" si="77"/>
        <v>-1523</v>
      </c>
      <c r="O395" s="12">
        <f t="shared" si="78"/>
        <v>-3.0621682483512949</v>
      </c>
    </row>
    <row r="396" spans="1:16" s="9" customFormat="1" ht="15.75" x14ac:dyDescent="0.3">
      <c r="A396" s="6">
        <f t="shared" si="79"/>
        <v>42888</v>
      </c>
      <c r="B396" s="8">
        <f t="shared" si="81"/>
        <v>83006</v>
      </c>
      <c r="C396" s="8">
        <f>61844-5000-13549+1324+1149-7600+100+2500-1900-3000-45+829-7417+1900+1000-5100+4000+12793-3700-4000+3000+500-4000-5300+20000</f>
        <v>50328</v>
      </c>
      <c r="D396" s="8">
        <v>26678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6000</v>
      </c>
      <c r="K396" s="8">
        <v>0</v>
      </c>
      <c r="N396" s="12">
        <f t="shared" si="77"/>
        <v>592</v>
      </c>
      <c r="O396" s="12">
        <f t="shared" si="78"/>
        <v>1.1762835797170561</v>
      </c>
      <c r="P396" s="9">
        <f>SUM(N394:N396)</f>
        <v>-1345</v>
      </c>
    </row>
    <row r="397" spans="1:16" s="9" customFormat="1" ht="15.75" x14ac:dyDescent="0.3">
      <c r="A397" s="6">
        <f>A396+3</f>
        <v>42891</v>
      </c>
      <c r="B397" s="8">
        <f t="shared" si="81"/>
        <v>83397</v>
      </c>
      <c r="C397" s="8">
        <f>62235-5000-13549+1324+1149-7600+100+2500-1900-3000-45+829-7417+1900+1000-5100+4000+12793-3700-4000+3000+500-4000-5300+20000</f>
        <v>50719</v>
      </c>
      <c r="D397" s="8">
        <v>26678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6000</v>
      </c>
      <c r="K397" s="8">
        <v>0</v>
      </c>
      <c r="N397" s="12">
        <f t="shared" si="77"/>
        <v>391</v>
      </c>
      <c r="O397" s="12">
        <f t="shared" si="78"/>
        <v>0.7709142530412666</v>
      </c>
    </row>
    <row r="398" spans="1:16" s="9" customFormat="1" ht="15.75" x14ac:dyDescent="0.3">
      <c r="A398" s="6">
        <f t="shared" si="79"/>
        <v>42892</v>
      </c>
      <c r="B398" s="8">
        <f t="shared" si="81"/>
        <v>83637</v>
      </c>
      <c r="C398" s="8">
        <f>62475-5000-13549+1324+1149-7600+100+2500-1900-3000-45+829-7417+1900+1000-5100+4000+12793-3700-4000+3000+500-4000-5300+20000</f>
        <v>50959</v>
      </c>
      <c r="D398" s="8">
        <v>26678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6000</v>
      </c>
      <c r="K398" s="8">
        <v>0</v>
      </c>
      <c r="N398" s="12">
        <f t="shared" si="77"/>
        <v>240</v>
      </c>
      <c r="O398" s="12">
        <f t="shared" si="78"/>
        <v>0.47096685570752961</v>
      </c>
    </row>
    <row r="399" spans="1:16" s="9" customFormat="1" ht="15.75" x14ac:dyDescent="0.3">
      <c r="A399" s="6">
        <f t="shared" si="79"/>
        <v>42893</v>
      </c>
      <c r="B399" s="8">
        <f t="shared" si="81"/>
        <v>84805</v>
      </c>
      <c r="C399" s="8">
        <f>63643-5000-13549+1324+1149-7600+100+2500-1900-3000-45+829-7417+1900+1000-5100+4000+12793-3700-4000+3000+500-4000-5300+20000</f>
        <v>52127</v>
      </c>
      <c r="D399" s="8">
        <v>26678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6000</v>
      </c>
      <c r="K399" s="8">
        <v>0</v>
      </c>
      <c r="N399" s="12">
        <f t="shared" si="77"/>
        <v>1168</v>
      </c>
      <c r="O399" s="12">
        <f t="shared" si="78"/>
        <v>2.2406814127035894</v>
      </c>
    </row>
    <row r="400" spans="1:16" s="9" customFormat="1" ht="15.75" x14ac:dyDescent="0.3">
      <c r="A400" s="6">
        <f t="shared" si="79"/>
        <v>42894</v>
      </c>
      <c r="B400" s="8">
        <f t="shared" si="81"/>
        <v>84779</v>
      </c>
      <c r="C400" s="8">
        <f>63617-5000-13549+1324+1149-7600+100+2500-1900-3000-45+829-7417+1900+1000-5100+4000+12793-3700-4000+3000+500-4000-5300+20000</f>
        <v>52101</v>
      </c>
      <c r="D400" s="8">
        <v>26678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6000</v>
      </c>
      <c r="K400" s="8">
        <v>0</v>
      </c>
      <c r="N400" s="12">
        <f t="shared" si="77"/>
        <v>-26</v>
      </c>
      <c r="O400" s="12">
        <f t="shared" si="78"/>
        <v>-4.9903072877679894E-2</v>
      </c>
    </row>
    <row r="401" spans="1:16" s="9" customFormat="1" ht="15.75" x14ac:dyDescent="0.3">
      <c r="A401" s="6">
        <f t="shared" si="79"/>
        <v>42895</v>
      </c>
      <c r="B401" s="8">
        <f t="shared" si="81"/>
        <v>84707</v>
      </c>
      <c r="C401" s="8">
        <f>63545-5000-13549+1324+1149-7600+100+2500-1900-3000-45+829-7417+1900+1000-5100+4000+12793-3700-4000+3000+500-4000-5300+20000</f>
        <v>52029</v>
      </c>
      <c r="D401" s="8">
        <v>26678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6000</v>
      </c>
      <c r="K401" s="8">
        <v>0</v>
      </c>
      <c r="N401" s="12">
        <f t="shared" si="77"/>
        <v>-72</v>
      </c>
      <c r="O401" s="12">
        <f t="shared" si="78"/>
        <v>-0.13838436256702993</v>
      </c>
      <c r="P401" s="9">
        <f>SUM(N397:N401)</f>
        <v>1701</v>
      </c>
    </row>
    <row r="402" spans="1:16" s="9" customFormat="1" ht="15.75" x14ac:dyDescent="0.3">
      <c r="A402" s="6">
        <f>A401+3</f>
        <v>42898</v>
      </c>
      <c r="B402" s="8">
        <f t="shared" si="81"/>
        <v>83273</v>
      </c>
      <c r="C402" s="8">
        <f>62111-5000-13549+1324+1149-7600+100+2500-1900-3000-45+829-7417+1900+1000-5100+4000+12793-3700-4000+3000+500-4000-5300+20000</f>
        <v>50595</v>
      </c>
      <c r="D402" s="8">
        <v>26678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6000</v>
      </c>
      <c r="K402" s="8">
        <v>0</v>
      </c>
      <c r="N402" s="12">
        <f t="shared" si="77"/>
        <v>-1434</v>
      </c>
      <c r="O402" s="12">
        <f t="shared" si="78"/>
        <v>-2.8342721612807589</v>
      </c>
    </row>
    <row r="403" spans="1:16" s="9" customFormat="1" ht="15.75" x14ac:dyDescent="0.3">
      <c r="A403" s="6">
        <f t="shared" si="79"/>
        <v>42899</v>
      </c>
      <c r="B403" s="8">
        <f t="shared" si="81"/>
        <v>84458</v>
      </c>
      <c r="C403" s="8">
        <f>63296-5000-13549+1324+1149-7600+100+2500-1900-3000-45+829-7417+1900+1000-5100+4000+12793-3700-4000+3000+500-4000-5300+20000</f>
        <v>51780</v>
      </c>
      <c r="D403" s="8">
        <v>26678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6000</v>
      </c>
      <c r="K403" s="8">
        <v>0</v>
      </c>
      <c r="N403" s="12">
        <f t="shared" si="77"/>
        <v>1185</v>
      </c>
      <c r="O403" s="12">
        <f t="shared" si="78"/>
        <v>2.2885283893395134</v>
      </c>
    </row>
    <row r="404" spans="1:16" s="9" customFormat="1" ht="15.75" x14ac:dyDescent="0.3">
      <c r="A404" s="6">
        <f t="shared" si="79"/>
        <v>42900</v>
      </c>
      <c r="B404" s="8">
        <f t="shared" si="81"/>
        <v>84458</v>
      </c>
      <c r="C404" s="8">
        <f t="shared" ref="C404" si="82">63296-5000-13549+1324+1149-7600+100+2500-1900-3000-45+829-7417+1900+1000-5100+4000+12793-3700-4000+3000+500-4000-5300+20000</f>
        <v>51780</v>
      </c>
      <c r="D404" s="8">
        <v>26678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6000</v>
      </c>
      <c r="K404" s="8">
        <v>0</v>
      </c>
      <c r="N404" s="12">
        <f t="shared" si="77"/>
        <v>0</v>
      </c>
      <c r="O404" s="12">
        <f t="shared" si="78"/>
        <v>0</v>
      </c>
    </row>
    <row r="405" spans="1:16" s="9" customFormat="1" ht="15.75" x14ac:dyDescent="0.3">
      <c r="A405" s="6">
        <f t="shared" si="79"/>
        <v>42901</v>
      </c>
      <c r="B405" s="8">
        <f t="shared" si="81"/>
        <v>85337</v>
      </c>
      <c r="C405" s="8">
        <f>64175-5000-13549+1324+1149-7600+100+2500-1900-3000-45+829-7417+1900+1000-5100+4000+12793-3700-4000+3000+500-4000-5300+20000</f>
        <v>52659</v>
      </c>
      <c r="D405" s="8">
        <v>26678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6000</v>
      </c>
      <c r="K405" s="8">
        <v>0</v>
      </c>
      <c r="N405" s="12">
        <f t="shared" si="77"/>
        <v>879</v>
      </c>
      <c r="O405" s="12">
        <f t="shared" si="78"/>
        <v>1.6692303309975502</v>
      </c>
    </row>
    <row r="406" spans="1:16" s="9" customFormat="1" ht="15.75" x14ac:dyDescent="0.3">
      <c r="A406" s="6">
        <f t="shared" si="79"/>
        <v>42902</v>
      </c>
      <c r="B406" s="8">
        <f t="shared" si="81"/>
        <v>85287</v>
      </c>
      <c r="C406" s="8">
        <f>64125-5000-13549+1324+1149-7600+100+2500-1900-3000-45+829-7417+1900+1000-5100+4000+12793-3700-4000+3000+500-4000-5300+20000</f>
        <v>52609</v>
      </c>
      <c r="D406" s="8">
        <v>26678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6000</v>
      </c>
      <c r="K406" s="8">
        <v>0</v>
      </c>
      <c r="N406" s="12">
        <f t="shared" si="77"/>
        <v>-50</v>
      </c>
      <c r="O406" s="12">
        <f t="shared" si="78"/>
        <v>-9.5040772491398806E-2</v>
      </c>
      <c r="P406" s="9">
        <f>SUM(N402:N406)</f>
        <v>580</v>
      </c>
    </row>
    <row r="407" spans="1:16" s="9" customFormat="1" ht="15.75" x14ac:dyDescent="0.3">
      <c r="A407" s="6">
        <f>A406+3</f>
        <v>42905</v>
      </c>
      <c r="B407" s="8">
        <f t="shared" si="81"/>
        <v>85517</v>
      </c>
      <c r="C407" s="8">
        <f>64355-5000-13549+1324+1149-7600+100+2500-1900-3000-45+829-7417+1900+1000-5100+4000+12793-3700-4000+3000+500-4000-5300+20000</f>
        <v>52839</v>
      </c>
      <c r="D407" s="8">
        <v>26678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6000</v>
      </c>
      <c r="K407" s="8">
        <v>0</v>
      </c>
      <c r="N407" s="12">
        <f t="shared" si="77"/>
        <v>230</v>
      </c>
      <c r="O407" s="12">
        <f t="shared" si="78"/>
        <v>0.43528454361361874</v>
      </c>
    </row>
    <row r="408" spans="1:16" s="9" customFormat="1" ht="15.75" x14ac:dyDescent="0.3">
      <c r="A408" s="6">
        <f t="shared" si="79"/>
        <v>42906</v>
      </c>
      <c r="B408" s="8">
        <f t="shared" si="81"/>
        <v>85652</v>
      </c>
      <c r="C408" s="8">
        <f>64490-5000-13549+1324+1149-7600+100+2500-1900-3000-45+829-7417+1900+1000-5100+4000+12793-3700-4000+3000+500-4000-5300+20000</f>
        <v>52974</v>
      </c>
      <c r="D408" s="8">
        <v>26678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6000</v>
      </c>
      <c r="K408" s="8">
        <v>0</v>
      </c>
      <c r="N408" s="12">
        <f t="shared" si="77"/>
        <v>135</v>
      </c>
      <c r="O408" s="12">
        <f t="shared" si="78"/>
        <v>0.254841997961264</v>
      </c>
    </row>
    <row r="409" spans="1:16" s="9" customFormat="1" ht="15.75" x14ac:dyDescent="0.3">
      <c r="A409" s="6">
        <f t="shared" si="79"/>
        <v>42907</v>
      </c>
      <c r="B409" s="8">
        <f t="shared" si="81"/>
        <v>85706</v>
      </c>
      <c r="C409" s="8">
        <f>64544-5000-13549+1324+1149-7600+100+2500-1900-3000-45+829-7417+1900+1000-5100+4000+12793-3700-4000+3000+500-4000-5300+20000</f>
        <v>53028</v>
      </c>
      <c r="D409" s="8">
        <v>26678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6000</v>
      </c>
      <c r="K409" s="8">
        <v>0</v>
      </c>
      <c r="N409" s="12">
        <f t="shared" si="77"/>
        <v>54</v>
      </c>
      <c r="O409" s="12">
        <f t="shared" si="78"/>
        <v>0.10183299389002036</v>
      </c>
    </row>
    <row r="410" spans="1:16" s="9" customFormat="1" ht="15.75" x14ac:dyDescent="0.3">
      <c r="A410" s="6">
        <f t="shared" si="79"/>
        <v>42908</v>
      </c>
      <c r="B410" s="8">
        <f t="shared" si="81"/>
        <v>84571</v>
      </c>
      <c r="C410" s="8">
        <f>63409-5000-13549+1324+1149-7600+100+2500-1900-3000-45+829-7417+1900+1000-5100+4000+12793-3700-4000+3000+500-4000-5300+20000</f>
        <v>51893</v>
      </c>
      <c r="D410" s="8">
        <v>26678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6000</v>
      </c>
      <c r="K410" s="8">
        <v>0</v>
      </c>
      <c r="N410" s="12">
        <f t="shared" si="77"/>
        <v>-1135</v>
      </c>
      <c r="O410" s="12">
        <f t="shared" si="78"/>
        <v>-2.1871928776520919</v>
      </c>
    </row>
    <row r="411" spans="1:16" s="9" customFormat="1" ht="15.75" x14ac:dyDescent="0.3">
      <c r="A411" s="6">
        <f t="shared" si="79"/>
        <v>42909</v>
      </c>
      <c r="B411" s="8">
        <f t="shared" si="81"/>
        <v>84756</v>
      </c>
      <c r="C411" s="8">
        <f>63594-5000-13549+1324+1149-7600+100+2500-1900-3000-45+829-7417+1900+1000-5100+4000+12793-3700-4000+3000+500-4000-5300+20000</f>
        <v>52078</v>
      </c>
      <c r="D411" s="8">
        <v>26678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6000</v>
      </c>
      <c r="K411" s="8">
        <v>0</v>
      </c>
      <c r="N411" s="12">
        <f t="shared" si="77"/>
        <v>185</v>
      </c>
      <c r="O411" s="12">
        <f t="shared" si="78"/>
        <v>0.35523637620492338</v>
      </c>
      <c r="P411" s="9">
        <f>SUM(N407:N411)</f>
        <v>-531</v>
      </c>
    </row>
    <row r="412" spans="1:16" s="9" customFormat="1" ht="15.75" x14ac:dyDescent="0.3">
      <c r="A412" s="6">
        <f>A411+3</f>
        <v>42912</v>
      </c>
      <c r="B412" s="8">
        <f t="shared" si="81"/>
        <v>85707</v>
      </c>
      <c r="C412" s="8">
        <f>64545-5000-13549+1324+1149-7600+100+2500-1900-3000-45+829-7417+1900+1000-5100+4000+12793-3700-4000+3000+500-4000-5300+20000</f>
        <v>53029</v>
      </c>
      <c r="D412" s="8">
        <v>26678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6000</v>
      </c>
      <c r="K412" s="8">
        <v>0</v>
      </c>
      <c r="N412" s="12">
        <f t="shared" si="77"/>
        <v>951</v>
      </c>
      <c r="O412" s="12">
        <f t="shared" si="78"/>
        <v>1.7933583510909124</v>
      </c>
    </row>
    <row r="413" spans="1:16" s="9" customFormat="1" ht="15.75" x14ac:dyDescent="0.3">
      <c r="A413" s="6">
        <f t="shared" si="79"/>
        <v>42913</v>
      </c>
      <c r="B413" s="8">
        <f t="shared" si="81"/>
        <v>85629</v>
      </c>
      <c r="C413" s="8">
        <f>64467-5000-13549+1324+1149-7600+100+2500-1900-3000-45+829-7417+1900+1000-5100+4000+12793-3700-4000+3000+500-4000-5300+20000</f>
        <v>52951</v>
      </c>
      <c r="D413" s="8">
        <v>26678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6000</v>
      </c>
      <c r="K413" s="8">
        <v>0</v>
      </c>
      <c r="N413" s="12">
        <f t="shared" si="77"/>
        <v>-78</v>
      </c>
      <c r="O413" s="12">
        <f t="shared" si="78"/>
        <v>-0.14730599988668769</v>
      </c>
    </row>
    <row r="414" spans="1:16" s="9" customFormat="1" ht="15.75" x14ac:dyDescent="0.3">
      <c r="A414" s="6">
        <f t="shared" si="79"/>
        <v>42914</v>
      </c>
      <c r="B414" s="8">
        <f t="shared" si="81"/>
        <v>85715</v>
      </c>
      <c r="C414" s="8">
        <f>64553-5000-13549+1324+1149-7600+100+2500-1900-3000-45+829-7417+1900+1000-5100+4000+12793-3700-4000+3000+500-4000-5300+20000</f>
        <v>53037</v>
      </c>
      <c r="D414" s="8">
        <v>26678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6000</v>
      </c>
      <c r="K414" s="8">
        <v>0</v>
      </c>
      <c r="N414" s="12">
        <f t="shared" si="77"/>
        <v>86</v>
      </c>
      <c r="O414" s="12">
        <f t="shared" si="78"/>
        <v>0.16215095122273129</v>
      </c>
    </row>
    <row r="415" spans="1:16" s="9" customFormat="1" ht="15.75" x14ac:dyDescent="0.3">
      <c r="A415" s="6">
        <f t="shared" si="79"/>
        <v>42915</v>
      </c>
      <c r="B415" s="8">
        <f t="shared" si="81"/>
        <v>86039</v>
      </c>
      <c r="C415" s="8">
        <f>64877-5000-13549+1324+1149-7600+100+2500-1900-3000-45+829-7417+1900+1000-5100+4000+12793-3700-4000+3000+500-4000-5300+20000</f>
        <v>53361</v>
      </c>
      <c r="D415" s="8">
        <v>26678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6000</v>
      </c>
      <c r="K415" s="8">
        <v>0</v>
      </c>
      <c r="N415" s="12">
        <f t="shared" si="77"/>
        <v>324</v>
      </c>
      <c r="O415" s="12">
        <f t="shared" si="78"/>
        <v>0.60718502276943831</v>
      </c>
    </row>
    <row r="416" spans="1:16" s="9" customFormat="1" ht="15.75" x14ac:dyDescent="0.3">
      <c r="A416" s="6">
        <f t="shared" si="79"/>
        <v>42916</v>
      </c>
      <c r="B416" s="8">
        <f t="shared" si="81"/>
        <v>86092</v>
      </c>
      <c r="C416" s="8">
        <f>64930-5000-13549+1324+1149-7600+100+2500-1900-3000-45+829-7417+1900+1000-5100+4000+12793-3700-4000+3000+500-4000-5300+20000</f>
        <v>53414</v>
      </c>
      <c r="D416" s="8">
        <v>26678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6000</v>
      </c>
      <c r="K416" s="8">
        <v>0</v>
      </c>
      <c r="N416" s="12">
        <f t="shared" si="77"/>
        <v>53</v>
      </c>
      <c r="O416" s="12">
        <f t="shared" si="78"/>
        <v>9.9224922305013674E-2</v>
      </c>
      <c r="P416" s="9">
        <f>SUM(N412:N416)</f>
        <v>1336</v>
      </c>
    </row>
    <row r="417" spans="1:16" s="9" customFormat="1" ht="15.75" x14ac:dyDescent="0.3">
      <c r="A417" s="6">
        <f>A416+3</f>
        <v>42919</v>
      </c>
      <c r="B417" s="8">
        <f t="shared" si="81"/>
        <v>86718</v>
      </c>
      <c r="C417" s="8">
        <f>65556-5000-13549+1324+1149-7600+100+2500-1900-3000-45+829-7417+1900+1000-5100+4000+12793-3700-4000+3000+500-4000-5300+20000</f>
        <v>54040</v>
      </c>
      <c r="D417" s="8">
        <v>26678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6000</v>
      </c>
      <c r="K417" s="8">
        <v>0</v>
      </c>
      <c r="N417" s="12">
        <f t="shared" si="77"/>
        <v>626</v>
      </c>
      <c r="O417" s="12">
        <f t="shared" si="78"/>
        <v>1.1584011843079201</v>
      </c>
    </row>
    <row r="418" spans="1:16" s="9" customFormat="1" ht="15.75" x14ac:dyDescent="0.3">
      <c r="A418" s="6">
        <f>A417+1</f>
        <v>42920</v>
      </c>
      <c r="B418" s="8">
        <f t="shared" ref="B418:B421" si="83">SUM(C418:K418)</f>
        <v>86489</v>
      </c>
      <c r="C418" s="8">
        <f>65327-5000-13549+1324+1149-7600+100+2500-1900-3000-45+829-7417+1900+1000-5100+4000+12793-3700-4000+3000+500-4000-5300+20000</f>
        <v>53811</v>
      </c>
      <c r="D418" s="8">
        <v>26678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6000</v>
      </c>
      <c r="K418" s="8">
        <v>0</v>
      </c>
      <c r="N418" s="12">
        <f t="shared" si="77"/>
        <v>-229</v>
      </c>
      <c r="O418" s="12">
        <f t="shared" si="78"/>
        <v>-0.4255635464867778</v>
      </c>
    </row>
    <row r="419" spans="1:16" s="9" customFormat="1" ht="15.75" x14ac:dyDescent="0.3">
      <c r="A419" s="6">
        <f t="shared" ref="A419:A426" si="84">A418+1</f>
        <v>42921</v>
      </c>
      <c r="B419" s="8">
        <f t="shared" si="83"/>
        <v>87197</v>
      </c>
      <c r="C419" s="8">
        <f>66035-5000-13549+1324+1149-7600+100+2500-1900-3000-45+829-7417+1900+1000-5100+4000+12793-3700-4000+3000+500-4000-5300+20000</f>
        <v>54519</v>
      </c>
      <c r="D419" s="8">
        <v>26678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6000</v>
      </c>
      <c r="K419" s="8">
        <v>0</v>
      </c>
      <c r="N419" s="12">
        <f t="shared" si="77"/>
        <v>708</v>
      </c>
      <c r="O419" s="12">
        <f t="shared" si="78"/>
        <v>1.2986298354702031</v>
      </c>
    </row>
    <row r="420" spans="1:16" s="9" customFormat="1" ht="15.75" x14ac:dyDescent="0.3">
      <c r="A420" s="6">
        <f t="shared" si="84"/>
        <v>42922</v>
      </c>
      <c r="B420" s="8">
        <f t="shared" si="83"/>
        <v>87294</v>
      </c>
      <c r="C420" s="8">
        <f>61132-13549+1324+1149-7600+100+2500-1900-3000-45+829-7417+1900+1000-5100+4000+12793-3700-4000+3000+500-4000-5300+20000</f>
        <v>54616</v>
      </c>
      <c r="D420" s="8">
        <v>26678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6000</v>
      </c>
      <c r="K420" s="8">
        <v>0</v>
      </c>
      <c r="N420" s="12">
        <f t="shared" si="77"/>
        <v>97</v>
      </c>
      <c r="O420" s="12">
        <f t="shared" si="78"/>
        <v>0.17760363263512524</v>
      </c>
    </row>
    <row r="421" spans="1:16" s="9" customFormat="1" ht="15.75" x14ac:dyDescent="0.3">
      <c r="A421" s="6">
        <f t="shared" si="84"/>
        <v>42923</v>
      </c>
      <c r="B421" s="8">
        <f t="shared" si="83"/>
        <v>87513</v>
      </c>
      <c r="C421" s="8">
        <f>61351-13549+1324+1149-7600+100+2500-1900-3000-45+829-7417+1900+1000-5100+4000+12793-3700-4000+3000+500-4000-5300+20000</f>
        <v>54835</v>
      </c>
      <c r="D421" s="8">
        <v>26678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6000</v>
      </c>
      <c r="K421" s="8">
        <v>0</v>
      </c>
      <c r="N421" s="12">
        <f t="shared" si="77"/>
        <v>219</v>
      </c>
      <c r="O421" s="12">
        <f t="shared" si="78"/>
        <v>0.39937995805598614</v>
      </c>
      <c r="P421" s="9">
        <f>SUM(N417:N421)</f>
        <v>1421</v>
      </c>
    </row>
    <row r="422" spans="1:16" s="9" customFormat="1" ht="15.75" x14ac:dyDescent="0.3">
      <c r="A422" s="6">
        <f>A421+3</f>
        <v>42926</v>
      </c>
      <c r="B422" s="8">
        <f t="shared" ref="B422:B426" si="85">SUM(C422:K422)</f>
        <v>87151</v>
      </c>
      <c r="C422" s="8">
        <f>60989-13549+1324+1149-7600+100+2500-1900-3000-45+829-7417+1900+1000-5100+4000+12793-3700-4000+3000+500-4000-5300+20000</f>
        <v>54473</v>
      </c>
      <c r="D422" s="8">
        <v>26678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6000</v>
      </c>
      <c r="K422" s="8">
        <v>0</v>
      </c>
      <c r="N422" s="12">
        <f t="shared" si="77"/>
        <v>-362</v>
      </c>
      <c r="O422" s="12">
        <f t="shared" si="78"/>
        <v>-0.66454940979935018</v>
      </c>
    </row>
    <row r="423" spans="1:16" s="9" customFormat="1" ht="15.75" x14ac:dyDescent="0.3">
      <c r="A423" s="6">
        <f t="shared" si="84"/>
        <v>42927</v>
      </c>
      <c r="B423" s="8">
        <f t="shared" si="85"/>
        <v>87151</v>
      </c>
      <c r="C423" s="8">
        <f t="shared" ref="C423:C426" si="86">60989-13549+1324+1149-7600+100+2500-1900-3000-45+829-7417+1900+1000-5100+4000+12793-3700-4000+3000+500-4000-5300+20000</f>
        <v>54473</v>
      </c>
      <c r="D423" s="8">
        <v>26678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6000</v>
      </c>
      <c r="K423" s="8">
        <v>0</v>
      </c>
      <c r="N423" s="12">
        <f t="shared" si="77"/>
        <v>0</v>
      </c>
      <c r="O423" s="12">
        <f t="shared" si="78"/>
        <v>0</v>
      </c>
    </row>
    <row r="424" spans="1:16" s="9" customFormat="1" ht="15.75" x14ac:dyDescent="0.3">
      <c r="A424" s="6">
        <f t="shared" si="84"/>
        <v>42928</v>
      </c>
      <c r="B424" s="8">
        <f t="shared" si="85"/>
        <v>87151</v>
      </c>
      <c r="C424" s="8">
        <f t="shared" si="86"/>
        <v>54473</v>
      </c>
      <c r="D424" s="8">
        <v>26678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6000</v>
      </c>
      <c r="K424" s="8">
        <v>0</v>
      </c>
      <c r="N424" s="12">
        <f t="shared" si="77"/>
        <v>0</v>
      </c>
      <c r="O424" s="12">
        <f t="shared" si="78"/>
        <v>0</v>
      </c>
    </row>
    <row r="425" spans="1:16" s="9" customFormat="1" ht="15.75" x14ac:dyDescent="0.3">
      <c r="A425" s="6">
        <f t="shared" si="84"/>
        <v>42929</v>
      </c>
      <c r="B425" s="8">
        <f t="shared" si="85"/>
        <v>87151</v>
      </c>
      <c r="C425" s="8">
        <f t="shared" si="86"/>
        <v>54473</v>
      </c>
      <c r="D425" s="8">
        <v>26678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6000</v>
      </c>
      <c r="K425" s="8">
        <v>0</v>
      </c>
      <c r="N425" s="12">
        <f t="shared" si="77"/>
        <v>0</v>
      </c>
      <c r="O425" s="12">
        <f t="shared" si="78"/>
        <v>0</v>
      </c>
    </row>
    <row r="426" spans="1:16" s="9" customFormat="1" ht="15.75" x14ac:dyDescent="0.3">
      <c r="A426" s="6">
        <f t="shared" si="84"/>
        <v>42930</v>
      </c>
      <c r="B426" s="8">
        <f t="shared" si="85"/>
        <v>87151</v>
      </c>
      <c r="C426" s="8">
        <f t="shared" si="86"/>
        <v>54473</v>
      </c>
      <c r="D426" s="8">
        <v>26678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6000</v>
      </c>
      <c r="K426" s="8">
        <v>0</v>
      </c>
      <c r="N426" s="12">
        <f t="shared" si="77"/>
        <v>0</v>
      </c>
      <c r="O426" s="12">
        <f t="shared" si="78"/>
        <v>0</v>
      </c>
      <c r="P426" s="9">
        <f>SUM(N422:N426)</f>
        <v>-362</v>
      </c>
    </row>
  </sheetData>
  <phoneticPr fontId="2" type="noConversion"/>
  <conditionalFormatting sqref="N2:O426">
    <cfRule type="colorScale" priority="1">
      <colorScale>
        <cfvo type="num" val="0"/>
        <cfvo type="num" val="0"/>
        <color rgb="FFFF000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2017-07-10T07:04:21Z</dcterms:modified>
</cp:coreProperties>
</file>