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23311\Pictures\softwarw_agricola\"/>
    </mc:Choice>
  </mc:AlternateContent>
  <xr:revisionPtr revIDLastSave="0" documentId="13_ncr:1_{07D5891D-B297-4B1E-BC54-E8B5525F44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FERTILIZACION1" sheetId="2" r:id="rId2"/>
    <sheet name="Hoja2" sheetId="4" r:id="rId3"/>
    <sheet name="Hoj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L20" i="2"/>
  <c r="H24" i="2" l="1"/>
  <c r="H23" i="2"/>
  <c r="H22" i="2"/>
  <c r="A17" i="1" l="1"/>
  <c r="A16" i="1"/>
  <c r="N14" i="2" s="1"/>
  <c r="K8" i="2"/>
  <c r="N16" i="2"/>
  <c r="L16" i="2"/>
  <c r="K9" i="2"/>
  <c r="K7" i="2"/>
  <c r="K6" i="2"/>
  <c r="K5" i="2"/>
  <c r="K4" i="2"/>
  <c r="F4" i="2"/>
  <c r="K10" i="2" l="1"/>
  <c r="D17" i="2" s="1"/>
  <c r="L6" i="2" l="1"/>
  <c r="B17" i="1" s="1"/>
  <c r="C17" i="1" s="1"/>
  <c r="L8" i="2"/>
  <c r="L7" i="2"/>
  <c r="L9" i="2"/>
  <c r="L4" i="2"/>
  <c r="L5" i="2"/>
  <c r="B16" i="1" s="1"/>
  <c r="C16" i="1" s="1"/>
  <c r="L14" i="2" l="1"/>
  <c r="D23" i="2"/>
  <c r="D12" i="2"/>
  <c r="I22" i="2" s="1"/>
  <c r="L22" i="2" s="1"/>
  <c r="N22" i="2" s="1"/>
  <c r="D24" i="2" l="1"/>
  <c r="I24" i="2"/>
  <c r="L24" i="2" s="1"/>
  <c r="N24" i="2" s="1"/>
  <c r="I23" i="2"/>
  <c r="N17" i="2"/>
  <c r="L23" i="2" l="1"/>
  <c r="N23" i="2" s="1"/>
</calcChain>
</file>

<file path=xl/sharedStrings.xml><?xml version="1.0" encoding="utf-8"?>
<sst xmlns="http://schemas.openxmlformats.org/spreadsheetml/2006/main" count="214" uniqueCount="200">
  <si>
    <t xml:space="preserve">CARACTERÍSTICAS FÍSICAS </t>
  </si>
  <si>
    <t>PROFUNDIDAD DE LA MUESTRA (m)</t>
  </si>
  <si>
    <t xml:space="preserve">TEXTURA </t>
  </si>
  <si>
    <t>ARCILLOSA</t>
  </si>
  <si>
    <t xml:space="preserve">ARENOSA </t>
  </si>
  <si>
    <t>MEDIA</t>
  </si>
  <si>
    <t xml:space="preserve">CARACTERÍSTICAS QUÍMICAS </t>
  </si>
  <si>
    <t>POTENCIAL HIDRÓGENO (pH)</t>
  </si>
  <si>
    <t xml:space="preserve">NR </t>
  </si>
  <si>
    <t>DATOS DE LA PARCELA</t>
  </si>
  <si>
    <t>CULTIVO A ESTABLECER</t>
  </si>
  <si>
    <t>ÍNDICE DE EXTRACCIÓN DE CULTIVOS</t>
  </si>
  <si>
    <t>CULTIVO</t>
  </si>
  <si>
    <t>NOMBRE CIENTÍFICO</t>
  </si>
  <si>
    <t>N (INORGÁNICO)</t>
  </si>
  <si>
    <t>P</t>
  </si>
  <si>
    <t>K</t>
  </si>
  <si>
    <t>Aguacate</t>
  </si>
  <si>
    <t>Alfalfa</t>
  </si>
  <si>
    <t>Medicago sativa</t>
  </si>
  <si>
    <t>Apio</t>
  </si>
  <si>
    <t>Arroz</t>
  </si>
  <si>
    <t>Chicharo</t>
  </si>
  <si>
    <t>Calabaza</t>
  </si>
  <si>
    <t>Brócoli</t>
  </si>
  <si>
    <t>Brassica oleracea var. Italica</t>
  </si>
  <si>
    <t>Café</t>
  </si>
  <si>
    <t>Calabacita</t>
  </si>
  <si>
    <t>Plátano</t>
  </si>
  <si>
    <t>Caña de azúcar</t>
  </si>
  <si>
    <t>Cebada</t>
  </si>
  <si>
    <t>Cebolla</t>
  </si>
  <si>
    <t>Ciruelo</t>
  </si>
  <si>
    <t>Col</t>
  </si>
  <si>
    <t>Coliflor</t>
  </si>
  <si>
    <t>Durazno</t>
  </si>
  <si>
    <t>Espárrago</t>
  </si>
  <si>
    <t>Espinaca</t>
  </si>
  <si>
    <t xml:space="preserve">Fresa </t>
  </si>
  <si>
    <t>Garbanzo</t>
  </si>
  <si>
    <t>Girasol</t>
  </si>
  <si>
    <t>Haba</t>
  </si>
  <si>
    <t>Kiwi</t>
  </si>
  <si>
    <t>Lechuga</t>
  </si>
  <si>
    <t>Lenteja</t>
  </si>
  <si>
    <t>Lens culinaris</t>
  </si>
  <si>
    <t>Limón</t>
  </si>
  <si>
    <t>Macadamia</t>
  </si>
  <si>
    <t>Macadamia ternifolia</t>
  </si>
  <si>
    <t>Maíz (grano)</t>
  </si>
  <si>
    <t>Mandarina</t>
  </si>
  <si>
    <t>Manzana</t>
  </si>
  <si>
    <t>Melón</t>
  </si>
  <si>
    <t>Cucumis melo L,</t>
  </si>
  <si>
    <t>Naranja</t>
  </si>
  <si>
    <t>Nogal</t>
  </si>
  <si>
    <t>Papa</t>
  </si>
  <si>
    <t xml:space="preserve">Sandia </t>
  </si>
  <si>
    <t>Pepino</t>
  </si>
  <si>
    <t>Pera</t>
  </si>
  <si>
    <t xml:space="preserve">Chile </t>
  </si>
  <si>
    <t>Piña</t>
  </si>
  <si>
    <t>Soya</t>
  </si>
  <si>
    <t>Sorghum bicolor L</t>
  </si>
  <si>
    <t>Jitomate</t>
  </si>
  <si>
    <t>Trigo</t>
  </si>
  <si>
    <t>Uva</t>
  </si>
  <si>
    <t>Zanahoria</t>
  </si>
  <si>
    <t>Fragaria x ananassa</t>
  </si>
  <si>
    <t>Persea americana Miller</t>
  </si>
  <si>
    <t>Apium graveolens L.</t>
  </si>
  <si>
    <t>Oryza sativa L.</t>
  </si>
  <si>
    <t>Pisum sativum L.</t>
  </si>
  <si>
    <t>Cucurbita inífe Dutch.</t>
  </si>
  <si>
    <t>Coffea arabica L.</t>
  </si>
  <si>
    <t>Cucurbita pepo L.</t>
  </si>
  <si>
    <t>Musa spp.</t>
  </si>
  <si>
    <t>Saccharum officinarum L.</t>
  </si>
  <si>
    <t>Hordeum vulgare L.</t>
  </si>
  <si>
    <t>Allium cepa L.</t>
  </si>
  <si>
    <t>Prunus domestica L.</t>
  </si>
  <si>
    <t>Brassica campestris L.</t>
  </si>
  <si>
    <t>Brassica oleracea L.</t>
  </si>
  <si>
    <t>Prunus inífer L.</t>
  </si>
  <si>
    <t>Asparagus officinalis L.</t>
  </si>
  <si>
    <t>Spinacia oleracea L.</t>
  </si>
  <si>
    <t>Cicer arietinum L.</t>
  </si>
  <si>
    <t>Helianthus annus L.</t>
  </si>
  <si>
    <t>Vicia faba L.</t>
  </si>
  <si>
    <t>Actinidia delicioso Chev.</t>
  </si>
  <si>
    <t>Lactuca sativa L.</t>
  </si>
  <si>
    <t>Citrus iníf L. Burm.</t>
  </si>
  <si>
    <t>Zea mays L.</t>
  </si>
  <si>
    <t>Citrus reticulata Blanco</t>
  </si>
  <si>
    <t>Malus pumila Mil L.</t>
  </si>
  <si>
    <t>Citrus sinensis Osbeck</t>
  </si>
  <si>
    <t>Juglans regia L.</t>
  </si>
  <si>
    <t>Solanum tuberosum L.</t>
  </si>
  <si>
    <t>Citrullus lanatus Thumb</t>
  </si>
  <si>
    <t>Cucumis sativus L.</t>
  </si>
  <si>
    <t>Pyrus communis L.</t>
  </si>
  <si>
    <t>Capsicum annuum L.</t>
  </si>
  <si>
    <t>Ananas comosus L.</t>
  </si>
  <si>
    <t>Glycine max L.</t>
  </si>
  <si>
    <t>Lycopersicon esculentum Mill L.</t>
  </si>
  <si>
    <t>Triticum aestivum L.</t>
  </si>
  <si>
    <t>Vitis inífera L.</t>
  </si>
  <si>
    <t>Daucus carota L.</t>
  </si>
  <si>
    <r>
      <t>META DE RENDIMIENTO (t ha</t>
    </r>
    <r>
      <rPr>
        <vertAlign val="superscript"/>
        <sz val="13"/>
        <color theme="1"/>
        <rFont val="Calibri"/>
        <family val="2"/>
        <scheme val="minor"/>
      </rPr>
      <t>-1</t>
    </r>
    <r>
      <rPr>
        <sz val="13"/>
        <color theme="1"/>
        <rFont val="Calibri"/>
        <family val="2"/>
        <scheme val="minor"/>
      </rPr>
      <t>)</t>
    </r>
  </si>
  <si>
    <r>
      <t>SUPERFICIE (m</t>
    </r>
    <r>
      <rPr>
        <vertAlign val="superscript"/>
        <sz val="13"/>
        <color theme="1"/>
        <rFont val="Calibri"/>
        <family val="2"/>
        <scheme val="minor"/>
      </rPr>
      <t>2</t>
    </r>
    <r>
      <rPr>
        <sz val="13"/>
        <color theme="1"/>
        <rFont val="Calibri"/>
        <family val="2"/>
        <scheme val="minor"/>
      </rPr>
      <t>)</t>
    </r>
  </si>
  <si>
    <r>
      <t>DENSIDAD APARENTE (g cm</t>
    </r>
    <r>
      <rPr>
        <vertAlign val="superscript"/>
        <sz val="13"/>
        <color theme="1"/>
        <rFont val="Calibri"/>
        <family val="2"/>
        <scheme val="minor"/>
      </rPr>
      <t>3</t>
    </r>
    <r>
      <rPr>
        <sz val="13"/>
        <color theme="1"/>
        <rFont val="Calibri"/>
        <family val="2"/>
        <scheme val="minor"/>
      </rPr>
      <t>)</t>
    </r>
  </si>
  <si>
    <r>
      <t>CONDUCTIVIDAD HIDRÁULICA (cm h</t>
    </r>
    <r>
      <rPr>
        <vertAlign val="superscript"/>
        <sz val="13"/>
        <color theme="1"/>
        <rFont val="Calibri"/>
        <family val="2"/>
        <scheme val="minor"/>
      </rPr>
      <t>-1</t>
    </r>
    <r>
      <rPr>
        <sz val="13"/>
        <color theme="1"/>
        <rFont val="Calibri"/>
        <family val="2"/>
        <scheme val="minor"/>
      </rPr>
      <t>)</t>
    </r>
  </si>
  <si>
    <r>
      <t>CONDUCTIVIDAD ELÉCTRICA (dS m</t>
    </r>
    <r>
      <rPr>
        <vertAlign val="superscript"/>
        <sz val="13"/>
        <color theme="1"/>
        <rFont val="Calibri"/>
        <family val="2"/>
        <scheme val="minor"/>
      </rPr>
      <t>-1</t>
    </r>
    <r>
      <rPr>
        <sz val="13"/>
        <color theme="1"/>
        <rFont val="Calibri"/>
        <family val="2"/>
        <scheme val="minor"/>
      </rPr>
      <t>)</t>
    </r>
  </si>
  <si>
    <t>NA</t>
  </si>
  <si>
    <t xml:space="preserve">LIXIVIACIÓN/BAJA RETENCION DE HUMEDAD/POCO FERTIL </t>
  </si>
  <si>
    <t>SUELO ÓPTIMO</t>
  </si>
  <si>
    <t>COMPACTACIÓN/INUNDACIÓN/FERTIL</t>
  </si>
  <si>
    <t>BAJA</t>
  </si>
  <si>
    <t xml:space="preserve">MEDIA </t>
  </si>
  <si>
    <t xml:space="preserve">ALTA </t>
  </si>
  <si>
    <t>MATERIAL ORGÁNICO A UTILIZAR</t>
  </si>
  <si>
    <t>% C</t>
  </si>
  <si>
    <t>% DE "C" APORTADO POR EL MATERIAL</t>
  </si>
  <si>
    <t>PESO DE SUELO (ton)</t>
  </si>
  <si>
    <t>MATERIAL</t>
  </si>
  <si>
    <t xml:space="preserve">Lombricomposta </t>
  </si>
  <si>
    <t xml:space="preserve">Estiércol bovino </t>
  </si>
  <si>
    <t xml:space="preserve">Estiércol porcino </t>
  </si>
  <si>
    <t>Estiércol caprino</t>
  </si>
  <si>
    <t>Estiércol de conejo</t>
  </si>
  <si>
    <t>Gallinaza</t>
  </si>
  <si>
    <t>Bocashi</t>
  </si>
  <si>
    <t>Pulpa de café</t>
  </si>
  <si>
    <t xml:space="preserve">Paja de arroz </t>
  </si>
  <si>
    <t xml:space="preserve">Rastrojo de maíz </t>
  </si>
  <si>
    <t>MATERIA ORGÁNICA (%)</t>
  </si>
  <si>
    <t>% DE MATERIA ORGÁNICA A INCREMENTAR</t>
  </si>
  <si>
    <t xml:space="preserve">MATERIA ORGANICA </t>
  </si>
  <si>
    <t>CAPACIDAD DE INTERCAMBIO CATIÓNICO (meq/100 g)</t>
  </si>
  <si>
    <t>CONTENIDO NUTRIMENTAL</t>
  </si>
  <si>
    <t>N-NO3 (ppm)</t>
  </si>
  <si>
    <t>Ca</t>
  </si>
  <si>
    <t>Mg</t>
  </si>
  <si>
    <t>Na</t>
  </si>
  <si>
    <t>K (ppm)</t>
  </si>
  <si>
    <t>Ca (ppm)</t>
  </si>
  <si>
    <t>Mg (ppm)</t>
  </si>
  <si>
    <t>Fe (ppm)</t>
  </si>
  <si>
    <t>Zn (ppm)</t>
  </si>
  <si>
    <t>Mn (ppm)</t>
  </si>
  <si>
    <t>Cu (ppm)</t>
  </si>
  <si>
    <t>B (ppm)</t>
  </si>
  <si>
    <t>S (ppm)</t>
  </si>
  <si>
    <t>Na (ppm)*</t>
  </si>
  <si>
    <t>Al (ppm)*</t>
  </si>
  <si>
    <t>H (ppm)*</t>
  </si>
  <si>
    <t>BASES INTERCAMBIABLES</t>
  </si>
  <si>
    <t>meq/100 g</t>
  </si>
  <si>
    <t>CIC=</t>
  </si>
  <si>
    <t>%</t>
  </si>
  <si>
    <t>HIDRÓXIDO DE CALCIO</t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</si>
  <si>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</si>
  <si>
    <t>CAL AGRÍCOLA O CALCITA</t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</si>
  <si>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</si>
  <si>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t>DOLOMITA</t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</si>
  <si>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MgCO</t>
    </r>
    <r>
      <rPr>
        <vertAlign val="subscript"/>
        <sz val="11"/>
        <color theme="1"/>
        <rFont val="Calibri"/>
        <family val="2"/>
        <scheme val="minor"/>
      </rPr>
      <t>3</t>
    </r>
  </si>
  <si>
    <t>ÓXIDO DE MAGNESIO</t>
  </si>
  <si>
    <t>MgO</t>
  </si>
  <si>
    <t>MAGNESITA</t>
  </si>
  <si>
    <r>
      <t>MgCO</t>
    </r>
    <r>
      <rPr>
        <vertAlign val="subscript"/>
        <sz val="11"/>
        <color theme="1"/>
        <rFont val="Calibri"/>
        <family val="2"/>
        <scheme val="minor"/>
      </rPr>
      <t>3</t>
    </r>
  </si>
  <si>
    <t>YESO AGRÍCOLA</t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</si>
  <si>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</si>
  <si>
    <t>FORMULA</t>
  </si>
  <si>
    <t>NOMBRE COMERCIAL</t>
  </si>
  <si>
    <t>FÓRMULA QUÍMICA</t>
  </si>
  <si>
    <t>FACTOR</t>
  </si>
  <si>
    <t>Al</t>
  </si>
  <si>
    <t>H</t>
  </si>
  <si>
    <r>
      <t>CANTIDAD NECESARIA (kg ha</t>
    </r>
    <r>
      <rPr>
        <b/>
        <vertAlign val="superscript"/>
        <sz val="16"/>
        <color theme="0"/>
        <rFont val="Calibri"/>
        <family val="2"/>
        <scheme val="minor"/>
      </rPr>
      <t>-1</t>
    </r>
    <r>
      <rPr>
        <b/>
        <sz val="16"/>
        <color theme="0"/>
        <rFont val="Calibri"/>
        <family val="2"/>
        <scheme val="minor"/>
      </rPr>
      <t>)</t>
    </r>
  </si>
  <si>
    <t>BASE</t>
  </si>
  <si>
    <t>BASE A ELEVAR</t>
  </si>
  <si>
    <t>%3</t>
  </si>
  <si>
    <t>peq</t>
  </si>
  <si>
    <r>
      <t>SE REQUIERE APLICAR ESTA CANTIDAD (kg ha</t>
    </r>
    <r>
      <rPr>
        <b/>
        <vertAlign val="superscript"/>
        <sz val="16"/>
        <color theme="0"/>
        <rFont val="Calibri"/>
        <family val="2"/>
        <scheme val="minor"/>
      </rPr>
      <t>-1</t>
    </r>
    <r>
      <rPr>
        <b/>
        <sz val="16"/>
        <color theme="0"/>
        <rFont val="Calibri"/>
        <family val="2"/>
        <scheme val="minor"/>
      </rPr>
      <t>):</t>
    </r>
  </si>
  <si>
    <t>APLICACIÓN DE ENMIENDA AL SUELO</t>
  </si>
  <si>
    <t>FORMULA DE FERTILIZACIÓN PARA EL CULTIVO DE:</t>
  </si>
  <si>
    <t>RENDIMIENTO (ton)</t>
  </si>
  <si>
    <t>NITRÓGENO</t>
  </si>
  <si>
    <t xml:space="preserve">FÓSFORO </t>
  </si>
  <si>
    <t>NUTRIMENTO</t>
  </si>
  <si>
    <t>I. E.</t>
  </si>
  <si>
    <t>APORTE-SUELO</t>
  </si>
  <si>
    <t>E. R F.</t>
  </si>
  <si>
    <t>DOSIS DE FERTILIZACIÓN</t>
  </si>
  <si>
    <t>POTASIO*</t>
  </si>
  <si>
    <t>FÓRMULA</t>
  </si>
  <si>
    <t>Sorgo (grano)</t>
  </si>
  <si>
    <t>FÓRMULAS DE FERTILIZACIÓN DE LOS CULTIVOS, APLICACIÓN DE MATERIA ORGÁNICA Y ENMIENDAS</t>
  </si>
  <si>
    <t xml:space="preserve">Higo </t>
  </si>
  <si>
    <t>Ficus carica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</si>
</sst>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vertAlign val="superscript"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3" xfId="0" applyBorder="1"/>
    <xf numFmtId="0" fontId="0" fillId="0" borderId="4" xfId="0" applyBorder="1"/>
    <xf numFmtId="0" fontId="4" fillId="3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8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1" fillId="0" borderId="0" xfId="0" applyFont="1"/>
    <xf numFmtId="3" fontId="2" fillId="6" borderId="3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 applyProtection="1">
      <alignment horizontal="center"/>
      <protection hidden="1"/>
    </xf>
    <xf numFmtId="164" fontId="2" fillId="6" borderId="3" xfId="0" applyNumberFormat="1" applyFont="1" applyFill="1" applyBorder="1" applyAlignment="1" applyProtection="1">
      <alignment horizontal="center"/>
      <protection hidden="1"/>
    </xf>
    <xf numFmtId="0" fontId="1" fillId="8" borderId="0" xfId="0" applyFont="1" applyFill="1" applyAlignment="1" applyProtection="1">
      <alignment horizontal="center"/>
      <protection hidden="1"/>
    </xf>
    <xf numFmtId="0" fontId="1" fillId="6" borderId="3" xfId="0" applyFont="1" applyFill="1" applyBorder="1" applyAlignment="1" applyProtection="1">
      <alignment horizontal="center"/>
      <protection hidden="1"/>
    </xf>
    <xf numFmtId="165" fontId="7" fillId="5" borderId="3" xfId="0" applyNumberFormat="1" applyFont="1" applyFill="1" applyBorder="1" applyAlignment="1" applyProtection="1">
      <alignment horizontal="center" vertical="center"/>
      <protection hidden="1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6" borderId="3" xfId="0" applyNumberFormat="1" applyFont="1" applyFill="1" applyBorder="1" applyAlignment="1" applyProtection="1">
      <alignment horizontal="center"/>
      <protection hidden="1"/>
    </xf>
    <xf numFmtId="164" fontId="1" fillId="0" borderId="3" xfId="0" applyNumberFormat="1" applyFont="1" applyBorder="1" applyAlignment="1" applyProtection="1">
      <alignment horizontal="center" vertical="center"/>
      <protection hidden="1"/>
    </xf>
    <xf numFmtId="0" fontId="1" fillId="8" borderId="0" xfId="0" applyFont="1" applyFill="1" applyProtection="1">
      <protection hidden="1"/>
    </xf>
    <xf numFmtId="0" fontId="1" fillId="0" borderId="3" xfId="0" applyFont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hidden="1"/>
    </xf>
    <xf numFmtId="0" fontId="1" fillId="0" borderId="3" xfId="0" applyFont="1" applyBorder="1"/>
    <xf numFmtId="0" fontId="2" fillId="2" borderId="3" xfId="0" applyFont="1" applyFill="1" applyBorder="1" applyAlignment="1" applyProtection="1">
      <alignment horizontal="center" vertical="center"/>
      <protection hidden="1"/>
    </xf>
    <xf numFmtId="3" fontId="7" fillId="5" borderId="3" xfId="0" applyNumberFormat="1" applyFont="1" applyFill="1" applyBorder="1" applyAlignment="1" applyProtection="1">
      <alignment horizontal="center"/>
      <protection hidden="1"/>
    </xf>
    <xf numFmtId="0" fontId="5" fillId="4" borderId="4" xfId="0" applyFont="1" applyFill="1" applyBorder="1"/>
    <xf numFmtId="0" fontId="5" fillId="4" borderId="15" xfId="0" applyFont="1" applyFill="1" applyBorder="1"/>
    <xf numFmtId="0" fontId="5" fillId="4" borderId="8" xfId="0" applyFont="1" applyFill="1" applyBorder="1"/>
    <xf numFmtId="0" fontId="5" fillId="4" borderId="16" xfId="0" applyFont="1" applyFill="1" applyBorder="1"/>
    <xf numFmtId="0" fontId="2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3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5" fillId="5" borderId="3" xfId="0" applyFont="1" applyFill="1" applyBorder="1" applyAlignment="1" applyProtection="1">
      <alignment horizontal="center"/>
      <protection hidden="1"/>
    </xf>
    <xf numFmtId="1" fontId="7" fillId="5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1" fillId="8" borderId="8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left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164" fontId="1" fillId="0" borderId="3" xfId="0" applyNumberFormat="1" applyFont="1" applyBorder="1" applyAlignment="1" applyProtection="1">
      <alignment horizont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0" fontId="1" fillId="8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4" xfId="0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 applyProtection="1">
      <alignment horizontal="center"/>
      <protection hidden="1"/>
    </xf>
    <xf numFmtId="0" fontId="7" fillId="5" borderId="3" xfId="0" applyFont="1" applyFill="1" applyBorder="1" applyAlignment="1" applyProtection="1">
      <alignment horizontal="left" vertical="center"/>
      <protection hidden="1"/>
    </xf>
    <xf numFmtId="0" fontId="5" fillId="4" borderId="3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1" fillId="8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9" fillId="7" borderId="0" xfId="0" applyFont="1" applyFill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4" formatCode="#,##0.0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96716</xdr:colOff>
      <xdr:row>1</xdr:row>
      <xdr:rowOff>134729</xdr:rowOff>
    </xdr:from>
    <xdr:to>
      <xdr:col>13</xdr:col>
      <xdr:colOff>621812</xdr:colOff>
      <xdr:row>10</xdr:row>
      <xdr:rowOff>121410</xdr:rowOff>
    </xdr:to>
    <xdr:pic>
      <xdr:nvPicPr>
        <xdr:cNvPr id="2" name="Picture 2" descr="La imagen puede contener: planta, anillo y naturalez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28750" l="61995" r="99596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5229" r="2426" b="72747"/>
        <a:stretch/>
      </xdr:blipFill>
      <xdr:spPr bwMode="auto">
        <a:xfrm>
          <a:off x="10256716" y="617329"/>
          <a:ext cx="1922096" cy="2069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RBONO" displayName="CARBONO" ref="E52:F62" totalsRowShown="0" tableBorderDxfId="48">
  <autoFilter ref="E52:F62" xr:uid="{00000000-0009-0000-0100-000001000000}"/>
  <tableColumns count="2">
    <tableColumn id="1" xr3:uid="{00000000-0010-0000-0000-000001000000}" name="MATERIAL"/>
    <tableColumn id="2" xr3:uid="{00000000-0010-0000-0000-000002000000}" name="% C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NMIENDA" displayName="ENMIENDA" ref="E64:G70" totalsRowShown="0" tableBorderDxfId="46">
  <autoFilter ref="E64:G70" xr:uid="{00000000-0009-0000-0100-000003000000}"/>
  <tableColumns count="3">
    <tableColumn id="1" xr3:uid="{00000000-0010-0000-0100-000001000000}" name="MATERIAL" dataDxfId="45"/>
    <tableColumn id="2" xr3:uid="{00000000-0010-0000-0100-000002000000}" name="FORMULA" dataDxfId="44"/>
    <tableColumn id="3" xr3:uid="{00000000-0010-0000-0100-000003000000}" name="FACTOR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INCREMENTO" displayName="INCREMENTO" ref="A15:D17" totalsRowShown="0">
  <autoFilter ref="A15:D17" xr:uid="{00000000-0009-0000-0100-000004000000}"/>
  <tableColumns count="4">
    <tableColumn id="1" xr3:uid="{00000000-0010-0000-0200-000001000000}" name="BASE" dataDxfId="42">
      <calculatedColumnFormula>FERTILIZACION1!J5</calculatedColumnFormula>
    </tableColumn>
    <tableColumn id="2" xr3:uid="{00000000-0010-0000-0200-000002000000}" name="%" dataDxfId="41">
      <calculatedColumnFormula>FERTILIZACION1!L5</calculatedColumnFormula>
    </tableColumn>
    <tableColumn id="5" xr3:uid="{00000000-0010-0000-0200-000005000000}" name="%3" dataDxfId="40"/>
    <tableColumn id="3" xr3:uid="{00000000-0010-0000-0200-000003000000}" name="peq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CULTIVOS" displayName="CULTIVOS" ref="E2:I49" totalsRowShown="0">
  <autoFilter ref="E2:I49" xr:uid="{00000000-0009-0000-0100-000005000000}"/>
  <tableColumns count="5">
    <tableColumn id="1" xr3:uid="{00000000-0010-0000-0300-000001000000}" name="CULTIVO"/>
    <tableColumn id="2" xr3:uid="{00000000-0010-0000-0300-000002000000}" name="NOMBRE CIENTÍFICO"/>
    <tableColumn id="3" xr3:uid="{00000000-0010-0000-0300-000003000000}" name="N (INORGÁNICO)"/>
    <tableColumn id="4" xr3:uid="{00000000-0010-0000-0300-000004000000}" name="P"/>
    <tableColumn id="5" xr3:uid="{00000000-0010-0000-0300-000005000000}" name="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opLeftCell="A45" workbookViewId="0">
      <selection activeCell="F67" sqref="F67"/>
    </sheetView>
  </sheetViews>
  <sheetFormatPr baseColWidth="10" defaultRowHeight="14.4" x14ac:dyDescent="0.3"/>
  <cols>
    <col min="5" max="5" width="33.6640625" bestFit="1" customWidth="1"/>
    <col min="6" max="6" width="29.44140625" bestFit="1" customWidth="1"/>
    <col min="7" max="7" width="18.33203125" customWidth="1"/>
    <col min="8" max="8" width="10.109375" customWidth="1"/>
  </cols>
  <sheetData>
    <row r="1" spans="1:9" x14ac:dyDescent="0.3">
      <c r="A1" t="s">
        <v>8</v>
      </c>
      <c r="B1" t="s">
        <v>113</v>
      </c>
      <c r="E1" t="s">
        <v>11</v>
      </c>
    </row>
    <row r="2" spans="1:9" x14ac:dyDescent="0.3">
      <c r="A2" t="s">
        <v>3</v>
      </c>
      <c r="B2" t="s">
        <v>116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4</v>
      </c>
      <c r="B3" t="s">
        <v>114</v>
      </c>
      <c r="E3" t="s">
        <v>17</v>
      </c>
      <c r="F3" t="s">
        <v>69</v>
      </c>
      <c r="G3">
        <v>11</v>
      </c>
      <c r="H3">
        <v>2</v>
      </c>
      <c r="I3">
        <v>20</v>
      </c>
    </row>
    <row r="4" spans="1:9" x14ac:dyDescent="0.3">
      <c r="A4" t="s">
        <v>5</v>
      </c>
      <c r="B4" t="s">
        <v>115</v>
      </c>
      <c r="E4" t="s">
        <v>18</v>
      </c>
      <c r="F4" t="s">
        <v>19</v>
      </c>
      <c r="G4">
        <v>27</v>
      </c>
      <c r="H4">
        <v>2.5</v>
      </c>
      <c r="I4">
        <v>21</v>
      </c>
    </row>
    <row r="5" spans="1:9" x14ac:dyDescent="0.3">
      <c r="E5" t="s">
        <v>20</v>
      </c>
      <c r="F5" t="s">
        <v>70</v>
      </c>
      <c r="G5">
        <v>1.7</v>
      </c>
      <c r="H5">
        <v>0.4</v>
      </c>
      <c r="I5">
        <v>3.7</v>
      </c>
    </row>
    <row r="6" spans="1:9" x14ac:dyDescent="0.3">
      <c r="A6" t="s">
        <v>117</v>
      </c>
      <c r="E6" t="s">
        <v>21</v>
      </c>
      <c r="F6" t="s">
        <v>71</v>
      </c>
      <c r="G6">
        <v>22</v>
      </c>
      <c r="H6">
        <v>4</v>
      </c>
      <c r="I6">
        <v>26</v>
      </c>
    </row>
    <row r="7" spans="1:9" x14ac:dyDescent="0.3">
      <c r="A7" t="s">
        <v>118</v>
      </c>
      <c r="E7" t="s">
        <v>24</v>
      </c>
      <c r="F7" t="s">
        <v>25</v>
      </c>
      <c r="G7">
        <v>3.4</v>
      </c>
      <c r="H7">
        <v>0.8</v>
      </c>
      <c r="I7">
        <v>3.5</v>
      </c>
    </row>
    <row r="8" spans="1:9" x14ac:dyDescent="0.3">
      <c r="A8" t="s">
        <v>119</v>
      </c>
      <c r="E8" t="s">
        <v>26</v>
      </c>
      <c r="F8" t="s">
        <v>74</v>
      </c>
      <c r="G8">
        <v>24</v>
      </c>
      <c r="H8">
        <v>2</v>
      </c>
      <c r="I8">
        <v>19</v>
      </c>
    </row>
    <row r="9" spans="1:9" x14ac:dyDescent="0.3">
      <c r="E9" t="s">
        <v>27</v>
      </c>
      <c r="F9" t="s">
        <v>75</v>
      </c>
      <c r="G9">
        <v>4</v>
      </c>
      <c r="H9">
        <v>0.6</v>
      </c>
      <c r="I9">
        <v>6</v>
      </c>
    </row>
    <row r="10" spans="1:9" x14ac:dyDescent="0.3">
      <c r="E10" t="s">
        <v>23</v>
      </c>
      <c r="F10" t="s">
        <v>73</v>
      </c>
      <c r="G10">
        <v>4.2</v>
      </c>
      <c r="H10">
        <v>0.3</v>
      </c>
      <c r="I10">
        <v>4.8</v>
      </c>
    </row>
    <row r="11" spans="1:9" x14ac:dyDescent="0.3">
      <c r="A11" t="s">
        <v>143</v>
      </c>
      <c r="E11" t="s">
        <v>29</v>
      </c>
      <c r="F11" t="s">
        <v>77</v>
      </c>
      <c r="G11">
        <v>5</v>
      </c>
      <c r="H11">
        <v>1.3</v>
      </c>
      <c r="I11">
        <v>6</v>
      </c>
    </row>
    <row r="12" spans="1:9" x14ac:dyDescent="0.3">
      <c r="A12" t="s">
        <v>176</v>
      </c>
      <c r="E12" t="s">
        <v>30</v>
      </c>
      <c r="F12" t="s">
        <v>78</v>
      </c>
      <c r="G12">
        <v>26</v>
      </c>
      <c r="H12">
        <v>4</v>
      </c>
      <c r="I12">
        <v>20</v>
      </c>
    </row>
    <row r="13" spans="1:9" x14ac:dyDescent="0.3">
      <c r="A13" t="s">
        <v>177</v>
      </c>
      <c r="E13" t="s">
        <v>31</v>
      </c>
      <c r="F13" t="s">
        <v>79</v>
      </c>
      <c r="G13">
        <v>3.9</v>
      </c>
      <c r="H13">
        <v>0.6</v>
      </c>
      <c r="I13">
        <v>4</v>
      </c>
    </row>
    <row r="14" spans="1:9" x14ac:dyDescent="0.3">
      <c r="E14" t="s">
        <v>22</v>
      </c>
      <c r="F14" t="s">
        <v>72</v>
      </c>
      <c r="G14">
        <v>56</v>
      </c>
      <c r="H14">
        <v>6</v>
      </c>
      <c r="I14">
        <v>25</v>
      </c>
    </row>
    <row r="15" spans="1:9" x14ac:dyDescent="0.3">
      <c r="A15" t="s">
        <v>179</v>
      </c>
      <c r="B15" t="s">
        <v>159</v>
      </c>
      <c r="C15" t="s">
        <v>181</v>
      </c>
      <c r="D15" t="s">
        <v>182</v>
      </c>
      <c r="E15" t="s">
        <v>60</v>
      </c>
      <c r="F15" t="s">
        <v>101</v>
      </c>
      <c r="G15">
        <v>5</v>
      </c>
      <c r="H15">
        <v>0.7</v>
      </c>
      <c r="I15">
        <v>7</v>
      </c>
    </row>
    <row r="16" spans="1:9" x14ac:dyDescent="0.3">
      <c r="A16" s="12" t="str">
        <f>FERTILIZACION1!J5</f>
        <v>Ca</v>
      </c>
      <c r="B16" s="13">
        <f>FERTILIZACION1!L5</f>
        <v>50.346229015061247</v>
      </c>
      <c r="C16" s="13">
        <f>65-INCREMENTO[[#This Row],[%]]</f>
        <v>14.653770984938753</v>
      </c>
      <c r="D16" s="14">
        <v>20</v>
      </c>
      <c r="E16" t="s">
        <v>32</v>
      </c>
      <c r="F16" t="s">
        <v>80</v>
      </c>
      <c r="G16">
        <v>6.5</v>
      </c>
      <c r="H16">
        <v>0.9</v>
      </c>
      <c r="I16">
        <v>6</v>
      </c>
    </row>
    <row r="17" spans="1:9" x14ac:dyDescent="0.3">
      <c r="A17" s="12" t="str">
        <f>FERTILIZACION1!J6</f>
        <v>Mg</v>
      </c>
      <c r="B17" s="13">
        <f>FERTILIZACION1!L6</f>
        <v>7.4344598178907111</v>
      </c>
      <c r="C17" s="13">
        <f>10-INCREMENTO[[#This Row],[%]]</f>
        <v>2.5655401821092889</v>
      </c>
      <c r="D17" s="14">
        <v>12</v>
      </c>
      <c r="E17" t="s">
        <v>33</v>
      </c>
      <c r="F17" t="s">
        <v>81</v>
      </c>
      <c r="G17">
        <v>4.2</v>
      </c>
      <c r="H17">
        <v>0.7</v>
      </c>
      <c r="I17">
        <v>5</v>
      </c>
    </row>
    <row r="18" spans="1:9" x14ac:dyDescent="0.3">
      <c r="E18" t="s">
        <v>34</v>
      </c>
      <c r="F18" t="s">
        <v>82</v>
      </c>
      <c r="G18">
        <v>4.7</v>
      </c>
      <c r="H18">
        <v>0.8</v>
      </c>
      <c r="I18">
        <v>6.5</v>
      </c>
    </row>
    <row r="19" spans="1:9" x14ac:dyDescent="0.3">
      <c r="E19" t="s">
        <v>35</v>
      </c>
      <c r="F19" t="s">
        <v>83</v>
      </c>
      <c r="G19">
        <v>5.0999999999999996</v>
      </c>
      <c r="H19">
        <v>0.7</v>
      </c>
      <c r="I19">
        <v>4.5999999999999996</v>
      </c>
    </row>
    <row r="20" spans="1:9" x14ac:dyDescent="0.3">
      <c r="E20" t="s">
        <v>36</v>
      </c>
      <c r="F20" t="s">
        <v>84</v>
      </c>
      <c r="G20">
        <v>19.3</v>
      </c>
      <c r="H20">
        <v>2.9</v>
      </c>
      <c r="I20">
        <v>17.899999999999999</v>
      </c>
    </row>
    <row r="21" spans="1:9" x14ac:dyDescent="0.3">
      <c r="E21" t="s">
        <v>37</v>
      </c>
      <c r="F21" t="s">
        <v>85</v>
      </c>
      <c r="G21">
        <v>5.0999999999999996</v>
      </c>
      <c r="H21">
        <v>0.8</v>
      </c>
      <c r="I21">
        <v>5.6</v>
      </c>
    </row>
    <row r="22" spans="1:9" x14ac:dyDescent="0.3">
      <c r="E22" t="s">
        <v>38</v>
      </c>
      <c r="F22" t="s">
        <v>68</v>
      </c>
      <c r="G22">
        <v>3.5</v>
      </c>
      <c r="H22">
        <v>0.8</v>
      </c>
      <c r="I22">
        <v>4.5</v>
      </c>
    </row>
    <row r="23" spans="1:9" x14ac:dyDescent="0.3">
      <c r="E23" t="s">
        <v>39</v>
      </c>
      <c r="F23" t="s">
        <v>86</v>
      </c>
      <c r="G23">
        <v>0</v>
      </c>
      <c r="H23">
        <v>0</v>
      </c>
      <c r="I23">
        <v>0</v>
      </c>
    </row>
    <row r="24" spans="1:9" x14ac:dyDescent="0.3">
      <c r="E24" t="s">
        <v>40</v>
      </c>
      <c r="F24" t="s">
        <v>87</v>
      </c>
      <c r="G24">
        <v>40</v>
      </c>
      <c r="H24">
        <v>11</v>
      </c>
      <c r="I24">
        <v>29</v>
      </c>
    </row>
    <row r="25" spans="1:9" x14ac:dyDescent="0.3">
      <c r="E25" t="s">
        <v>41</v>
      </c>
      <c r="F25" t="s">
        <v>88</v>
      </c>
      <c r="G25">
        <v>62</v>
      </c>
      <c r="H25">
        <v>7</v>
      </c>
      <c r="I25">
        <v>33</v>
      </c>
    </row>
    <row r="26" spans="1:9" x14ac:dyDescent="0.3">
      <c r="E26" t="s">
        <v>198</v>
      </c>
      <c r="F26" t="s">
        <v>199</v>
      </c>
      <c r="G26">
        <v>17</v>
      </c>
      <c r="H26">
        <v>8</v>
      </c>
      <c r="I26">
        <v>15</v>
      </c>
    </row>
    <row r="27" spans="1:9" x14ac:dyDescent="0.3">
      <c r="E27" t="s">
        <v>64</v>
      </c>
      <c r="F27" t="s">
        <v>104</v>
      </c>
      <c r="G27">
        <v>2.8</v>
      </c>
      <c r="H27">
        <v>0.4</v>
      </c>
      <c r="I27">
        <v>4.5</v>
      </c>
    </row>
    <row r="28" spans="1:9" x14ac:dyDescent="0.3">
      <c r="E28" t="s">
        <v>42</v>
      </c>
      <c r="F28" t="s">
        <v>89</v>
      </c>
      <c r="G28">
        <v>6.5</v>
      </c>
      <c r="H28">
        <v>0</v>
      </c>
      <c r="I28">
        <v>0</v>
      </c>
    </row>
    <row r="29" spans="1:9" x14ac:dyDescent="0.3">
      <c r="E29" t="s">
        <v>43</v>
      </c>
      <c r="F29" t="s">
        <v>90</v>
      </c>
      <c r="G29">
        <v>2</v>
      </c>
      <c r="H29">
        <v>0.5</v>
      </c>
      <c r="I29">
        <v>4.3</v>
      </c>
    </row>
    <row r="30" spans="1:9" x14ac:dyDescent="0.3">
      <c r="E30" t="s">
        <v>44</v>
      </c>
      <c r="F30" t="s">
        <v>45</v>
      </c>
      <c r="G30">
        <v>65</v>
      </c>
      <c r="H30">
        <v>8</v>
      </c>
      <c r="I30">
        <v>40</v>
      </c>
    </row>
    <row r="31" spans="1:9" x14ac:dyDescent="0.3">
      <c r="E31" t="s">
        <v>46</v>
      </c>
      <c r="F31" t="s">
        <v>91</v>
      </c>
      <c r="G31">
        <v>6.3</v>
      </c>
      <c r="H31">
        <v>0.7</v>
      </c>
      <c r="I31">
        <v>4.4000000000000004</v>
      </c>
    </row>
    <row r="32" spans="1:9" x14ac:dyDescent="0.3">
      <c r="E32" t="s">
        <v>47</v>
      </c>
      <c r="F32" t="s">
        <v>48</v>
      </c>
      <c r="G32">
        <v>6</v>
      </c>
      <c r="H32">
        <v>0.7</v>
      </c>
      <c r="I32">
        <v>0</v>
      </c>
    </row>
    <row r="33" spans="5:9" x14ac:dyDescent="0.3">
      <c r="E33" t="s">
        <v>49</v>
      </c>
      <c r="F33" t="s">
        <v>92</v>
      </c>
      <c r="G33">
        <v>22</v>
      </c>
      <c r="H33">
        <v>8.8000000000000007</v>
      </c>
      <c r="I33">
        <v>19</v>
      </c>
    </row>
    <row r="34" spans="5:9" x14ac:dyDescent="0.3">
      <c r="E34" t="s">
        <v>50</v>
      </c>
      <c r="F34" t="s">
        <v>93</v>
      </c>
      <c r="G34">
        <v>4.4000000000000004</v>
      </c>
      <c r="H34">
        <v>0.4</v>
      </c>
      <c r="I34">
        <v>4.5</v>
      </c>
    </row>
    <row r="35" spans="5:9" x14ac:dyDescent="0.3">
      <c r="E35" t="s">
        <v>51</v>
      </c>
      <c r="F35" t="s">
        <v>94</v>
      </c>
      <c r="G35">
        <v>3.6</v>
      </c>
      <c r="H35">
        <v>0.8</v>
      </c>
      <c r="I35">
        <v>2.5</v>
      </c>
    </row>
    <row r="36" spans="5:9" x14ac:dyDescent="0.3">
      <c r="E36" t="s">
        <v>52</v>
      </c>
      <c r="F36" t="s">
        <v>53</v>
      </c>
      <c r="G36">
        <v>4</v>
      </c>
      <c r="H36">
        <v>0.6</v>
      </c>
      <c r="I36">
        <v>5.5</v>
      </c>
    </row>
    <row r="37" spans="5:9" x14ac:dyDescent="0.3">
      <c r="E37" t="s">
        <v>54</v>
      </c>
      <c r="F37" t="s">
        <v>95</v>
      </c>
      <c r="G37">
        <v>5.7</v>
      </c>
      <c r="H37">
        <v>0.7</v>
      </c>
      <c r="I37">
        <v>5.3</v>
      </c>
    </row>
    <row r="38" spans="5:9" x14ac:dyDescent="0.3">
      <c r="E38" t="s">
        <v>55</v>
      </c>
      <c r="F38" t="s">
        <v>96</v>
      </c>
      <c r="G38">
        <v>14.7</v>
      </c>
      <c r="H38">
        <v>1.9</v>
      </c>
      <c r="I38">
        <v>10.4</v>
      </c>
    </row>
    <row r="39" spans="5:9" x14ac:dyDescent="0.3">
      <c r="E39" t="s">
        <v>56</v>
      </c>
      <c r="F39" t="s">
        <v>97</v>
      </c>
      <c r="G39">
        <v>5.5</v>
      </c>
      <c r="H39">
        <v>0.9</v>
      </c>
      <c r="I39">
        <v>8.1999999999999993</v>
      </c>
    </row>
    <row r="40" spans="5:9" x14ac:dyDescent="0.3">
      <c r="E40" t="s">
        <v>58</v>
      </c>
      <c r="F40" t="s">
        <v>99</v>
      </c>
      <c r="G40">
        <v>4</v>
      </c>
      <c r="H40">
        <v>0.7</v>
      </c>
      <c r="I40">
        <v>5.3</v>
      </c>
    </row>
    <row r="41" spans="5:9" x14ac:dyDescent="0.3">
      <c r="E41" t="s">
        <v>59</v>
      </c>
      <c r="F41" t="s">
        <v>100</v>
      </c>
      <c r="G41">
        <v>2.6</v>
      </c>
      <c r="H41">
        <v>0.4</v>
      </c>
      <c r="I41">
        <v>2.8</v>
      </c>
    </row>
    <row r="42" spans="5:9" x14ac:dyDescent="0.3">
      <c r="E42" t="s">
        <v>61</v>
      </c>
      <c r="F42" t="s">
        <v>102</v>
      </c>
      <c r="G42">
        <v>4</v>
      </c>
      <c r="H42">
        <v>0.9</v>
      </c>
      <c r="I42">
        <v>9.8000000000000007</v>
      </c>
    </row>
    <row r="43" spans="5:9" x14ac:dyDescent="0.3">
      <c r="E43" t="s">
        <v>28</v>
      </c>
      <c r="F43" t="s">
        <v>76</v>
      </c>
      <c r="G43">
        <v>8.4</v>
      </c>
      <c r="H43">
        <v>1.1000000000000001</v>
      </c>
      <c r="I43">
        <v>8.3000000000000007</v>
      </c>
    </row>
    <row r="44" spans="5:9" x14ac:dyDescent="0.3">
      <c r="E44" t="s">
        <v>57</v>
      </c>
      <c r="F44" t="s">
        <v>98</v>
      </c>
      <c r="G44">
        <v>2</v>
      </c>
      <c r="H44">
        <v>0.3</v>
      </c>
      <c r="I44">
        <v>3</v>
      </c>
    </row>
    <row r="45" spans="5:9" x14ac:dyDescent="0.3">
      <c r="E45" t="s">
        <v>196</v>
      </c>
      <c r="F45" t="s">
        <v>63</v>
      </c>
      <c r="G45">
        <v>30</v>
      </c>
      <c r="H45">
        <v>4</v>
      </c>
      <c r="I45">
        <v>21</v>
      </c>
    </row>
    <row r="46" spans="5:9" x14ac:dyDescent="0.3">
      <c r="E46" t="s">
        <v>62</v>
      </c>
      <c r="F46" t="s">
        <v>103</v>
      </c>
      <c r="G46">
        <v>80</v>
      </c>
      <c r="H46">
        <v>8</v>
      </c>
      <c r="I46">
        <v>33</v>
      </c>
    </row>
    <row r="47" spans="5:9" x14ac:dyDescent="0.3">
      <c r="E47" t="s">
        <v>65</v>
      </c>
      <c r="F47" t="s">
        <v>105</v>
      </c>
      <c r="G47">
        <v>30</v>
      </c>
      <c r="H47">
        <v>5</v>
      </c>
      <c r="I47">
        <v>19</v>
      </c>
    </row>
    <row r="48" spans="5:9" x14ac:dyDescent="0.3">
      <c r="E48" t="s">
        <v>66</v>
      </c>
      <c r="F48" t="s">
        <v>106</v>
      </c>
      <c r="G48">
        <v>6.9</v>
      </c>
      <c r="H48">
        <v>1</v>
      </c>
      <c r="I48">
        <v>8</v>
      </c>
    </row>
    <row r="49" spans="5:9" x14ac:dyDescent="0.3">
      <c r="E49" t="s">
        <v>67</v>
      </c>
      <c r="F49" t="s">
        <v>107</v>
      </c>
      <c r="G49">
        <v>4</v>
      </c>
      <c r="H49">
        <v>0.8</v>
      </c>
      <c r="I49">
        <v>6</v>
      </c>
    </row>
    <row r="52" spans="5:9" ht="15" thickBot="1" x14ac:dyDescent="0.35">
      <c r="E52" t="s">
        <v>124</v>
      </c>
      <c r="F52" t="s">
        <v>121</v>
      </c>
    </row>
    <row r="53" spans="5:9" ht="15" thickBot="1" x14ac:dyDescent="0.35">
      <c r="E53" s="3" t="s">
        <v>125</v>
      </c>
      <c r="F53" s="1">
        <v>22.5</v>
      </c>
    </row>
    <row r="54" spans="5:9" ht="15" thickBot="1" x14ac:dyDescent="0.35">
      <c r="E54" s="4" t="s">
        <v>126</v>
      </c>
      <c r="F54" s="1">
        <v>28.4</v>
      </c>
    </row>
    <row r="55" spans="5:9" ht="15" thickBot="1" x14ac:dyDescent="0.35">
      <c r="E55" s="5" t="s">
        <v>127</v>
      </c>
      <c r="F55" s="1">
        <v>26.3</v>
      </c>
    </row>
    <row r="56" spans="5:9" ht="15" thickBot="1" x14ac:dyDescent="0.35">
      <c r="E56" s="4" t="s">
        <v>128</v>
      </c>
      <c r="F56" s="1">
        <v>30.6</v>
      </c>
    </row>
    <row r="57" spans="5:9" ht="15" thickBot="1" x14ac:dyDescent="0.35">
      <c r="E57" s="5" t="s">
        <v>129</v>
      </c>
      <c r="F57" s="1">
        <v>37</v>
      </c>
    </row>
    <row r="58" spans="5:9" ht="15" thickBot="1" x14ac:dyDescent="0.35">
      <c r="E58" s="4" t="s">
        <v>130</v>
      </c>
      <c r="F58" s="1">
        <v>31.4</v>
      </c>
    </row>
    <row r="59" spans="5:9" ht="15" thickBot="1" x14ac:dyDescent="0.35">
      <c r="E59" s="5" t="s">
        <v>131</v>
      </c>
      <c r="F59" s="1">
        <v>12.9</v>
      </c>
    </row>
    <row r="60" spans="5:9" ht="15" thickBot="1" x14ac:dyDescent="0.35">
      <c r="E60" s="4" t="s">
        <v>132</v>
      </c>
      <c r="F60" s="1">
        <v>52</v>
      </c>
    </row>
    <row r="61" spans="5:9" ht="15" thickBot="1" x14ac:dyDescent="0.35">
      <c r="E61" s="5" t="s">
        <v>133</v>
      </c>
      <c r="F61" s="1">
        <v>15.6</v>
      </c>
    </row>
    <row r="62" spans="5:9" ht="15" thickBot="1" x14ac:dyDescent="0.35">
      <c r="E62" s="4" t="s">
        <v>134</v>
      </c>
      <c r="F62" s="2">
        <v>38</v>
      </c>
    </row>
    <row r="64" spans="5:9" ht="15" thickBot="1" x14ac:dyDescent="0.35">
      <c r="E64" t="s">
        <v>124</v>
      </c>
      <c r="F64" t="s">
        <v>172</v>
      </c>
      <c r="G64" t="s">
        <v>175</v>
      </c>
    </row>
    <row r="65" spans="5:7" ht="16.2" thickBot="1" x14ac:dyDescent="0.35">
      <c r="E65" s="6" t="s">
        <v>160</v>
      </c>
      <c r="F65" s="7" t="s">
        <v>161</v>
      </c>
      <c r="G65" s="6">
        <v>1.4</v>
      </c>
    </row>
    <row r="66" spans="5:7" ht="16.2" thickBot="1" x14ac:dyDescent="0.35">
      <c r="E66" s="8" t="s">
        <v>162</v>
      </c>
      <c r="F66" s="9" t="s">
        <v>163</v>
      </c>
      <c r="G66" s="8">
        <v>1.85</v>
      </c>
    </row>
    <row r="67" spans="5:7" ht="16.2" thickBot="1" x14ac:dyDescent="0.35">
      <c r="E67" s="8" t="s">
        <v>164</v>
      </c>
      <c r="F67" s="9" t="s">
        <v>165</v>
      </c>
      <c r="G67" s="8">
        <v>2.5</v>
      </c>
    </row>
    <row r="68" spans="5:7" ht="15" thickBot="1" x14ac:dyDescent="0.35">
      <c r="E68" s="8" t="s">
        <v>166</v>
      </c>
      <c r="F68" s="9" t="s">
        <v>167</v>
      </c>
      <c r="G68" s="8">
        <v>2.5</v>
      </c>
    </row>
    <row r="69" spans="5:7" ht="16.2" thickBot="1" x14ac:dyDescent="0.35">
      <c r="E69" s="8" t="s">
        <v>168</v>
      </c>
      <c r="F69" s="9" t="s">
        <v>169</v>
      </c>
      <c r="G69" s="8">
        <v>1.66</v>
      </c>
    </row>
    <row r="70" spans="5:7" ht="16.2" thickBot="1" x14ac:dyDescent="0.35">
      <c r="E70" s="11" t="s">
        <v>170</v>
      </c>
      <c r="F70" s="10" t="s">
        <v>171</v>
      </c>
      <c r="G70" s="8">
        <v>3.5</v>
      </c>
    </row>
  </sheetData>
  <sortState xmlns:xlrd2="http://schemas.microsoft.com/office/spreadsheetml/2017/richdata2" ref="E3:I49">
    <sortCondition ref="E3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6"/>
  <sheetViews>
    <sheetView tabSelected="1" zoomScale="75" zoomScaleNormal="75" workbookViewId="0">
      <selection activeCell="C29" sqref="C29"/>
    </sheetView>
  </sheetViews>
  <sheetFormatPr baseColWidth="10" defaultColWidth="11.44140625" defaultRowHeight="17.399999999999999" x14ac:dyDescent="0.35"/>
  <cols>
    <col min="1" max="1" width="2" style="26" customWidth="1"/>
    <col min="2" max="2" width="11.44140625" style="16"/>
    <col min="3" max="3" width="43.33203125" style="16" customWidth="1"/>
    <col min="4" max="4" width="20.109375" style="16" customWidth="1"/>
    <col min="5" max="5" width="2.88671875" style="23" customWidth="1"/>
    <col min="6" max="6" width="13.6640625" style="16" bestFit="1" customWidth="1"/>
    <col min="7" max="7" width="1.6640625" style="16" customWidth="1"/>
    <col min="8" max="8" width="13.109375" style="16" customWidth="1"/>
    <col min="9" max="9" width="3.6640625" style="16" customWidth="1"/>
    <col min="10" max="10" width="12.109375" style="16" customWidth="1"/>
    <col min="11" max="11" width="14.44140625" style="16" customWidth="1"/>
    <col min="12" max="12" width="13.5546875" style="16" customWidth="1"/>
    <col min="13" max="13" width="20.88671875" style="16" customWidth="1"/>
    <col min="14" max="14" width="11.44140625" style="16" bestFit="1" customWidth="1"/>
    <col min="15" max="25" width="11.44140625" style="25"/>
    <col min="26" max="16384" width="11.44140625" style="16"/>
  </cols>
  <sheetData>
    <row r="1" spans="1:16" ht="37.5" customHeight="1" x14ac:dyDescent="0.35">
      <c r="A1" s="25"/>
      <c r="B1" s="79" t="s">
        <v>197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6" x14ac:dyDescent="0.35">
      <c r="A2" s="25"/>
      <c r="B2" s="68" t="s">
        <v>9</v>
      </c>
      <c r="C2" s="68"/>
      <c r="D2" s="68"/>
      <c r="E2" s="24"/>
      <c r="F2" s="68" t="s">
        <v>139</v>
      </c>
      <c r="G2" s="68"/>
      <c r="H2" s="68"/>
      <c r="I2" s="25"/>
      <c r="J2" s="68" t="s">
        <v>156</v>
      </c>
      <c r="K2" s="68"/>
      <c r="L2" s="68"/>
      <c r="M2" s="25"/>
      <c r="N2" s="25"/>
    </row>
    <row r="3" spans="1:16" ht="23.4" x14ac:dyDescent="0.45">
      <c r="A3" s="25"/>
      <c r="B3" s="75" t="s">
        <v>10</v>
      </c>
      <c r="C3" s="75"/>
      <c r="D3" s="17" t="s">
        <v>54</v>
      </c>
      <c r="E3" s="24"/>
      <c r="F3" s="75" t="s">
        <v>140</v>
      </c>
      <c r="G3" s="75"/>
      <c r="H3" s="18">
        <v>50</v>
      </c>
      <c r="I3" s="25"/>
      <c r="J3" s="36"/>
      <c r="K3" s="37" t="s">
        <v>157</v>
      </c>
      <c r="L3" s="37" t="s">
        <v>159</v>
      </c>
      <c r="M3" s="25"/>
      <c r="N3" s="25"/>
    </row>
    <row r="4" spans="1:16" ht="19.8" x14ac:dyDescent="0.35">
      <c r="A4" s="25"/>
      <c r="B4" s="75" t="s">
        <v>108</v>
      </c>
      <c r="C4" s="75"/>
      <c r="D4" s="19">
        <v>5</v>
      </c>
      <c r="E4" s="24"/>
      <c r="F4" s="75" t="str">
        <f>IF(D15&gt;7.1,"P-OLSEN (ppm)","P-BRAY (ppm)")</f>
        <v>P-BRAY (ppm)</v>
      </c>
      <c r="G4" s="75"/>
      <c r="H4" s="18">
        <v>18.850000000000001</v>
      </c>
      <c r="I4" s="25"/>
      <c r="J4" s="38" t="s">
        <v>16</v>
      </c>
      <c r="K4" s="39">
        <f>H5/390</f>
        <v>0.61282051282051286</v>
      </c>
      <c r="L4" s="40">
        <f>(K4*100)/$K$10</f>
        <v>12.341280753435527</v>
      </c>
      <c r="M4" s="25"/>
      <c r="N4" s="25"/>
    </row>
    <row r="5" spans="1:16" ht="19.8" x14ac:dyDescent="0.35">
      <c r="A5" s="25"/>
      <c r="B5" s="75" t="s">
        <v>109</v>
      </c>
      <c r="C5" s="75"/>
      <c r="D5" s="27">
        <v>10000</v>
      </c>
      <c r="E5" s="24"/>
      <c r="F5" s="75" t="s">
        <v>144</v>
      </c>
      <c r="G5" s="75"/>
      <c r="H5" s="18">
        <v>239</v>
      </c>
      <c r="I5" s="25"/>
      <c r="J5" s="38" t="s">
        <v>141</v>
      </c>
      <c r="K5" s="39">
        <f>H6/200</f>
        <v>2.5</v>
      </c>
      <c r="L5" s="40">
        <f t="shared" ref="L5:L9" si="0">(K5*100)/$K$10</f>
        <v>50.346229015061247</v>
      </c>
      <c r="M5" s="25"/>
      <c r="N5" s="25"/>
    </row>
    <row r="6" spans="1:16" ht="18" customHeight="1" x14ac:dyDescent="0.35">
      <c r="A6" s="25"/>
      <c r="B6" s="25"/>
      <c r="C6" s="25"/>
      <c r="D6" s="25"/>
      <c r="E6" s="24"/>
      <c r="F6" s="75" t="s">
        <v>145</v>
      </c>
      <c r="G6" s="75"/>
      <c r="H6" s="18">
        <v>500</v>
      </c>
      <c r="I6" s="25"/>
      <c r="J6" s="38" t="s">
        <v>142</v>
      </c>
      <c r="K6" s="39">
        <f>H7/120</f>
        <v>0.36916666666666664</v>
      </c>
      <c r="L6" s="40">
        <f t="shared" si="0"/>
        <v>7.4344598178907111</v>
      </c>
      <c r="M6" s="25"/>
      <c r="N6" s="25"/>
    </row>
    <row r="7" spans="1:16" x14ac:dyDescent="0.35">
      <c r="A7" s="25"/>
      <c r="B7" s="68" t="s">
        <v>0</v>
      </c>
      <c r="C7" s="68"/>
      <c r="D7" s="68"/>
      <c r="E7" s="24"/>
      <c r="F7" s="75" t="s">
        <v>146</v>
      </c>
      <c r="G7" s="75"/>
      <c r="H7" s="18">
        <v>44.3</v>
      </c>
      <c r="I7" s="25"/>
      <c r="J7" s="38" t="s">
        <v>143</v>
      </c>
      <c r="K7" s="39">
        <f>H8/230</f>
        <v>1.4739130434782609E-2</v>
      </c>
      <c r="L7" s="40">
        <f t="shared" si="0"/>
        <v>0.29682385454096977</v>
      </c>
      <c r="M7" s="25"/>
      <c r="N7" s="25"/>
    </row>
    <row r="8" spans="1:16" x14ac:dyDescent="0.35">
      <c r="A8" s="25"/>
      <c r="B8" s="75" t="s">
        <v>1</v>
      </c>
      <c r="C8" s="75"/>
      <c r="D8" s="19">
        <v>0.15</v>
      </c>
      <c r="E8" s="24"/>
      <c r="F8" s="75" t="s">
        <v>153</v>
      </c>
      <c r="G8" s="75"/>
      <c r="H8" s="18">
        <v>3.39</v>
      </c>
      <c r="I8" s="25"/>
      <c r="J8" s="38" t="s">
        <v>176</v>
      </c>
      <c r="K8" s="39">
        <f>H15/90</f>
        <v>0.34888888888888886</v>
      </c>
      <c r="L8" s="40">
        <f t="shared" si="0"/>
        <v>7.0260959603241027</v>
      </c>
      <c r="M8" s="25"/>
      <c r="N8" s="25"/>
    </row>
    <row r="9" spans="1:16" ht="16.5" customHeight="1" x14ac:dyDescent="0.35">
      <c r="A9" s="25"/>
      <c r="B9" s="75" t="s">
        <v>110</v>
      </c>
      <c r="C9" s="75"/>
      <c r="D9" s="19">
        <v>0.91</v>
      </c>
      <c r="E9" s="34"/>
      <c r="F9" s="75" t="s">
        <v>147</v>
      </c>
      <c r="G9" s="75"/>
      <c r="H9" s="18">
        <v>31.4</v>
      </c>
      <c r="I9" s="25"/>
      <c r="J9" s="38" t="s">
        <v>177</v>
      </c>
      <c r="K9" s="39">
        <f>H16/10</f>
        <v>1.1199999999999999</v>
      </c>
      <c r="L9" s="40">
        <f t="shared" si="0"/>
        <v>22.555110598747437</v>
      </c>
      <c r="M9" s="25"/>
      <c r="N9" s="25"/>
    </row>
    <row r="10" spans="1:16" x14ac:dyDescent="0.35">
      <c r="A10" s="25"/>
      <c r="B10" s="75" t="s">
        <v>2</v>
      </c>
      <c r="C10" s="75"/>
      <c r="D10" s="20" t="s">
        <v>4</v>
      </c>
      <c r="E10" s="25"/>
      <c r="F10" s="75" t="s">
        <v>148</v>
      </c>
      <c r="G10" s="75"/>
      <c r="H10" s="18">
        <v>3.92</v>
      </c>
      <c r="I10" s="25"/>
      <c r="J10" s="38" t="s">
        <v>158</v>
      </c>
      <c r="K10" s="39">
        <f>SUM(K4:K9)</f>
        <v>4.965615198810851</v>
      </c>
      <c r="L10" s="41"/>
      <c r="M10" s="25"/>
      <c r="N10" s="25"/>
    </row>
    <row r="11" spans="1:16" ht="19.8" x14ac:dyDescent="0.35">
      <c r="A11" s="25"/>
      <c r="B11" s="75" t="s">
        <v>111</v>
      </c>
      <c r="C11" s="75"/>
      <c r="D11" s="19">
        <v>2</v>
      </c>
      <c r="E11" s="25"/>
      <c r="F11" s="75" t="s">
        <v>149</v>
      </c>
      <c r="G11" s="75"/>
      <c r="H11" s="18">
        <v>7.4</v>
      </c>
      <c r="I11" s="25"/>
      <c r="J11" s="35"/>
      <c r="K11" s="41"/>
      <c r="L11" s="41"/>
      <c r="M11" s="25"/>
      <c r="N11" s="25"/>
    </row>
    <row r="12" spans="1:16" x14ac:dyDescent="0.35">
      <c r="A12" s="25"/>
      <c r="B12" s="75" t="s">
        <v>123</v>
      </c>
      <c r="C12" s="75"/>
      <c r="D12" s="28">
        <f>D5*D8*D9</f>
        <v>1365</v>
      </c>
      <c r="E12" s="24"/>
      <c r="F12" s="75" t="s">
        <v>150</v>
      </c>
      <c r="G12" s="75"/>
      <c r="H12" s="18">
        <v>2.23</v>
      </c>
      <c r="I12" s="25"/>
      <c r="J12" s="70" t="s">
        <v>184</v>
      </c>
      <c r="K12" s="71"/>
      <c r="L12" s="71"/>
      <c r="M12" s="71"/>
      <c r="N12" s="72"/>
    </row>
    <row r="13" spans="1:16" ht="17.25" customHeight="1" x14ac:dyDescent="0.35">
      <c r="A13" s="25"/>
      <c r="B13" s="63"/>
      <c r="C13" s="63"/>
      <c r="D13" s="24"/>
      <c r="E13" s="24"/>
      <c r="F13" s="75" t="s">
        <v>151</v>
      </c>
      <c r="G13" s="75"/>
      <c r="H13" s="18">
        <v>0.91</v>
      </c>
      <c r="I13" s="25"/>
      <c r="J13" s="64" t="s">
        <v>180</v>
      </c>
      <c r="K13" s="64"/>
      <c r="L13" s="64" t="s">
        <v>159</v>
      </c>
      <c r="M13" s="64"/>
      <c r="N13" s="42" t="s">
        <v>182</v>
      </c>
      <c r="O13" s="74"/>
      <c r="P13" s="63"/>
    </row>
    <row r="14" spans="1:16" x14ac:dyDescent="0.35">
      <c r="A14" s="25"/>
      <c r="B14" s="68" t="s">
        <v>6</v>
      </c>
      <c r="C14" s="68"/>
      <c r="D14" s="68"/>
      <c r="E14" s="24"/>
      <c r="F14" s="75" t="s">
        <v>152</v>
      </c>
      <c r="G14" s="75"/>
      <c r="H14" s="18">
        <v>21.3</v>
      </c>
      <c r="I14" s="25"/>
      <c r="J14" s="65" t="s">
        <v>141</v>
      </c>
      <c r="K14" s="65"/>
      <c r="L14" s="66">
        <f>VLOOKUP($J$14,Hoja1!A16:D17,3,0)</f>
        <v>14.653770984938753</v>
      </c>
      <c r="M14" s="66"/>
      <c r="N14" s="43">
        <f>VLOOKUP($J$14,INCREMENTO[],4,0)</f>
        <v>20</v>
      </c>
    </row>
    <row r="15" spans="1:16" ht="18.75" customHeight="1" x14ac:dyDescent="0.35">
      <c r="A15" s="25"/>
      <c r="B15" s="75" t="s">
        <v>7</v>
      </c>
      <c r="C15" s="75"/>
      <c r="D15" s="21">
        <v>5.0599999999999996</v>
      </c>
      <c r="E15" s="24"/>
      <c r="F15" s="75" t="s">
        <v>154</v>
      </c>
      <c r="G15" s="75"/>
      <c r="H15" s="18">
        <v>31.4</v>
      </c>
      <c r="I15" s="25"/>
      <c r="J15" s="64" t="s">
        <v>173</v>
      </c>
      <c r="K15" s="64"/>
      <c r="L15" s="64" t="s">
        <v>174</v>
      </c>
      <c r="M15" s="64"/>
      <c r="N15" s="44" t="s">
        <v>175</v>
      </c>
    </row>
    <row r="16" spans="1:16" ht="19.8" x14ac:dyDescent="0.35">
      <c r="A16" s="25"/>
      <c r="B16" s="75" t="s">
        <v>112</v>
      </c>
      <c r="C16" s="75"/>
      <c r="D16" s="21">
        <v>1.1000000000000001</v>
      </c>
      <c r="E16" s="24"/>
      <c r="F16" s="75" t="s">
        <v>155</v>
      </c>
      <c r="G16" s="75"/>
      <c r="H16" s="18">
        <v>11.2</v>
      </c>
      <c r="I16" s="25"/>
      <c r="J16" s="69" t="s">
        <v>164</v>
      </c>
      <c r="K16" s="69"/>
      <c r="L16" s="73" t="str">
        <f>VLOOKUP($J$16,ENMIENDA[],2,0)</f>
        <v>CaCO3 MgCO3</v>
      </c>
      <c r="M16" s="73"/>
      <c r="N16" s="45">
        <f>VLOOKUP($J$16,ENMIENDA[],3,0)</f>
        <v>2.5</v>
      </c>
    </row>
    <row r="17" spans="1:25" ht="23.4" x14ac:dyDescent="0.4">
      <c r="A17" s="25"/>
      <c r="B17" s="80" t="s">
        <v>138</v>
      </c>
      <c r="C17" s="81"/>
      <c r="D17" s="29">
        <f>$K$10</f>
        <v>4.965615198810851</v>
      </c>
      <c r="E17" s="24"/>
      <c r="F17" s="25"/>
      <c r="G17" s="25"/>
      <c r="H17" s="25"/>
      <c r="I17" s="25"/>
      <c r="J17" s="67" t="s">
        <v>183</v>
      </c>
      <c r="K17" s="67"/>
      <c r="L17" s="67"/>
      <c r="M17" s="67"/>
      <c r="N17" s="46">
        <f>(((((($L$14*$K$10)/100)*10)*N14)/1000000)*(D12*1000))*$N$16</f>
        <v>496.62104257246392</v>
      </c>
    </row>
    <row r="18" spans="1:25" ht="10.5" customHeight="1" x14ac:dyDescent="0.35">
      <c r="A18" s="25"/>
      <c r="B18" s="63"/>
      <c r="C18" s="63"/>
      <c r="D18" s="30"/>
      <c r="E18" s="24"/>
      <c r="F18" s="25"/>
      <c r="G18" s="25"/>
      <c r="H18" s="25"/>
      <c r="I18" s="25"/>
      <c r="J18" s="25"/>
      <c r="K18" s="25"/>
      <c r="L18" s="25"/>
      <c r="M18" s="25"/>
      <c r="N18" s="25"/>
    </row>
    <row r="19" spans="1:25" ht="20.25" customHeight="1" x14ac:dyDescent="0.35">
      <c r="A19" s="25"/>
      <c r="B19" s="68" t="s">
        <v>137</v>
      </c>
      <c r="C19" s="68"/>
      <c r="D19" s="68"/>
      <c r="E19" s="24"/>
      <c r="F19" s="25"/>
      <c r="G19" s="25"/>
      <c r="H19" s="25"/>
      <c r="I19" s="25"/>
      <c r="J19" s="63"/>
      <c r="K19" s="63"/>
      <c r="L19" s="25"/>
      <c r="M19" s="25"/>
      <c r="N19" s="25"/>
    </row>
    <row r="20" spans="1:25" x14ac:dyDescent="0.35">
      <c r="A20" s="25"/>
      <c r="B20" s="75" t="s">
        <v>135</v>
      </c>
      <c r="C20" s="75"/>
      <c r="D20" s="22">
        <v>1.5</v>
      </c>
      <c r="E20" s="24"/>
      <c r="F20" s="47" t="s">
        <v>185</v>
      </c>
      <c r="G20" s="47"/>
      <c r="H20" s="47"/>
      <c r="I20" s="48"/>
      <c r="J20" s="49"/>
      <c r="K20" s="50"/>
      <c r="L20" s="51" t="str">
        <f>D3</f>
        <v>Naranja</v>
      </c>
      <c r="M20" s="52" t="s">
        <v>186</v>
      </c>
      <c r="N20" s="57">
        <f>D4</f>
        <v>5</v>
      </c>
    </row>
    <row r="21" spans="1:25" ht="18.75" customHeight="1" x14ac:dyDescent="0.35">
      <c r="A21" s="25"/>
      <c r="B21" s="75" t="s">
        <v>136</v>
      </c>
      <c r="C21" s="75"/>
      <c r="D21" s="18">
        <v>0.24</v>
      </c>
      <c r="E21" s="24"/>
      <c r="F21" s="62" t="s">
        <v>189</v>
      </c>
      <c r="G21" s="62"/>
      <c r="H21" s="53" t="s">
        <v>190</v>
      </c>
      <c r="I21" s="60" t="s">
        <v>191</v>
      </c>
      <c r="J21" s="60"/>
      <c r="K21" s="37" t="s">
        <v>192</v>
      </c>
      <c r="L21" s="76" t="s">
        <v>193</v>
      </c>
      <c r="M21" s="76"/>
      <c r="N21" s="55" t="s">
        <v>195</v>
      </c>
    </row>
    <row r="22" spans="1:25" ht="21" x14ac:dyDescent="0.4">
      <c r="A22" s="25"/>
      <c r="B22" s="75" t="s">
        <v>120</v>
      </c>
      <c r="C22" s="75"/>
      <c r="D22" s="18" t="s">
        <v>128</v>
      </c>
      <c r="E22" s="24"/>
      <c r="F22" s="59" t="s">
        <v>187</v>
      </c>
      <c r="G22" s="59"/>
      <c r="H22" s="54">
        <f>VLOOKUP($D$3,CULTIVOS[],3,0)</f>
        <v>5.7</v>
      </c>
      <c r="I22" s="61">
        <f>($H$3/1000000)*($D$12*1000)</f>
        <v>68.25</v>
      </c>
      <c r="J22" s="61"/>
      <c r="K22" s="19">
        <v>40</v>
      </c>
      <c r="L22" s="77">
        <f>(($N$20*$H$22)-($I$22))/($K$22/100)</f>
        <v>-99.375</v>
      </c>
      <c r="M22" s="78"/>
      <c r="N22" s="56">
        <f>IF(L22&gt;1,L22,(N20*H22/2))</f>
        <v>14.25</v>
      </c>
    </row>
    <row r="23" spans="1:25" ht="21" x14ac:dyDescent="0.4">
      <c r="A23" s="25"/>
      <c r="B23" s="75" t="s">
        <v>122</v>
      </c>
      <c r="C23" s="75"/>
      <c r="D23" s="31">
        <f>VLOOKUP($D$22,CARBONO[],2,FALSE)</f>
        <v>30.6</v>
      </c>
      <c r="E23" s="24"/>
      <c r="F23" s="59" t="s">
        <v>188</v>
      </c>
      <c r="G23" s="59"/>
      <c r="H23" s="54">
        <f>VLOOKUP($D$3,CULTIVOS[],4,0)</f>
        <v>0.7</v>
      </c>
      <c r="I23" s="61">
        <f>($H$4/1000000)*($D$12*1000)</f>
        <v>25.730250000000002</v>
      </c>
      <c r="J23" s="61"/>
      <c r="K23" s="19">
        <v>35</v>
      </c>
      <c r="L23" s="77">
        <f>(($N$20*$H$23)-($I$23))/($K$23/100)</f>
        <v>-63.515000000000008</v>
      </c>
      <c r="M23" s="78"/>
      <c r="N23" s="56">
        <f>IF(L23&lt;1,(N20*H23/2),L23)</f>
        <v>1.75</v>
      </c>
    </row>
    <row r="24" spans="1:25" ht="23.4" x14ac:dyDescent="0.4">
      <c r="A24" s="25"/>
      <c r="B24" s="82" t="s">
        <v>178</v>
      </c>
      <c r="C24" s="82"/>
      <c r="D24" s="32">
        <f>((((((D21/1.724)*10000)/1000000)))*(D12*1000)/$D$23)*100</f>
        <v>6209.9085573904731</v>
      </c>
      <c r="E24" s="24"/>
      <c r="F24" s="59" t="s">
        <v>194</v>
      </c>
      <c r="G24" s="59"/>
      <c r="H24" s="54">
        <f>VLOOKUP($D$3,CULTIVOS[],5,0)</f>
        <v>5.3</v>
      </c>
      <c r="I24" s="61">
        <f>($H$5/1000000)*($D$12*1000)</f>
        <v>326.23500000000001</v>
      </c>
      <c r="J24" s="61"/>
      <c r="K24" s="19">
        <v>23</v>
      </c>
      <c r="L24" s="77">
        <f>(($N$20*$H$24)-($I$24))/($K$24/100)</f>
        <v>-1303.195652173913</v>
      </c>
      <c r="M24" s="78"/>
      <c r="N24" s="56">
        <f>IF(L24&lt;1,(N20*H24/2),L24)</f>
        <v>13.25</v>
      </c>
    </row>
    <row r="25" spans="1:25" x14ac:dyDescent="0.35">
      <c r="A25" s="25"/>
      <c r="B25" s="15"/>
      <c r="C25" s="15"/>
      <c r="D25" s="15"/>
      <c r="E25" s="24"/>
      <c r="F25" s="58"/>
      <c r="G25" s="58"/>
      <c r="H25" s="15"/>
      <c r="I25" s="15"/>
      <c r="J25" s="15"/>
      <c r="K25" s="15"/>
      <c r="L25" s="15"/>
      <c r="M25" s="15"/>
      <c r="N25" s="15"/>
    </row>
    <row r="26" spans="1:25" s="26" customFormat="1" x14ac:dyDescent="0.35">
      <c r="A26" s="25"/>
      <c r="B26" s="25"/>
      <c r="C26" s="25"/>
      <c r="D26" s="33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s="25" customFormat="1" x14ac:dyDescent="0.35">
      <c r="E27" s="24"/>
    </row>
    <row r="28" spans="1:25" s="25" customFormat="1" x14ac:dyDescent="0.35">
      <c r="E28" s="24"/>
    </row>
    <row r="29" spans="1:25" s="25" customFormat="1" x14ac:dyDescent="0.35">
      <c r="E29" s="24"/>
    </row>
    <row r="30" spans="1:25" s="25" customFormat="1" x14ac:dyDescent="0.35">
      <c r="E30" s="24"/>
    </row>
    <row r="31" spans="1:25" s="25" customFormat="1" x14ac:dyDescent="0.35">
      <c r="E31" s="24"/>
    </row>
    <row r="32" spans="1:25" s="25" customFormat="1" x14ac:dyDescent="0.35">
      <c r="E32" s="24"/>
    </row>
    <row r="33" spans="5:5" s="25" customFormat="1" x14ac:dyDescent="0.35">
      <c r="E33" s="24"/>
    </row>
    <row r="34" spans="5:5" s="25" customFormat="1" x14ac:dyDescent="0.35">
      <c r="E34" s="24"/>
    </row>
    <row r="35" spans="5:5" s="25" customFormat="1" x14ac:dyDescent="0.35">
      <c r="E35" s="24"/>
    </row>
    <row r="36" spans="5:5" s="25" customFormat="1" x14ac:dyDescent="0.35">
      <c r="E36" s="24"/>
    </row>
    <row r="37" spans="5:5" s="25" customFormat="1" x14ac:dyDescent="0.35">
      <c r="E37" s="24"/>
    </row>
    <row r="38" spans="5:5" s="25" customFormat="1" x14ac:dyDescent="0.35">
      <c r="E38" s="24"/>
    </row>
    <row r="39" spans="5:5" s="25" customFormat="1" x14ac:dyDescent="0.35">
      <c r="E39" s="24"/>
    </row>
    <row r="40" spans="5:5" s="25" customFormat="1" x14ac:dyDescent="0.35">
      <c r="E40" s="24"/>
    </row>
    <row r="41" spans="5:5" s="25" customFormat="1" x14ac:dyDescent="0.35">
      <c r="E41" s="24"/>
    </row>
    <row r="42" spans="5:5" s="25" customFormat="1" x14ac:dyDescent="0.35">
      <c r="E42" s="24"/>
    </row>
    <row r="43" spans="5:5" s="25" customFormat="1" x14ac:dyDescent="0.35">
      <c r="E43" s="24"/>
    </row>
    <row r="44" spans="5:5" s="25" customFormat="1" x14ac:dyDescent="0.35">
      <c r="E44" s="24"/>
    </row>
    <row r="45" spans="5:5" s="25" customFormat="1" x14ac:dyDescent="0.35">
      <c r="E45" s="24"/>
    </row>
    <row r="46" spans="5:5" s="25" customFormat="1" x14ac:dyDescent="0.35">
      <c r="E46" s="24"/>
    </row>
    <row r="47" spans="5:5" s="25" customFormat="1" x14ac:dyDescent="0.35">
      <c r="E47" s="24"/>
    </row>
    <row r="48" spans="5:5" s="25" customFormat="1" x14ac:dyDescent="0.35">
      <c r="E48" s="24"/>
    </row>
    <row r="49" spans="5:5" s="25" customFormat="1" x14ac:dyDescent="0.35">
      <c r="E49" s="24"/>
    </row>
    <row r="50" spans="5:5" s="25" customFormat="1" x14ac:dyDescent="0.35">
      <c r="E50" s="24"/>
    </row>
    <row r="51" spans="5:5" s="25" customFormat="1" x14ac:dyDescent="0.35">
      <c r="E51" s="24"/>
    </row>
    <row r="52" spans="5:5" s="25" customFormat="1" x14ac:dyDescent="0.35">
      <c r="E52" s="24"/>
    </row>
    <row r="53" spans="5:5" s="25" customFormat="1" x14ac:dyDescent="0.35">
      <c r="E53" s="24"/>
    </row>
    <row r="54" spans="5:5" s="25" customFormat="1" x14ac:dyDescent="0.35">
      <c r="E54" s="24"/>
    </row>
    <row r="55" spans="5:5" s="25" customFormat="1" x14ac:dyDescent="0.35">
      <c r="E55" s="24"/>
    </row>
    <row r="56" spans="5:5" s="25" customFormat="1" x14ac:dyDescent="0.35">
      <c r="E56" s="24"/>
    </row>
    <row r="57" spans="5:5" s="25" customFormat="1" x14ac:dyDescent="0.35">
      <c r="E57" s="24"/>
    </row>
    <row r="58" spans="5:5" s="25" customFormat="1" x14ac:dyDescent="0.35">
      <c r="E58" s="24"/>
    </row>
    <row r="59" spans="5:5" s="25" customFormat="1" x14ac:dyDescent="0.35">
      <c r="E59" s="24"/>
    </row>
    <row r="60" spans="5:5" s="25" customFormat="1" x14ac:dyDescent="0.35">
      <c r="E60" s="24"/>
    </row>
    <row r="61" spans="5:5" s="25" customFormat="1" x14ac:dyDescent="0.35">
      <c r="E61" s="24"/>
    </row>
    <row r="62" spans="5:5" s="25" customFormat="1" x14ac:dyDescent="0.35">
      <c r="E62" s="24"/>
    </row>
    <row r="63" spans="5:5" s="25" customFormat="1" x14ac:dyDescent="0.35">
      <c r="E63" s="24"/>
    </row>
    <row r="64" spans="5:5" s="25" customFormat="1" x14ac:dyDescent="0.35">
      <c r="E64" s="24"/>
    </row>
    <row r="65" spans="5:5" s="25" customFormat="1" x14ac:dyDescent="0.35">
      <c r="E65" s="24"/>
    </row>
    <row r="66" spans="5:5" s="25" customFormat="1" x14ac:dyDescent="0.35">
      <c r="E66" s="24"/>
    </row>
  </sheetData>
  <mergeCells count="64">
    <mergeCell ref="L21:M21"/>
    <mergeCell ref="L22:M22"/>
    <mergeCell ref="L23:M23"/>
    <mergeCell ref="L24:M24"/>
    <mergeCell ref="B1:N1"/>
    <mergeCell ref="B11:C11"/>
    <mergeCell ref="B14:D14"/>
    <mergeCell ref="B15:C15"/>
    <mergeCell ref="B17:C17"/>
    <mergeCell ref="B19:D19"/>
    <mergeCell ref="B13:C13"/>
    <mergeCell ref="B18:C18"/>
    <mergeCell ref="B24:C24"/>
    <mergeCell ref="B12:C12"/>
    <mergeCell ref="B21:C21"/>
    <mergeCell ref="B22:C22"/>
    <mergeCell ref="B23:C23"/>
    <mergeCell ref="B16:C16"/>
    <mergeCell ref="B20:C20"/>
    <mergeCell ref="B2:D2"/>
    <mergeCell ref="B10:C10"/>
    <mergeCell ref="B3:C3"/>
    <mergeCell ref="B4:C4"/>
    <mergeCell ref="B5:C5"/>
    <mergeCell ref="B7:D7"/>
    <mergeCell ref="B8:C8"/>
    <mergeCell ref="B9:C9"/>
    <mergeCell ref="F2:H2"/>
    <mergeCell ref="F3:G3"/>
    <mergeCell ref="F4:G4"/>
    <mergeCell ref="F5:G5"/>
    <mergeCell ref="F6:G6"/>
    <mergeCell ref="F16:G16"/>
    <mergeCell ref="F7:G7"/>
    <mergeCell ref="F8:G8"/>
    <mergeCell ref="F9:G9"/>
    <mergeCell ref="F10:G10"/>
    <mergeCell ref="F11:G11"/>
    <mergeCell ref="O13:P13"/>
    <mergeCell ref="F12:G12"/>
    <mergeCell ref="F13:G13"/>
    <mergeCell ref="F14:G14"/>
    <mergeCell ref="F15:G15"/>
    <mergeCell ref="J2:L2"/>
    <mergeCell ref="J16:K16"/>
    <mergeCell ref="J15:K15"/>
    <mergeCell ref="J12:N12"/>
    <mergeCell ref="L16:M16"/>
    <mergeCell ref="L15:M15"/>
    <mergeCell ref="J19:K19"/>
    <mergeCell ref="J13:K13"/>
    <mergeCell ref="L13:M13"/>
    <mergeCell ref="J14:K14"/>
    <mergeCell ref="L14:M14"/>
    <mergeCell ref="J17:M17"/>
    <mergeCell ref="F25:G25"/>
    <mergeCell ref="F23:G23"/>
    <mergeCell ref="F24:G24"/>
    <mergeCell ref="I21:J21"/>
    <mergeCell ref="I22:J22"/>
    <mergeCell ref="I23:J23"/>
    <mergeCell ref="I24:J24"/>
    <mergeCell ref="F21:G21"/>
    <mergeCell ref="F22:G22"/>
  </mergeCells>
  <conditionalFormatting sqref="D11">
    <cfRule type="cellIs" dxfId="38" priority="46" operator="between">
      <formula>0</formula>
      <formula>0</formula>
    </cfRule>
    <cfRule type="cellIs" dxfId="37" priority="43" operator="between">
      <formula>6.1</formula>
      <formula>100</formula>
    </cfRule>
    <cfRule type="cellIs" dxfId="36" priority="44" operator="between">
      <formula>2.1</formula>
      <formula>6</formula>
    </cfRule>
    <cfRule type="cellIs" dxfId="35" priority="45" operator="between">
      <formula>0.1</formula>
      <formula>2</formula>
    </cfRule>
  </conditionalFormatting>
  <conditionalFormatting sqref="D15">
    <cfRule type="cellIs" dxfId="34" priority="39" operator="between">
      <formula>7.3</formula>
      <formula>14</formula>
    </cfRule>
    <cfRule type="cellIs" dxfId="33" priority="40" operator="between">
      <formula>6.8</formula>
      <formula>7.2</formula>
    </cfRule>
    <cfRule type="cellIs" dxfId="32" priority="41" operator="between">
      <formula>0</formula>
      <formula>0</formula>
    </cfRule>
    <cfRule type="cellIs" dxfId="31" priority="42" operator="between">
      <formula>0.1</formula>
      <formula>6.8</formula>
    </cfRule>
  </conditionalFormatting>
  <conditionalFormatting sqref="D16">
    <cfRule type="cellIs" dxfId="30" priority="37" operator="between">
      <formula>0.1</formula>
      <formula>1</formula>
    </cfRule>
    <cfRule type="cellIs" dxfId="29" priority="36" operator="between">
      <formula>1</formula>
      <formula>2</formula>
    </cfRule>
    <cfRule type="cellIs" dxfId="28" priority="34" operator="between">
      <formula>2.1</formula>
      <formula>16</formula>
    </cfRule>
    <cfRule type="cellIs" dxfId="27" priority="38" operator="between">
      <formula>0</formula>
      <formula>0</formula>
    </cfRule>
  </conditionalFormatting>
  <conditionalFormatting sqref="D20">
    <cfRule type="cellIs" dxfId="26" priority="32" operator="between">
      <formula>0.1</formula>
      <formula>1.5</formula>
    </cfRule>
    <cfRule type="cellIs" dxfId="25" priority="31" operator="between">
      <formula>1.6</formula>
      <formula>15</formula>
    </cfRule>
    <cfRule type="cellIs" dxfId="24" priority="33" operator="between">
      <formula>0</formula>
      <formula>0</formula>
    </cfRule>
  </conditionalFormatting>
  <conditionalFormatting sqref="H9">
    <cfRule type="cellIs" dxfId="23" priority="14" operator="between">
      <formula>3.1</formula>
      <formula>50</formula>
    </cfRule>
    <cfRule type="cellIs" dxfId="22" priority="15" operator="between">
      <formula>0</formula>
      <formula>3</formula>
    </cfRule>
  </conditionalFormatting>
  <conditionalFormatting sqref="H9:H11">
    <cfRule type="cellIs" dxfId="21" priority="9" operator="between">
      <formula>0</formula>
      <formula>0</formula>
    </cfRule>
  </conditionalFormatting>
  <conditionalFormatting sqref="H10">
    <cfRule type="cellIs" dxfId="20" priority="12" operator="between">
      <formula>1.1</formula>
      <formula>50</formula>
    </cfRule>
    <cfRule type="cellIs" dxfId="19" priority="13" operator="between">
      <formula>0</formula>
      <formula>1</formula>
    </cfRule>
  </conditionalFormatting>
  <conditionalFormatting sqref="H11">
    <cfRule type="cellIs" dxfId="18" priority="7" operator="between">
      <formula>1.6</formula>
      <formula>50</formula>
    </cfRule>
    <cfRule type="cellIs" dxfId="17" priority="8" operator="between">
      <formula>0.01</formula>
      <formula>1.5</formula>
    </cfRule>
  </conditionalFormatting>
  <conditionalFormatting sqref="H12">
    <cfRule type="cellIs" dxfId="16" priority="4" operator="between">
      <formula>0.5</formula>
      <formula>50</formula>
    </cfRule>
    <cfRule type="cellIs" dxfId="15" priority="5" operator="between">
      <formula>0.01</formula>
      <formula>0.4</formula>
    </cfRule>
    <cfRule type="cellIs" dxfId="14" priority="6" operator="between">
      <formula>0</formula>
      <formula>0</formula>
    </cfRule>
  </conditionalFormatting>
  <conditionalFormatting sqref="H13">
    <cfRule type="cellIs" dxfId="13" priority="1" operator="between">
      <formula>0.6</formula>
      <formula>50</formula>
    </cfRule>
    <cfRule type="cellIs" dxfId="12" priority="2" operator="between">
      <formula>0.01</formula>
      <formula>0.5</formula>
    </cfRule>
    <cfRule type="cellIs" dxfId="11" priority="3" operator="between">
      <formula>0</formula>
      <formula>0</formula>
    </cfRule>
  </conditionalFormatting>
  <conditionalFormatting sqref="L4">
    <cfRule type="cellIs" dxfId="10" priority="28" operator="between">
      <formula>7.1</formula>
      <formula>30</formula>
    </cfRule>
    <cfRule type="cellIs" dxfId="9" priority="29" operator="between">
      <formula>5</formula>
      <formula>7</formula>
    </cfRule>
    <cfRule type="cellIs" dxfId="8" priority="30" operator="between">
      <formula>0</formula>
      <formula>4.9</formula>
    </cfRule>
  </conditionalFormatting>
  <conditionalFormatting sqref="L5">
    <cfRule type="cellIs" dxfId="7" priority="27" operator="between">
      <formula>0</formula>
      <formula>64</formula>
    </cfRule>
    <cfRule type="cellIs" dxfId="6" priority="25" operator="between">
      <formula>76</formula>
      <formula>200</formula>
    </cfRule>
    <cfRule type="cellIs" dxfId="5" priority="26" operator="between">
      <formula>65</formula>
      <formula>75</formula>
    </cfRule>
  </conditionalFormatting>
  <conditionalFormatting sqref="L6">
    <cfRule type="cellIs" dxfId="4" priority="24" operator="between">
      <formula>0</formula>
      <formula>9</formula>
    </cfRule>
    <cfRule type="cellIs" dxfId="3" priority="23" operator="between">
      <formula>10</formula>
      <formula>20</formula>
    </cfRule>
    <cfRule type="cellIs" dxfId="2" priority="22" operator="between">
      <formula>21</formula>
      <formula>100</formula>
    </cfRule>
  </conditionalFormatting>
  <conditionalFormatting sqref="L7:L9">
    <cfRule type="cellIs" dxfId="1" priority="17" operator="between">
      <formula>0</formula>
      <formula>0</formula>
    </cfRule>
    <cfRule type="cellIs" dxfId="0" priority="16" operator="between">
      <formula>0.1</formula>
      <formula>100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Hoja1!$A$1:$A$4</xm:f>
          </x14:formula1>
          <xm:sqref>D10</xm:sqref>
        </x14:dataValidation>
        <x14:dataValidation type="list" allowBlank="1" showInputMessage="1" showErrorMessage="1" xr:uid="{00000000-0002-0000-0100-000001000000}">
          <x14:formula1>
            <xm:f>Hoja1!$E$53:$E$62</xm:f>
          </x14:formula1>
          <xm:sqref>D22</xm:sqref>
        </x14:dataValidation>
        <x14:dataValidation type="list" allowBlank="1" showInputMessage="1" showErrorMessage="1" xr:uid="{00000000-0002-0000-0100-000002000000}">
          <x14:formula1>
            <xm:f>Hoja1!$E$65:$E$70</xm:f>
          </x14:formula1>
          <xm:sqref>J16</xm:sqref>
        </x14:dataValidation>
        <x14:dataValidation type="list" allowBlank="1" showInputMessage="1" showErrorMessage="1" xr:uid="{00000000-0002-0000-0100-000003000000}">
          <x14:formula1>
            <xm:f>Hoja1!$A$16:$A$17</xm:f>
          </x14:formula1>
          <xm:sqref>J14:K14</xm:sqref>
        </x14:dataValidation>
        <x14:dataValidation type="list" allowBlank="1" showInputMessage="1" showErrorMessage="1" xr:uid="{00000000-0002-0000-0100-000004000000}">
          <x14:formula1>
            <xm:f>Hoja1!$E$3:$E$49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EFB2-84BE-4821-AF26-A13480E0341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FERTILIZACION1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Equipo12</dc:creator>
  <cp:lastModifiedBy>javier rosas</cp:lastModifiedBy>
  <dcterms:created xsi:type="dcterms:W3CDTF">2019-05-22T18:38:16Z</dcterms:created>
  <dcterms:modified xsi:type="dcterms:W3CDTF">2023-11-27T18:27:21Z</dcterms:modified>
</cp:coreProperties>
</file>