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400" windowHeight="3555" activeTab="1"/>
  </bookViews>
  <sheets>
    <sheet name="Chart" sheetId="5" r:id="rId1"/>
    <sheet name="CTF Monitor" sheetId="4" r:id="rId2"/>
    <sheet name="Data" sheetId="3" r:id="rId3"/>
    <sheet name="Version" sheetId="6" r:id="rId4"/>
  </sheets>
  <calcPr calcId="145621" calcOnSave="0"/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S22" i="3"/>
  <c r="N21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23" i="3"/>
  <c r="A22" i="3"/>
  <c r="N16" i="3"/>
  <c r="W8" i="3"/>
  <c r="W7" i="3"/>
  <c r="W6" i="3"/>
  <c r="V4" i="3"/>
  <c r="W4" i="3" s="1"/>
  <c r="V5" i="3"/>
  <c r="W5" i="3" s="1"/>
  <c r="V6" i="3"/>
  <c r="V7" i="3"/>
  <c r="V8" i="3"/>
  <c r="U6" i="3"/>
  <c r="U7" i="3"/>
  <c r="U8" i="3"/>
  <c r="I3" i="3"/>
  <c r="P13" i="3"/>
  <c r="V3" i="3" l="1"/>
  <c r="W3" i="3" s="1"/>
  <c r="J75" i="3"/>
  <c r="J76" i="3"/>
  <c r="J77" i="3"/>
  <c r="J78" i="3"/>
  <c r="J79" i="3"/>
  <c r="J80" i="3"/>
  <c r="J81" i="3"/>
  <c r="J82" i="3"/>
  <c r="J83" i="3"/>
  <c r="J84" i="3"/>
  <c r="K75" i="3"/>
  <c r="K76" i="3"/>
  <c r="K77" i="3"/>
  <c r="K78" i="3"/>
  <c r="K79" i="3"/>
  <c r="K80" i="3"/>
  <c r="K81" i="3"/>
  <c r="K82" i="3"/>
  <c r="K83" i="3"/>
  <c r="K84" i="3"/>
  <c r="K74" i="3"/>
  <c r="L4" i="4"/>
  <c r="U2" i="3"/>
  <c r="D74" i="3"/>
  <c r="J74" i="3" l="1"/>
  <c r="A1" i="5"/>
  <c r="C55" i="3" l="1"/>
  <c r="C54" i="3"/>
  <c r="C53" i="3"/>
  <c r="C52" i="3"/>
  <c r="J55" i="3"/>
  <c r="T55" i="3" s="1"/>
  <c r="J54" i="3"/>
  <c r="T54" i="3" s="1"/>
  <c r="J53" i="3"/>
  <c r="T53" i="3" s="1"/>
  <c r="J52" i="3"/>
  <c r="T52" i="3" s="1"/>
  <c r="B53" i="3"/>
  <c r="D53" i="3" s="1"/>
  <c r="L53" i="3"/>
  <c r="B54" i="3"/>
  <c r="D54" i="3" s="1"/>
  <c r="L54" i="3"/>
  <c r="B55" i="3"/>
  <c r="D55" i="3" s="1"/>
  <c r="L55" i="3"/>
  <c r="L52" i="3"/>
  <c r="AH53" i="3"/>
  <c r="G55" i="3"/>
  <c r="U54" i="3"/>
  <c r="G53" i="3"/>
  <c r="O53" i="3"/>
  <c r="O54" i="3"/>
  <c r="AH55" i="3"/>
  <c r="AH54" i="3"/>
  <c r="E54" i="3"/>
  <c r="H53" i="3"/>
  <c r="H55" i="3"/>
  <c r="U53" i="3"/>
  <c r="U55" i="3"/>
  <c r="F55" i="3"/>
  <c r="H54" i="3"/>
  <c r="E55" i="3"/>
  <c r="G54" i="3"/>
  <c r="F53" i="3"/>
  <c r="O55" i="3"/>
  <c r="F54" i="3"/>
  <c r="E53" i="3"/>
  <c r="AV53" i="3" l="1"/>
  <c r="AW53" i="3" s="1"/>
  <c r="AV55" i="3"/>
  <c r="AW55" i="3" s="1"/>
  <c r="AV54" i="3"/>
  <c r="AW54" i="3" s="1"/>
  <c r="B52" i="3"/>
  <c r="D52" i="3" s="1"/>
  <c r="G52" i="3"/>
  <c r="E52" i="3"/>
  <c r="AH52" i="3"/>
  <c r="U52" i="3"/>
  <c r="F52" i="3"/>
  <c r="H52" i="3"/>
  <c r="O52" i="3"/>
  <c r="AV52" i="3" l="1"/>
  <c r="AW52" i="3" s="1"/>
  <c r="A15" i="4"/>
  <c r="A16" i="4"/>
  <c r="A17" i="4"/>
  <c r="A18" i="4"/>
  <c r="A19" i="4"/>
  <c r="A20" i="4"/>
  <c r="A21" i="4"/>
  <c r="A14" i="4"/>
  <c r="M21" i="3"/>
  <c r="B10" i="3"/>
  <c r="N5" i="4" l="1"/>
  <c r="N7" i="4"/>
  <c r="N6" i="4"/>
  <c r="M5" i="4"/>
  <c r="M6" i="4"/>
  <c r="M7" i="4"/>
  <c r="J21" i="3"/>
  <c r="C21" i="3"/>
  <c r="B31" i="3"/>
  <c r="B51" i="3"/>
  <c r="B38" i="3"/>
  <c r="B30" i="3"/>
  <c r="B40" i="3"/>
  <c r="B32" i="3"/>
  <c r="B43" i="3"/>
  <c r="B45" i="3"/>
  <c r="B25" i="3"/>
  <c r="B48" i="3"/>
  <c r="B50" i="3"/>
  <c r="B22" i="3"/>
  <c r="B27" i="3"/>
  <c r="B47" i="3"/>
  <c r="B35" i="3"/>
  <c r="B36" i="3"/>
  <c r="B49" i="3"/>
  <c r="B24" i="3"/>
  <c r="B23" i="3"/>
  <c r="B44" i="3"/>
  <c r="B41" i="3"/>
  <c r="B39" i="3"/>
  <c r="B37" i="3"/>
  <c r="B33" i="3"/>
  <c r="B29" i="3"/>
  <c r="B34" i="3"/>
  <c r="B42" i="3"/>
  <c r="B26" i="3"/>
  <c r="I48" i="3"/>
  <c r="B28" i="3"/>
  <c r="B46" i="3"/>
  <c r="AU48" i="3" l="1"/>
  <c r="D28" i="3" l="1"/>
  <c r="C28" i="3"/>
  <c r="D42" i="3"/>
  <c r="C42" i="3"/>
  <c r="C25" i="3"/>
  <c r="D25" i="3"/>
  <c r="D31" i="3"/>
  <c r="C31" i="3"/>
  <c r="D23" i="3"/>
  <c r="C23" i="3"/>
  <c r="D22" i="3"/>
  <c r="C22" i="3"/>
  <c r="C45" i="3"/>
  <c r="D45" i="3"/>
  <c r="C43" i="3"/>
  <c r="D43" i="3"/>
  <c r="C24" i="3"/>
  <c r="D24" i="3"/>
  <c r="D44" i="3"/>
  <c r="C44" i="3"/>
  <c r="C29" i="3"/>
  <c r="D29" i="3"/>
  <c r="C47" i="3"/>
  <c r="D47" i="3"/>
  <c r="D39" i="3"/>
  <c r="C39" i="3"/>
  <c r="D27" i="3"/>
  <c r="C27" i="3"/>
  <c r="C46" i="3"/>
  <c r="D46" i="3"/>
  <c r="C50" i="3"/>
  <c r="D50" i="3"/>
  <c r="D38" i="3"/>
  <c r="C38" i="3"/>
  <c r="C32" i="3"/>
  <c r="D32" i="3"/>
  <c r="D40" i="3"/>
  <c r="C40" i="3"/>
  <c r="D49" i="3"/>
  <c r="C49" i="3"/>
  <c r="D30" i="3"/>
  <c r="C30" i="3"/>
  <c r="D41" i="3"/>
  <c r="C41" i="3"/>
  <c r="D35" i="3"/>
  <c r="C35" i="3"/>
  <c r="D26" i="3"/>
  <c r="C26" i="3"/>
  <c r="C37" i="3"/>
  <c r="D37" i="3"/>
  <c r="C34" i="3"/>
  <c r="D34" i="3"/>
  <c r="C51" i="3"/>
  <c r="D51" i="3"/>
  <c r="C33" i="3"/>
  <c r="D33" i="3"/>
  <c r="D48" i="3"/>
  <c r="C48" i="3"/>
  <c r="C36" i="3"/>
  <c r="D36" i="3"/>
  <c r="I82" i="3"/>
  <c r="I84" i="3"/>
  <c r="I83" i="3"/>
  <c r="E28" i="3"/>
  <c r="O32" i="3"/>
  <c r="F39" i="3"/>
  <c r="K25" i="3"/>
  <c r="K33" i="3"/>
  <c r="O30" i="3"/>
  <c r="G44" i="3"/>
  <c r="K47" i="3"/>
  <c r="I27" i="3"/>
  <c r="G30" i="3"/>
  <c r="AH24" i="3"/>
  <c r="G42" i="3"/>
  <c r="K43" i="3"/>
  <c r="J22" i="3"/>
  <c r="I24" i="3"/>
  <c r="O44" i="3"/>
  <c r="F46" i="3"/>
  <c r="J23" i="3"/>
  <c r="AH36" i="3"/>
  <c r="E45" i="3"/>
  <c r="K40" i="3"/>
  <c r="M51" i="3"/>
  <c r="J43" i="3"/>
  <c r="G38" i="3"/>
  <c r="G25" i="3"/>
  <c r="F22" i="3"/>
  <c r="G22" i="3"/>
  <c r="I28" i="3"/>
  <c r="M35" i="3"/>
  <c r="I43" i="3"/>
  <c r="AH40" i="3"/>
  <c r="G24" i="3"/>
  <c r="M38" i="3"/>
  <c r="E47" i="3"/>
  <c r="L46" i="3"/>
  <c r="L38" i="3"/>
  <c r="K35" i="3"/>
  <c r="L32" i="3"/>
  <c r="U36" i="3"/>
  <c r="F37" i="3"/>
  <c r="AH39" i="3"/>
  <c r="I31" i="3"/>
  <c r="J29" i="3"/>
  <c r="AH34" i="3"/>
  <c r="E32" i="3"/>
  <c r="U24" i="3"/>
  <c r="J25" i="3"/>
  <c r="K44" i="3"/>
  <c r="L42" i="3"/>
  <c r="I47" i="3"/>
  <c r="K26" i="3"/>
  <c r="L28" i="3"/>
  <c r="E46" i="3"/>
  <c r="E24" i="3"/>
  <c r="L36" i="3"/>
  <c r="M31" i="3"/>
  <c r="AH45" i="3"/>
  <c r="U46" i="3"/>
  <c r="G33" i="3"/>
  <c r="H44" i="3"/>
  <c r="G37" i="3"/>
  <c r="I26" i="3"/>
  <c r="U32" i="3"/>
  <c r="U48" i="3"/>
  <c r="L40" i="3"/>
  <c r="U35" i="3"/>
  <c r="J47" i="3"/>
  <c r="AH35" i="3"/>
  <c r="AH43" i="3"/>
  <c r="L25" i="3"/>
  <c r="G47" i="3"/>
  <c r="U47" i="3"/>
  <c r="M33" i="3"/>
  <c r="U43" i="3"/>
  <c r="I30" i="3"/>
  <c r="I38" i="3"/>
  <c r="L49" i="3"/>
  <c r="F23" i="3"/>
  <c r="I35" i="3"/>
  <c r="F27" i="3"/>
  <c r="M28" i="3"/>
  <c r="F34" i="3"/>
  <c r="O49" i="3"/>
  <c r="K36" i="3"/>
  <c r="U38" i="3"/>
  <c r="L47" i="3"/>
  <c r="U49" i="3"/>
  <c r="E44" i="3"/>
  <c r="H30" i="3"/>
  <c r="L26" i="3"/>
  <c r="F42" i="3"/>
  <c r="G39" i="3"/>
  <c r="M26" i="3"/>
  <c r="O51" i="3"/>
  <c r="AH47" i="3"/>
  <c r="L51" i="3"/>
  <c r="M25" i="3"/>
  <c r="I25" i="3"/>
  <c r="AH31" i="3"/>
  <c r="F51" i="3"/>
  <c r="I32" i="3"/>
  <c r="I37" i="3"/>
  <c r="AH46" i="3"/>
  <c r="AH27" i="3"/>
  <c r="E38" i="3"/>
  <c r="E40" i="3"/>
  <c r="J24" i="3"/>
  <c r="F36" i="3"/>
  <c r="I50" i="3"/>
  <c r="L34" i="3"/>
  <c r="G40" i="3"/>
  <c r="I49" i="3"/>
  <c r="G48" i="3"/>
  <c r="F29" i="3"/>
  <c r="M46" i="3"/>
  <c r="H34" i="3"/>
  <c r="E25" i="3"/>
  <c r="L39" i="3"/>
  <c r="K42" i="3"/>
  <c r="G31" i="3"/>
  <c r="O27" i="3"/>
  <c r="I23" i="3"/>
  <c r="K34" i="3"/>
  <c r="O45" i="3"/>
  <c r="U41" i="3"/>
  <c r="J32" i="3"/>
  <c r="G28" i="3"/>
  <c r="F43" i="3"/>
  <c r="G50" i="3"/>
  <c r="AH50" i="3"/>
  <c r="K45" i="3"/>
  <c r="H29" i="3"/>
  <c r="K49" i="3"/>
  <c r="J45" i="3"/>
  <c r="O33" i="3"/>
  <c r="K32" i="3"/>
  <c r="H32" i="3"/>
  <c r="H24" i="3"/>
  <c r="AH49" i="3"/>
  <c r="E31" i="3"/>
  <c r="L23" i="3"/>
  <c r="F31" i="3"/>
  <c r="K22" i="3"/>
  <c r="L22" i="3"/>
  <c r="M44" i="3"/>
  <c r="L27" i="3"/>
  <c r="O25" i="3"/>
  <c r="O29" i="3"/>
  <c r="M36" i="3"/>
  <c r="U40" i="3"/>
  <c r="AH48" i="3"/>
  <c r="J27" i="3"/>
  <c r="K31" i="3"/>
  <c r="F47" i="3"/>
  <c r="G27" i="3"/>
  <c r="H48" i="3"/>
  <c r="L48" i="3"/>
  <c r="AH51" i="3"/>
  <c r="K24" i="3"/>
  <c r="L29" i="3"/>
  <c r="AH41" i="3"/>
  <c r="I45" i="3"/>
  <c r="K27" i="3"/>
  <c r="M32" i="3"/>
  <c r="G51" i="3"/>
  <c r="M39" i="3"/>
  <c r="J44" i="3"/>
  <c r="G32" i="3"/>
  <c r="J46" i="3"/>
  <c r="I33" i="3"/>
  <c r="F48" i="3"/>
  <c r="F32" i="3"/>
  <c r="H49" i="3"/>
  <c r="E33" i="3"/>
  <c r="O23" i="3"/>
  <c r="I29" i="3"/>
  <c r="AH37" i="3"/>
  <c r="H35" i="3"/>
  <c r="M41" i="3"/>
  <c r="F28" i="3"/>
  <c r="U34" i="3"/>
  <c r="G41" i="3"/>
  <c r="I76" i="3"/>
  <c r="E27" i="3"/>
  <c r="AH29" i="3"/>
  <c r="I41" i="3"/>
  <c r="I36" i="3"/>
  <c r="H43" i="3"/>
  <c r="K41" i="3"/>
  <c r="L37" i="3"/>
  <c r="K30" i="3"/>
  <c r="H23" i="3"/>
  <c r="J41" i="3"/>
  <c r="I42" i="3"/>
  <c r="G34" i="3"/>
  <c r="E41" i="3"/>
  <c r="F24" i="3"/>
  <c r="K50" i="3"/>
  <c r="G45" i="3"/>
  <c r="M40" i="3"/>
  <c r="E29" i="3"/>
  <c r="U42" i="3"/>
  <c r="M49" i="3"/>
  <c r="O39" i="3"/>
  <c r="U23" i="3"/>
  <c r="F44" i="3"/>
  <c r="F40" i="3"/>
  <c r="O35" i="3"/>
  <c r="O34" i="3"/>
  <c r="K28" i="3"/>
  <c r="M50" i="3"/>
  <c r="U22" i="3"/>
  <c r="I40" i="3"/>
  <c r="H45" i="3"/>
  <c r="E49" i="3"/>
  <c r="J33" i="3"/>
  <c r="U50" i="3"/>
  <c r="AH28" i="3"/>
  <c r="E30" i="3"/>
  <c r="E37" i="3"/>
  <c r="AH30" i="3"/>
  <c r="E36" i="3"/>
  <c r="F25" i="3"/>
  <c r="M22" i="3"/>
  <c r="G46" i="3"/>
  <c r="M24" i="3"/>
  <c r="AH23" i="3"/>
  <c r="J48" i="3"/>
  <c r="M43" i="3"/>
  <c r="H33" i="3"/>
  <c r="O24" i="3"/>
  <c r="H50" i="3"/>
  <c r="U39" i="3"/>
  <c r="I34" i="3"/>
  <c r="U26" i="3"/>
  <c r="AH42" i="3"/>
  <c r="H27" i="3"/>
  <c r="J40" i="3"/>
  <c r="AH44" i="3"/>
  <c r="I39" i="3"/>
  <c r="H31" i="3"/>
  <c r="O43" i="3"/>
  <c r="J39" i="3"/>
  <c r="U37" i="3"/>
  <c r="I44" i="3"/>
  <c r="AH32" i="3"/>
  <c r="I46" i="3"/>
  <c r="M47" i="3"/>
  <c r="O22" i="3"/>
  <c r="R22" i="3" s="1"/>
  <c r="X22" i="3" s="1"/>
  <c r="O48" i="3"/>
  <c r="H46" i="3"/>
  <c r="U44" i="3"/>
  <c r="H41" i="3"/>
  <c r="G43" i="3"/>
  <c r="E35" i="3"/>
  <c r="M30" i="3"/>
  <c r="E34" i="3"/>
  <c r="G23" i="3"/>
  <c r="G26" i="3"/>
  <c r="L24" i="3"/>
  <c r="J28" i="3"/>
  <c r="E26" i="3"/>
  <c r="F41" i="3"/>
  <c r="AH26" i="3"/>
  <c r="H39" i="3"/>
  <c r="L33" i="3"/>
  <c r="H28" i="3"/>
  <c r="I22" i="3"/>
  <c r="M48" i="3"/>
  <c r="H40" i="3"/>
  <c r="H36" i="3"/>
  <c r="O50" i="3"/>
  <c r="U4" i="3"/>
  <c r="I74" i="3"/>
  <c r="O38" i="3"/>
  <c r="AH22" i="3"/>
  <c r="L45" i="3"/>
  <c r="O36" i="3"/>
  <c r="O41" i="3"/>
  <c r="L41" i="3"/>
  <c r="F26" i="3"/>
  <c r="G36" i="3"/>
  <c r="K48" i="3"/>
  <c r="J35" i="3"/>
  <c r="E22" i="3"/>
  <c r="J26" i="3"/>
  <c r="G35" i="3"/>
  <c r="J49" i="3"/>
  <c r="G29" i="3"/>
  <c r="F38" i="3"/>
  <c r="E50" i="3"/>
  <c r="K29" i="3"/>
  <c r="E48" i="3"/>
  <c r="M34" i="3"/>
  <c r="U27" i="3"/>
  <c r="E42" i="3"/>
  <c r="E51" i="3"/>
  <c r="O26" i="3"/>
  <c r="U31" i="3"/>
  <c r="L43" i="3"/>
  <c r="H51" i="3"/>
  <c r="M42" i="3"/>
  <c r="K46" i="3"/>
  <c r="F45" i="3"/>
  <c r="M37" i="3"/>
  <c r="F30" i="3"/>
  <c r="U45" i="3"/>
  <c r="L35" i="3"/>
  <c r="U33" i="3"/>
  <c r="J31" i="3"/>
  <c r="U25" i="3"/>
  <c r="J37" i="3"/>
  <c r="O42" i="3"/>
  <c r="G49" i="3"/>
  <c r="J30" i="3"/>
  <c r="K38" i="3"/>
  <c r="O28" i="3"/>
  <c r="J38" i="3"/>
  <c r="AH33" i="3"/>
  <c r="J36" i="3"/>
  <c r="E23" i="3"/>
  <c r="L31" i="3"/>
  <c r="H22" i="3"/>
  <c r="L30" i="3"/>
  <c r="AH25" i="3"/>
  <c r="M27" i="3"/>
  <c r="K37" i="3"/>
  <c r="O47" i="3"/>
  <c r="F50" i="3"/>
  <c r="J51" i="3"/>
  <c r="U30" i="3"/>
  <c r="K23" i="3"/>
  <c r="H47" i="3"/>
  <c r="H26" i="3"/>
  <c r="M45" i="3"/>
  <c r="I51" i="3"/>
  <c r="H37" i="3"/>
  <c r="AH38" i="3"/>
  <c r="L44" i="3"/>
  <c r="U29" i="3"/>
  <c r="O31" i="3"/>
  <c r="F49" i="3"/>
  <c r="K51" i="3"/>
  <c r="E39" i="3"/>
  <c r="L50" i="3"/>
  <c r="O37" i="3"/>
  <c r="U51" i="3"/>
  <c r="E43" i="3"/>
  <c r="O46" i="3"/>
  <c r="M23" i="3"/>
  <c r="F35" i="3"/>
  <c r="J34" i="3"/>
  <c r="K39" i="3"/>
  <c r="F33" i="3"/>
  <c r="H38" i="3"/>
  <c r="O40" i="3"/>
  <c r="H25" i="3"/>
  <c r="J42" i="3"/>
  <c r="M29" i="3"/>
  <c r="U28" i="3"/>
  <c r="H42" i="3"/>
  <c r="J50" i="3"/>
  <c r="I75" i="3"/>
  <c r="U5" i="3"/>
  <c r="I81" i="3"/>
  <c r="I79" i="3"/>
  <c r="I78" i="3"/>
  <c r="I77" i="3"/>
  <c r="I80" i="3"/>
  <c r="L74" i="3" l="1"/>
  <c r="L7" i="4"/>
  <c r="L6" i="4"/>
  <c r="R23" i="3"/>
  <c r="F5" i="4"/>
  <c r="N28" i="3"/>
  <c r="H7" i="4"/>
  <c r="D6" i="4"/>
  <c r="AV36" i="3"/>
  <c r="AW36" i="3" s="1"/>
  <c r="AV30" i="3"/>
  <c r="AW30" i="3" s="1"/>
  <c r="AV40" i="3"/>
  <c r="AW40" i="3" s="1"/>
  <c r="AV42" i="3"/>
  <c r="AW42" i="3" s="1"/>
  <c r="K5" i="4"/>
  <c r="AV35" i="3"/>
  <c r="AW35" i="3" s="1"/>
  <c r="AU22" i="3"/>
  <c r="AU29" i="3"/>
  <c r="K7" i="4"/>
  <c r="AV28" i="3"/>
  <c r="AW28" i="3" s="1"/>
  <c r="E6" i="4"/>
  <c r="H5" i="4"/>
  <c r="AV25" i="3"/>
  <c r="AW25" i="3" s="1"/>
  <c r="E5" i="4"/>
  <c r="AV39" i="3"/>
  <c r="AW39" i="3" s="1"/>
  <c r="AV49" i="3"/>
  <c r="AW49" i="3" s="1"/>
  <c r="J7" i="4"/>
  <c r="AV38" i="3"/>
  <c r="AW38" i="3" s="1"/>
  <c r="J6" i="4"/>
  <c r="AU33" i="3"/>
  <c r="AU35" i="3"/>
  <c r="K6" i="4"/>
  <c r="AU38" i="3"/>
  <c r="AU30" i="3"/>
  <c r="J5" i="4"/>
  <c r="AV41" i="3"/>
  <c r="AW41" i="3" s="1"/>
  <c r="AU45" i="3"/>
  <c r="AV46" i="3"/>
  <c r="AW46" i="3" s="1"/>
  <c r="H6" i="4"/>
  <c r="G7" i="4"/>
  <c r="I7" i="4"/>
  <c r="AU46" i="3"/>
  <c r="AV48" i="3"/>
  <c r="AW48" i="3" s="1"/>
  <c r="AV37" i="3"/>
  <c r="AW37" i="3" s="1"/>
  <c r="AU44" i="3"/>
  <c r="AU51" i="3"/>
  <c r="AU26" i="3"/>
  <c r="AV26" i="3"/>
  <c r="AW26" i="3" s="1"/>
  <c r="AV44" i="3"/>
  <c r="AW44" i="3" s="1"/>
  <c r="AV47" i="3"/>
  <c r="AW47" i="3" s="1"/>
  <c r="AV31" i="3"/>
  <c r="AW31" i="3" s="1"/>
  <c r="AU39" i="3"/>
  <c r="G5" i="4"/>
  <c r="C6" i="4"/>
  <c r="I5" i="4"/>
  <c r="AV27" i="3"/>
  <c r="AW27" i="3" s="1"/>
  <c r="AU34" i="3"/>
  <c r="AV22" i="3"/>
  <c r="AW22" i="3" s="1"/>
  <c r="AV50" i="3"/>
  <c r="AW50" i="3" s="1"/>
  <c r="AU47" i="3"/>
  <c r="F7" i="4"/>
  <c r="AV33" i="3"/>
  <c r="AW33" i="3" s="1"/>
  <c r="AV24" i="3"/>
  <c r="AW24" i="3" s="1"/>
  <c r="AV32" i="3"/>
  <c r="AW32" i="3" s="1"/>
  <c r="I6" i="4"/>
  <c r="AU31" i="3"/>
  <c r="G6" i="4"/>
  <c r="AV29" i="3"/>
  <c r="AW29" i="3" s="1"/>
  <c r="AV45" i="3"/>
  <c r="AW45" i="3" s="1"/>
  <c r="AU40" i="3"/>
  <c r="C7" i="4"/>
  <c r="AU23" i="3"/>
  <c r="AU43" i="3"/>
  <c r="D5" i="4"/>
  <c r="AV51" i="3"/>
  <c r="AW51" i="3" s="1"/>
  <c r="AU28" i="3"/>
  <c r="AV34" i="3"/>
  <c r="AW34" i="3" s="1"/>
  <c r="F6" i="4"/>
  <c r="E7" i="4"/>
  <c r="AU49" i="3"/>
  <c r="AU50" i="3"/>
  <c r="AU24" i="3"/>
  <c r="Y22" i="3"/>
  <c r="D7" i="4"/>
  <c r="AU42" i="3"/>
  <c r="AU37" i="3"/>
  <c r="AV23" i="3"/>
  <c r="AW23" i="3" s="1"/>
  <c r="AU32" i="3"/>
  <c r="C5" i="4"/>
  <c r="AU27" i="3"/>
  <c r="AU25" i="3"/>
  <c r="AV43" i="3"/>
  <c r="AW43" i="3" s="1"/>
  <c r="AU36" i="3"/>
  <c r="AU41" i="3"/>
  <c r="X23" i="3"/>
  <c r="AX32" i="3"/>
  <c r="AT23" i="3"/>
  <c r="AS25" i="3"/>
  <c r="AT45" i="3"/>
  <c r="AT24" i="3"/>
  <c r="AX34" i="3"/>
  <c r="AX28" i="3"/>
  <c r="AT33" i="3"/>
  <c r="AT35" i="3"/>
  <c r="AX25" i="3"/>
  <c r="AX44" i="3"/>
  <c r="AX36" i="3"/>
  <c r="AT39" i="3"/>
  <c r="AT36" i="3"/>
  <c r="AT49" i="3"/>
  <c r="AS48" i="3"/>
  <c r="AT25" i="3"/>
  <c r="AS46" i="3"/>
  <c r="AX37" i="3"/>
  <c r="AX24" i="3"/>
  <c r="AS45" i="3"/>
  <c r="AX54" i="3"/>
  <c r="AT55" i="3"/>
  <c r="AX53" i="3"/>
  <c r="AX55" i="3"/>
  <c r="AT41" i="3"/>
  <c r="AX45" i="3"/>
  <c r="AT26" i="3"/>
  <c r="I54" i="3"/>
  <c r="AS43" i="3"/>
  <c r="AT28" i="3"/>
  <c r="AS33" i="3"/>
  <c r="AX35" i="3"/>
  <c r="AT37" i="3"/>
  <c r="AS22" i="3"/>
  <c r="V22" i="3"/>
  <c r="AX41" i="3"/>
  <c r="AS34" i="3"/>
  <c r="AT48" i="3"/>
  <c r="AX49" i="3"/>
  <c r="AS37" i="3"/>
  <c r="AX29" i="3"/>
  <c r="AT46" i="3"/>
  <c r="AX40" i="3"/>
  <c r="AX51" i="3"/>
  <c r="AT50" i="3"/>
  <c r="AS35" i="3"/>
  <c r="AS40" i="3"/>
  <c r="AX22" i="3"/>
  <c r="AX33" i="3"/>
  <c r="AT22" i="3"/>
  <c r="AS53" i="3"/>
  <c r="AT52" i="3"/>
  <c r="AT53" i="3"/>
  <c r="AS54" i="3"/>
  <c r="AX27" i="3"/>
  <c r="AT40" i="3"/>
  <c r="AX31" i="3"/>
  <c r="AS52" i="3"/>
  <c r="AX48" i="3"/>
  <c r="AS47" i="3"/>
  <c r="AT43" i="3"/>
  <c r="AS44" i="3"/>
  <c r="AS39" i="3"/>
  <c r="AX47" i="3"/>
  <c r="AS32" i="3"/>
  <c r="AS27" i="3"/>
  <c r="AT47" i="3"/>
  <c r="AX43" i="3"/>
  <c r="V23" i="3"/>
  <c r="AS24" i="3"/>
  <c r="AS29" i="3"/>
  <c r="AX26" i="3"/>
  <c r="AT31" i="3"/>
  <c r="AS49" i="3"/>
  <c r="AT44" i="3"/>
  <c r="AS51" i="3"/>
  <c r="AT29" i="3"/>
  <c r="AS23" i="3"/>
  <c r="I52" i="3"/>
  <c r="I53" i="3"/>
  <c r="I55" i="3"/>
  <c r="AX52" i="3"/>
  <c r="AS28" i="3"/>
  <c r="AX39" i="3"/>
  <c r="AT34" i="3"/>
  <c r="AT27" i="3"/>
  <c r="AS50" i="3"/>
  <c r="AX30" i="3"/>
  <c r="AX46" i="3"/>
  <c r="AX42" i="3"/>
  <c r="AS42" i="3"/>
  <c r="AS41" i="3"/>
  <c r="AX23" i="3"/>
  <c r="AS31" i="3"/>
  <c r="AS30" i="3"/>
  <c r="AS38" i="3"/>
  <c r="AT51" i="3"/>
  <c r="AT38" i="3"/>
  <c r="AT32" i="3"/>
  <c r="AT42" i="3"/>
  <c r="U3" i="3"/>
  <c r="AX38" i="3"/>
  <c r="AS26" i="3"/>
  <c r="AS36" i="3"/>
  <c r="AT30" i="3"/>
  <c r="AS55" i="3"/>
  <c r="AT54" i="3"/>
  <c r="AX50" i="3"/>
  <c r="N35" i="3" l="1"/>
  <c r="N46" i="3"/>
  <c r="N51" i="3"/>
  <c r="N27" i="3"/>
  <c r="N26" i="3"/>
  <c r="N23" i="3"/>
  <c r="N43" i="3"/>
  <c r="N38" i="3"/>
  <c r="AY45" i="3"/>
  <c r="AY50" i="3"/>
  <c r="AY31" i="3"/>
  <c r="AY27" i="3"/>
  <c r="AY39" i="3"/>
  <c r="AU55" i="3"/>
  <c r="AY55" i="3" s="1"/>
  <c r="AU54" i="3"/>
  <c r="AY54" i="3" s="1"/>
  <c r="AU53" i="3"/>
  <c r="AY53" i="3" s="1"/>
  <c r="AU52" i="3"/>
  <c r="AY52" i="3" s="1"/>
  <c r="AY33" i="3"/>
  <c r="AY24" i="3"/>
  <c r="AY22" i="3"/>
  <c r="AY37" i="3"/>
  <c r="AY38" i="3"/>
  <c r="L5" i="4"/>
  <c r="AY26" i="3"/>
  <c r="AY51" i="3"/>
  <c r="AY40" i="3"/>
  <c r="AY36" i="3"/>
  <c r="AY29" i="3"/>
  <c r="AY44" i="3"/>
  <c r="AY43" i="3"/>
  <c r="AY25" i="3"/>
  <c r="AY49" i="3"/>
  <c r="AY23" i="3"/>
  <c r="AY28" i="3"/>
  <c r="AY47" i="3"/>
  <c r="AY41" i="3"/>
  <c r="AY34" i="3"/>
  <c r="AY42" i="3"/>
  <c r="AY46" i="3"/>
  <c r="AY30" i="3"/>
  <c r="AY35" i="3"/>
  <c r="AY48" i="3"/>
  <c r="AY32" i="3"/>
  <c r="Y23" i="3"/>
  <c r="N36" i="3"/>
  <c r="O15" i="4"/>
  <c r="O21" i="4"/>
  <c r="O23" i="4"/>
  <c r="O24" i="4"/>
  <c r="O27" i="4"/>
  <c r="O43" i="4"/>
  <c r="O29" i="4"/>
  <c r="O34" i="4"/>
  <c r="N54" i="3"/>
  <c r="O41" i="4"/>
  <c r="O55" i="4"/>
  <c r="O18" i="4"/>
  <c r="O45" i="4"/>
  <c r="O44" i="4"/>
  <c r="O53" i="4"/>
  <c r="O33" i="4"/>
  <c r="N55" i="3"/>
  <c r="O28" i="4"/>
  <c r="O52" i="4"/>
  <c r="O46" i="4"/>
  <c r="O40" i="4"/>
  <c r="O37" i="4"/>
  <c r="O20" i="4"/>
  <c r="N52" i="3"/>
  <c r="O35" i="4"/>
  <c r="O36" i="4"/>
  <c r="O32" i="4"/>
  <c r="O31" i="4"/>
  <c r="O56" i="4"/>
  <c r="O14" i="4"/>
  <c r="O25" i="4"/>
  <c r="N53" i="3"/>
  <c r="O16" i="4"/>
  <c r="O17" i="4"/>
  <c r="O26" i="4"/>
  <c r="O19" i="4"/>
  <c r="O38" i="4"/>
  <c r="O39" i="4"/>
  <c r="O54" i="4"/>
  <c r="O30" i="4"/>
  <c r="O42" i="4"/>
  <c r="O48" i="4"/>
  <c r="O51" i="4"/>
  <c r="O47" i="4"/>
  <c r="O49" i="4"/>
  <c r="O50" i="4"/>
  <c r="N40" i="3"/>
  <c r="N48" i="3"/>
  <c r="N42" i="3"/>
  <c r="N47" i="3"/>
  <c r="N50" i="3"/>
  <c r="N45" i="3"/>
  <c r="N37" i="3"/>
  <c r="N31" i="3"/>
  <c r="N33" i="3"/>
  <c r="N32" i="3"/>
  <c r="N24" i="3"/>
  <c r="N49" i="3"/>
  <c r="N22" i="3"/>
  <c r="N41" i="3"/>
  <c r="N44" i="3"/>
  <c r="N39" i="3"/>
  <c r="N25" i="3"/>
  <c r="N30" i="3"/>
  <c r="N34" i="3"/>
  <c r="N29" i="3"/>
  <c r="R24" i="3"/>
  <c r="T22" i="3"/>
  <c r="N74" i="3"/>
  <c r="AK22" i="3"/>
  <c r="W22" i="3"/>
  <c r="V24" i="3"/>
  <c r="P16" i="3"/>
  <c r="W24" i="3"/>
  <c r="X24" i="3"/>
  <c r="W23" i="3"/>
  <c r="I25" i="4" l="1"/>
  <c r="AL22" i="3"/>
  <c r="I24" i="4"/>
  <c r="I23" i="4"/>
  <c r="Z21" i="3"/>
  <c r="Y24" i="3"/>
  <c r="S23" i="3"/>
  <c r="AN22" i="3"/>
  <c r="N17" i="3"/>
  <c r="R25" i="3"/>
  <c r="T23" i="3"/>
  <c r="Z22" i="3"/>
  <c r="Z23" i="3"/>
  <c r="X25" i="3"/>
  <c r="P17" i="3"/>
  <c r="AK23" i="3"/>
  <c r="V25" i="3"/>
  <c r="W25" i="3"/>
  <c r="AA23" i="3" l="1"/>
  <c r="AA22" i="3"/>
  <c r="AB22" i="3"/>
  <c r="Y25" i="3"/>
  <c r="I26" i="4"/>
  <c r="AL23" i="3"/>
  <c r="M39" i="4"/>
  <c r="M25" i="4"/>
  <c r="M31" i="4"/>
  <c r="M33" i="4"/>
  <c r="M50" i="4"/>
  <c r="M54" i="4"/>
  <c r="M48" i="4"/>
  <c r="M44" i="4"/>
  <c r="M37" i="4"/>
  <c r="M23" i="4"/>
  <c r="M15" i="4"/>
  <c r="M32" i="4"/>
  <c r="M35" i="4"/>
  <c r="M16" i="4"/>
  <c r="M34" i="4"/>
  <c r="M46" i="4"/>
  <c r="M28" i="4"/>
  <c r="M53" i="4"/>
  <c r="M14" i="4"/>
  <c r="M19" i="4"/>
  <c r="M45" i="4"/>
  <c r="M26" i="4"/>
  <c r="M42" i="4"/>
  <c r="M43" i="4"/>
  <c r="M55" i="4"/>
  <c r="M30" i="4"/>
  <c r="M18" i="4"/>
  <c r="M41" i="4"/>
  <c r="M21" i="4"/>
  <c r="M40" i="4"/>
  <c r="M36" i="4"/>
  <c r="M24" i="4"/>
  <c r="M17" i="4"/>
  <c r="M49" i="4"/>
  <c r="M20" i="4"/>
  <c r="M47" i="4"/>
  <c r="M29" i="4"/>
  <c r="M52" i="4"/>
  <c r="M51" i="4"/>
  <c r="M56" i="4"/>
  <c r="M38" i="4"/>
  <c r="M27" i="4"/>
  <c r="AO22" i="3"/>
  <c r="AP22" i="3" s="1"/>
  <c r="AQ22" i="3" s="1"/>
  <c r="R26" i="3"/>
  <c r="S24" i="3"/>
  <c r="AN23" i="3"/>
  <c r="AM22" i="3"/>
  <c r="AO23" i="3"/>
  <c r="Z24" i="3"/>
  <c r="T24" i="3"/>
  <c r="W26" i="3"/>
  <c r="X26" i="3"/>
  <c r="AK24" i="3"/>
  <c r="V26" i="3"/>
  <c r="AA24" i="3" l="1"/>
  <c r="AL24" i="3"/>
  <c r="Y26" i="3"/>
  <c r="I27" i="4"/>
  <c r="AM23" i="3"/>
  <c r="AB23" i="3"/>
  <c r="S25" i="3"/>
  <c r="AN24" i="3"/>
  <c r="R27" i="3"/>
  <c r="AO24" i="3"/>
  <c r="AP23" i="3"/>
  <c r="AQ23" i="3" s="1"/>
  <c r="Z25" i="3"/>
  <c r="T25" i="3"/>
  <c r="AK25" i="3"/>
  <c r="W27" i="3"/>
  <c r="V27" i="3"/>
  <c r="X27" i="3"/>
  <c r="AA25" i="3" l="1"/>
  <c r="AL25" i="3"/>
  <c r="Y27" i="3"/>
  <c r="I28" i="4"/>
  <c r="S26" i="3"/>
  <c r="AN25" i="3"/>
  <c r="AO25" i="3"/>
  <c r="AP24" i="3"/>
  <c r="AQ24" i="3" s="1"/>
  <c r="R28" i="3"/>
  <c r="AB24" i="3"/>
  <c r="AM24" i="3"/>
  <c r="Z26" i="3"/>
  <c r="T26" i="3"/>
  <c r="W28" i="3"/>
  <c r="AK26" i="3"/>
  <c r="V28" i="3"/>
  <c r="X28" i="3"/>
  <c r="AA26" i="3" l="1"/>
  <c r="AO26" i="3"/>
  <c r="AP25" i="3"/>
  <c r="AQ25" i="3" s="1"/>
  <c r="Y28" i="3"/>
  <c r="I29" i="4"/>
  <c r="AL26" i="3"/>
  <c r="AM25" i="3"/>
  <c r="AB25" i="3"/>
  <c r="R29" i="3"/>
  <c r="S27" i="3"/>
  <c r="AN26" i="3"/>
  <c r="Z27" i="3"/>
  <c r="T27" i="3"/>
  <c r="W29" i="3"/>
  <c r="X29" i="3"/>
  <c r="AK27" i="3"/>
  <c r="V29" i="3"/>
  <c r="AA27" i="3" l="1"/>
  <c r="AP26" i="3"/>
  <c r="AQ26" i="3" s="1"/>
  <c r="Y29" i="3"/>
  <c r="I30" i="4"/>
  <c r="AL27" i="3"/>
  <c r="R30" i="3"/>
  <c r="AM26" i="3"/>
  <c r="AB26" i="3"/>
  <c r="S28" i="3"/>
  <c r="AN27" i="3"/>
  <c r="AO27" i="3"/>
  <c r="T28" i="3"/>
  <c r="Z28" i="3"/>
  <c r="W30" i="3"/>
  <c r="AK28" i="3"/>
  <c r="X30" i="3"/>
  <c r="V30" i="3"/>
  <c r="AA28" i="3" l="1"/>
  <c r="AO28" i="3"/>
  <c r="AP27" i="3"/>
  <c r="AQ27" i="3" s="1"/>
  <c r="Y30" i="3"/>
  <c r="I31" i="4"/>
  <c r="AL28" i="3"/>
  <c r="R31" i="3"/>
  <c r="S29" i="3"/>
  <c r="AN28" i="3"/>
  <c r="AM27" i="3"/>
  <c r="AB27" i="3"/>
  <c r="AO29" i="3"/>
  <c r="Z29" i="3"/>
  <c r="T29" i="3"/>
  <c r="W31" i="3"/>
  <c r="AK29" i="3"/>
  <c r="X31" i="3"/>
  <c r="V31" i="3"/>
  <c r="AP28" i="3" l="1"/>
  <c r="AQ28" i="3" s="1"/>
  <c r="AA29" i="3"/>
  <c r="AL29" i="3"/>
  <c r="Y31" i="3"/>
  <c r="I32" i="4"/>
  <c r="S30" i="3"/>
  <c r="AN29" i="3"/>
  <c r="AP29" i="3" s="1"/>
  <c r="AQ29" i="3" s="1"/>
  <c r="AM28" i="3"/>
  <c r="AB28" i="3"/>
  <c r="R32" i="3"/>
  <c r="Z30" i="3"/>
  <c r="T30" i="3"/>
  <c r="AK30" i="3"/>
  <c r="V32" i="3"/>
  <c r="W32" i="3"/>
  <c r="X32" i="3"/>
  <c r="AA30" i="3" l="1"/>
  <c r="AO30" i="3"/>
  <c r="Y32" i="3"/>
  <c r="I33" i="4"/>
  <c r="AL30" i="3"/>
  <c r="R33" i="3"/>
  <c r="S31" i="3"/>
  <c r="AN30" i="3"/>
  <c r="AM29" i="3"/>
  <c r="AB29" i="3"/>
  <c r="T31" i="3"/>
  <c r="Z31" i="3"/>
  <c r="X33" i="3"/>
  <c r="W33" i="3"/>
  <c r="V33" i="3"/>
  <c r="AK31" i="3"/>
  <c r="AA31" i="3" l="1"/>
  <c r="AP30" i="3"/>
  <c r="AQ30" i="3" s="1"/>
  <c r="AO31" i="3"/>
  <c r="AL31" i="3"/>
  <c r="Y33" i="3"/>
  <c r="I34" i="4"/>
  <c r="S32" i="3"/>
  <c r="AO32" i="3" s="1"/>
  <c r="AN31" i="3"/>
  <c r="R34" i="3"/>
  <c r="AM30" i="3"/>
  <c r="AB30" i="3"/>
  <c r="T32" i="3"/>
  <c r="Z32" i="3"/>
  <c r="W34" i="3"/>
  <c r="X34" i="3"/>
  <c r="AK32" i="3"/>
  <c r="V34" i="3"/>
  <c r="AA32" i="3" l="1"/>
  <c r="AP31" i="3"/>
  <c r="AQ31" i="3" s="1"/>
  <c r="Y34" i="3"/>
  <c r="I35" i="4"/>
  <c r="AL32" i="3"/>
  <c r="R35" i="3"/>
  <c r="AM31" i="3"/>
  <c r="AB31" i="3"/>
  <c r="S33" i="3"/>
  <c r="AN32" i="3"/>
  <c r="AP32" i="3" s="1"/>
  <c r="AQ32" i="3" s="1"/>
  <c r="T33" i="3"/>
  <c r="Z33" i="3"/>
  <c r="W35" i="3"/>
  <c r="X35" i="3"/>
  <c r="V35" i="3"/>
  <c r="AK33" i="3"/>
  <c r="AA33" i="3" l="1"/>
  <c r="AO33" i="3"/>
  <c r="AL33" i="3"/>
  <c r="Y35" i="3"/>
  <c r="I36" i="4"/>
  <c r="S34" i="3"/>
  <c r="AN33" i="3"/>
  <c r="R36" i="3"/>
  <c r="AM32" i="3"/>
  <c r="AB32" i="3"/>
  <c r="Z34" i="3"/>
  <c r="T34" i="3"/>
  <c r="V36" i="3"/>
  <c r="X36" i="3"/>
  <c r="T36" i="3"/>
  <c r="AK34" i="3"/>
  <c r="W36" i="3"/>
  <c r="AA34" i="3" l="1"/>
  <c r="AP33" i="3"/>
  <c r="AQ33" i="3" s="1"/>
  <c r="AO34" i="3"/>
  <c r="Y36" i="3"/>
  <c r="I37" i="4"/>
  <c r="AL34" i="3"/>
  <c r="R37" i="3"/>
  <c r="AM33" i="3"/>
  <c r="AB33" i="3"/>
  <c r="S35" i="3"/>
  <c r="AN34" i="3"/>
  <c r="Z35" i="3"/>
  <c r="T35" i="3"/>
  <c r="X37" i="3"/>
  <c r="AK35" i="3"/>
  <c r="V37" i="3"/>
  <c r="T37" i="3"/>
  <c r="W37" i="3"/>
  <c r="AA35" i="3" l="1"/>
  <c r="AP34" i="3"/>
  <c r="AQ34" i="3" s="1"/>
  <c r="Y37" i="3"/>
  <c r="I38" i="4"/>
  <c r="AL35" i="3"/>
  <c r="R38" i="3"/>
  <c r="S36" i="3"/>
  <c r="AO36" i="3" s="1"/>
  <c r="AN35" i="3"/>
  <c r="AO35" i="3"/>
  <c r="AM34" i="3"/>
  <c r="AB34" i="3"/>
  <c r="Z36" i="3"/>
  <c r="V38" i="3"/>
  <c r="AK36" i="3"/>
  <c r="T38" i="3"/>
  <c r="X38" i="3"/>
  <c r="W38" i="3"/>
  <c r="AA36" i="3" l="1"/>
  <c r="AP35" i="3"/>
  <c r="AQ35" i="3" s="1"/>
  <c r="AL36" i="3"/>
  <c r="Y38" i="3"/>
  <c r="I39" i="4"/>
  <c r="S37" i="3"/>
  <c r="AN36" i="3"/>
  <c r="AP36" i="3" s="1"/>
  <c r="AQ36" i="3" s="1"/>
  <c r="R39" i="3"/>
  <c r="AM35" i="3"/>
  <c r="AB35" i="3"/>
  <c r="Z37" i="3"/>
  <c r="T39" i="3"/>
  <c r="AK37" i="3"/>
  <c r="V39" i="3"/>
  <c r="X39" i="3"/>
  <c r="W39" i="3"/>
  <c r="AA37" i="3" l="1"/>
  <c r="AO37" i="3"/>
  <c r="Y39" i="3"/>
  <c r="I40" i="4"/>
  <c r="AL37" i="3"/>
  <c r="R40" i="3"/>
  <c r="AM36" i="3"/>
  <c r="AB36" i="3"/>
  <c r="S38" i="3"/>
  <c r="AN37" i="3"/>
  <c r="Z38" i="3"/>
  <c r="T40" i="3"/>
  <c r="AK38" i="3"/>
  <c r="V40" i="3"/>
  <c r="X40" i="3"/>
  <c r="W40" i="3"/>
  <c r="AP37" i="3" l="1"/>
  <c r="AQ37" i="3" s="1"/>
  <c r="AA38" i="3"/>
  <c r="Y40" i="3"/>
  <c r="I41" i="4"/>
  <c r="AL38" i="3"/>
  <c r="R41" i="3"/>
  <c r="S39" i="3"/>
  <c r="AN38" i="3"/>
  <c r="AM37" i="3"/>
  <c r="AB37" i="3"/>
  <c r="AO38" i="3"/>
  <c r="Z39" i="3"/>
  <c r="W41" i="3"/>
  <c r="V41" i="3"/>
  <c r="AK39" i="3"/>
  <c r="T41" i="3"/>
  <c r="X41" i="3"/>
  <c r="AA39" i="3" l="1"/>
  <c r="AO39" i="3"/>
  <c r="Y41" i="3"/>
  <c r="I42" i="4"/>
  <c r="AL39" i="3"/>
  <c r="AM38" i="3"/>
  <c r="AB38" i="3"/>
  <c r="R42" i="3"/>
  <c r="AP38" i="3"/>
  <c r="AQ38" i="3" s="1"/>
  <c r="S40" i="3"/>
  <c r="AN39" i="3"/>
  <c r="Z40" i="3"/>
  <c r="T42" i="3"/>
  <c r="X42" i="3"/>
  <c r="W42" i="3"/>
  <c r="AK40" i="3"/>
  <c r="V42" i="3"/>
  <c r="AA40" i="3" l="1"/>
  <c r="AP39" i="3"/>
  <c r="AQ39" i="3" s="1"/>
  <c r="Y42" i="3"/>
  <c r="I43" i="4"/>
  <c r="AL40" i="3"/>
  <c r="R43" i="3"/>
  <c r="AM39" i="3"/>
  <c r="AB39" i="3"/>
  <c r="S41" i="3"/>
  <c r="AN40" i="3"/>
  <c r="AO40" i="3"/>
  <c r="Z41" i="3"/>
  <c r="AK41" i="3"/>
  <c r="V43" i="3"/>
  <c r="W43" i="3"/>
  <c r="X43" i="3"/>
  <c r="T43" i="3"/>
  <c r="AA41" i="3" l="1"/>
  <c r="AL41" i="3"/>
  <c r="Y43" i="3"/>
  <c r="I44" i="4"/>
  <c r="S42" i="3"/>
  <c r="AN41" i="3"/>
  <c r="R44" i="3"/>
  <c r="AO41" i="3"/>
  <c r="AM40" i="3"/>
  <c r="AB40" i="3"/>
  <c r="AP40" i="3"/>
  <c r="AQ40" i="3" s="1"/>
  <c r="Z42" i="3"/>
  <c r="T44" i="3"/>
  <c r="V44" i="3"/>
  <c r="W44" i="3"/>
  <c r="X44" i="3"/>
  <c r="AK42" i="3"/>
  <c r="AA42" i="3" l="1"/>
  <c r="AO42" i="3"/>
  <c r="AL42" i="3"/>
  <c r="Y44" i="3"/>
  <c r="I45" i="4"/>
  <c r="S43" i="3"/>
  <c r="AN42" i="3"/>
  <c r="AP41" i="3"/>
  <c r="AQ41" i="3" s="1"/>
  <c r="R45" i="3"/>
  <c r="AM41" i="3"/>
  <c r="AB41" i="3"/>
  <c r="Z43" i="3"/>
  <c r="W45" i="3"/>
  <c r="X45" i="3"/>
  <c r="T45" i="3"/>
  <c r="AK43" i="3"/>
  <c r="V45" i="3"/>
  <c r="AP42" i="3" l="1"/>
  <c r="AQ42" i="3" s="1"/>
  <c r="AA43" i="3"/>
  <c r="AO43" i="3"/>
  <c r="Y45" i="3"/>
  <c r="I46" i="4"/>
  <c r="AL43" i="3"/>
  <c r="R46" i="3"/>
  <c r="S44" i="3"/>
  <c r="AN43" i="3"/>
  <c r="AM42" i="3"/>
  <c r="AB42" i="3"/>
  <c r="Z44" i="3"/>
  <c r="V46" i="3"/>
  <c r="T46" i="3"/>
  <c r="X46" i="3"/>
  <c r="AK44" i="3"/>
  <c r="W46" i="3"/>
  <c r="AP43" i="3" l="1"/>
  <c r="AQ43" i="3" s="1"/>
  <c r="AA44" i="3"/>
  <c r="AL44" i="3"/>
  <c r="Y46" i="3"/>
  <c r="I47" i="4"/>
  <c r="S45" i="3"/>
  <c r="AO45" i="3" s="1"/>
  <c r="AN44" i="3"/>
  <c r="R47" i="3"/>
  <c r="AO44" i="3"/>
  <c r="AM43" i="3"/>
  <c r="AB43" i="3"/>
  <c r="Z45" i="3"/>
  <c r="W47" i="3"/>
  <c r="AK45" i="3"/>
  <c r="X47" i="3"/>
  <c r="V47" i="3"/>
  <c r="T47" i="3"/>
  <c r="AA45" i="3" l="1"/>
  <c r="AL45" i="3"/>
  <c r="Y47" i="3"/>
  <c r="I48" i="4"/>
  <c r="S46" i="3"/>
  <c r="AN45" i="3"/>
  <c r="AP45" i="3" s="1"/>
  <c r="AQ45" i="3" s="1"/>
  <c r="AP44" i="3"/>
  <c r="AQ44" i="3" s="1"/>
  <c r="R48" i="3"/>
  <c r="AM44" i="3"/>
  <c r="AB44" i="3"/>
  <c r="Z46" i="3"/>
  <c r="W48" i="3"/>
  <c r="AK46" i="3"/>
  <c r="X48" i="3"/>
  <c r="T48" i="3"/>
  <c r="V48" i="3"/>
  <c r="AA46" i="3" l="1"/>
  <c r="AO46" i="3"/>
  <c r="Y48" i="3"/>
  <c r="I49" i="4"/>
  <c r="AL46" i="3"/>
  <c r="AM45" i="3"/>
  <c r="AB45" i="3"/>
  <c r="R49" i="3"/>
  <c r="S47" i="3"/>
  <c r="AN46" i="3"/>
  <c r="Z47" i="3"/>
  <c r="T49" i="3"/>
  <c r="X49" i="3"/>
  <c r="AK47" i="3"/>
  <c r="V49" i="3"/>
  <c r="W49" i="3"/>
  <c r="AP46" i="3" l="1"/>
  <c r="AQ46" i="3" s="1"/>
  <c r="AA47" i="3"/>
  <c r="AL47" i="3"/>
  <c r="Y49" i="3"/>
  <c r="I50" i="4"/>
  <c r="S48" i="3"/>
  <c r="AO48" i="3" s="1"/>
  <c r="AN47" i="3"/>
  <c r="AO47" i="3"/>
  <c r="R50" i="3"/>
  <c r="AM46" i="3"/>
  <c r="AB46" i="3"/>
  <c r="Z48" i="3"/>
  <c r="T50" i="3"/>
  <c r="X50" i="3"/>
  <c r="W50" i="3"/>
  <c r="AK48" i="3"/>
  <c r="V50" i="3"/>
  <c r="AA48" i="3" l="1"/>
  <c r="Y50" i="3"/>
  <c r="I51" i="4"/>
  <c r="AL48" i="3"/>
  <c r="R51" i="3"/>
  <c r="S49" i="3"/>
  <c r="AN48" i="3"/>
  <c r="AP48" i="3" s="1"/>
  <c r="AQ48" i="3" s="1"/>
  <c r="AP47" i="3"/>
  <c r="AQ47" i="3" s="1"/>
  <c r="AM47" i="3"/>
  <c r="AB47" i="3"/>
  <c r="Z49" i="3"/>
  <c r="W51" i="3"/>
  <c r="V51" i="3"/>
  <c r="T51" i="3"/>
  <c r="X51" i="3"/>
  <c r="AK49" i="3"/>
  <c r="AA49" i="3" l="1"/>
  <c r="AO49" i="3"/>
  <c r="AL49" i="3"/>
  <c r="Y51" i="3"/>
  <c r="AC21" i="3"/>
  <c r="I52" i="4"/>
  <c r="S50" i="3"/>
  <c r="AN49" i="3"/>
  <c r="AM48" i="3"/>
  <c r="AB48" i="3"/>
  <c r="R52" i="3"/>
  <c r="R59" i="3"/>
  <c r="R60" i="3" s="1"/>
  <c r="Z50" i="3"/>
  <c r="W52" i="3"/>
  <c r="AK50" i="3"/>
  <c r="X52" i="3"/>
  <c r="V52" i="3"/>
  <c r="AP49" i="3" l="1"/>
  <c r="AQ49" i="3" s="1"/>
  <c r="AA50" i="3"/>
  <c r="AO50" i="3"/>
  <c r="Y52" i="3"/>
  <c r="I53" i="4"/>
  <c r="AL50" i="3"/>
  <c r="AC52" i="3"/>
  <c r="AC26" i="3"/>
  <c r="AC34" i="3"/>
  <c r="AF50" i="3"/>
  <c r="AG50" i="3" s="1"/>
  <c r="AC35" i="3"/>
  <c r="AF45" i="3"/>
  <c r="AG45" i="3" s="1"/>
  <c r="AC30" i="3"/>
  <c r="AC25" i="3"/>
  <c r="AF34" i="3"/>
  <c r="AG34" i="3" s="1"/>
  <c r="AF32" i="3"/>
  <c r="AG32" i="3" s="1"/>
  <c r="AC40" i="3"/>
  <c r="AF46" i="3"/>
  <c r="AG46" i="3" s="1"/>
  <c r="AC23" i="3"/>
  <c r="AC29" i="3"/>
  <c r="AF29" i="3"/>
  <c r="AG29" i="3" s="1"/>
  <c r="AC39" i="3"/>
  <c r="AC44" i="3"/>
  <c r="AF33" i="3"/>
  <c r="AG33" i="3" s="1"/>
  <c r="AF25" i="3"/>
  <c r="AG25" i="3" s="1"/>
  <c r="AF52" i="3"/>
  <c r="AG52" i="3" s="1"/>
  <c r="AF48" i="3"/>
  <c r="AG48" i="3" s="1"/>
  <c r="AC24" i="3"/>
  <c r="AF55" i="3"/>
  <c r="AG55" i="3" s="1"/>
  <c r="AC54" i="3"/>
  <c r="AF42" i="3"/>
  <c r="AG42" i="3" s="1"/>
  <c r="AF54" i="3"/>
  <c r="AG54" i="3" s="1"/>
  <c r="AF38" i="3"/>
  <c r="AG38" i="3" s="1"/>
  <c r="AF43" i="3"/>
  <c r="AG43" i="3" s="1"/>
  <c r="AF35" i="3"/>
  <c r="AG35" i="3" s="1"/>
  <c r="AF47" i="3"/>
  <c r="AG47" i="3" s="1"/>
  <c r="AF40" i="3"/>
  <c r="AG40" i="3" s="1"/>
  <c r="AF49" i="3"/>
  <c r="AG49" i="3" s="1"/>
  <c r="AF41" i="3"/>
  <c r="AG41" i="3" s="1"/>
  <c r="AC42" i="3"/>
  <c r="AF39" i="3"/>
  <c r="AG39" i="3" s="1"/>
  <c r="AC53" i="3"/>
  <c r="AC47" i="3"/>
  <c r="AC36" i="3"/>
  <c r="AF37" i="3"/>
  <c r="AG37" i="3" s="1"/>
  <c r="AC33" i="3"/>
  <c r="AF27" i="3"/>
  <c r="AG27" i="3" s="1"/>
  <c r="AC51" i="3"/>
  <c r="AF26" i="3"/>
  <c r="AG26" i="3" s="1"/>
  <c r="AF28" i="3"/>
  <c r="AG28" i="3" s="1"/>
  <c r="AF44" i="3"/>
  <c r="AG44" i="3" s="1"/>
  <c r="AF23" i="3"/>
  <c r="AG23" i="3" s="1"/>
  <c r="AC46" i="3"/>
  <c r="AC22" i="3"/>
  <c r="AC28" i="3"/>
  <c r="AC41" i="3"/>
  <c r="AC50" i="3"/>
  <c r="AF24" i="3"/>
  <c r="AG24" i="3" s="1"/>
  <c r="AC37" i="3"/>
  <c r="AF30" i="3"/>
  <c r="AG30" i="3" s="1"/>
  <c r="AC31" i="3"/>
  <c r="AC27" i="3"/>
  <c r="AC55" i="3"/>
  <c r="AF51" i="3"/>
  <c r="AG51" i="3" s="1"/>
  <c r="AF36" i="3"/>
  <c r="AG36" i="3" s="1"/>
  <c r="AC48" i="3"/>
  <c r="AF31" i="3"/>
  <c r="AG31" i="3" s="1"/>
  <c r="AF53" i="3"/>
  <c r="AG53" i="3" s="1"/>
  <c r="AC32" i="3"/>
  <c r="AC45" i="3"/>
  <c r="AC49" i="3"/>
  <c r="AC38" i="3"/>
  <c r="AF22" i="3"/>
  <c r="AG22" i="3" s="1"/>
  <c r="AC43" i="3"/>
  <c r="R61" i="3"/>
  <c r="R53" i="3"/>
  <c r="S51" i="3"/>
  <c r="AN50" i="3"/>
  <c r="AM49" i="3"/>
  <c r="AB49" i="3"/>
  <c r="Z51" i="3"/>
  <c r="W53" i="3"/>
  <c r="X53" i="3"/>
  <c r="AK51" i="3"/>
  <c r="V53" i="3"/>
  <c r="AP50" i="3" l="1"/>
  <c r="AQ50" i="3" s="1"/>
  <c r="AA51" i="3"/>
  <c r="AO51" i="3"/>
  <c r="AE22" i="3"/>
  <c r="AE24" i="3"/>
  <c r="AE23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Y53" i="3"/>
  <c r="I54" i="4"/>
  <c r="AL51" i="3"/>
  <c r="R62" i="3"/>
  <c r="AJ31" i="3"/>
  <c r="AI31" i="3"/>
  <c r="AJ44" i="3"/>
  <c r="AI44" i="3"/>
  <c r="AI27" i="3"/>
  <c r="AJ27" i="3"/>
  <c r="AI41" i="3"/>
  <c r="AJ41" i="3"/>
  <c r="AI35" i="3"/>
  <c r="AJ35" i="3"/>
  <c r="AJ42" i="3"/>
  <c r="AI42" i="3"/>
  <c r="AJ48" i="3"/>
  <c r="AI48" i="3"/>
  <c r="AJ34" i="3"/>
  <c r="AI34" i="3"/>
  <c r="AI50" i="3"/>
  <c r="AJ50" i="3"/>
  <c r="R54" i="3"/>
  <c r="AI53" i="3"/>
  <c r="AJ53" i="3"/>
  <c r="AJ51" i="3"/>
  <c r="AI51" i="3"/>
  <c r="AI30" i="3"/>
  <c r="AJ30" i="3"/>
  <c r="AI23" i="3"/>
  <c r="AJ23" i="3"/>
  <c r="AJ47" i="3"/>
  <c r="AI47" i="3"/>
  <c r="AJ54" i="3"/>
  <c r="AI54" i="3"/>
  <c r="AI33" i="3"/>
  <c r="AJ33" i="3"/>
  <c r="AJ32" i="3"/>
  <c r="AI32" i="3"/>
  <c r="AI45" i="3"/>
  <c r="AJ45" i="3"/>
  <c r="S52" i="3"/>
  <c r="AO52" i="3" s="1"/>
  <c r="S59" i="3"/>
  <c r="S60" i="3" s="1"/>
  <c r="AN51" i="3"/>
  <c r="AI24" i="3"/>
  <c r="AJ24" i="3"/>
  <c r="AE52" i="3"/>
  <c r="AE53" i="3"/>
  <c r="AE54" i="3"/>
  <c r="AE55" i="3"/>
  <c r="AI28" i="3"/>
  <c r="AJ28" i="3"/>
  <c r="AI49" i="3"/>
  <c r="AJ49" i="3"/>
  <c r="AI43" i="3"/>
  <c r="AJ43" i="3"/>
  <c r="AJ52" i="3"/>
  <c r="AI52" i="3"/>
  <c r="AJ46" i="3"/>
  <c r="AI46" i="3"/>
  <c r="AJ22" i="3"/>
  <c r="B59" i="3" s="1"/>
  <c r="A60" i="3"/>
  <c r="AI22" i="3"/>
  <c r="AJ36" i="3"/>
  <c r="AI36" i="3"/>
  <c r="AI26" i="3"/>
  <c r="AJ26" i="3"/>
  <c r="AJ37" i="3"/>
  <c r="AI37" i="3"/>
  <c r="AJ39" i="3"/>
  <c r="AI39" i="3"/>
  <c r="AI40" i="3"/>
  <c r="AJ40" i="3"/>
  <c r="AJ38" i="3"/>
  <c r="AI38" i="3"/>
  <c r="AI55" i="3"/>
  <c r="AJ55" i="3"/>
  <c r="AI25" i="3"/>
  <c r="AJ25" i="3"/>
  <c r="AI29" i="3"/>
  <c r="AJ29" i="3"/>
  <c r="AM50" i="3"/>
  <c r="AB50" i="3"/>
  <c r="Z52" i="3"/>
  <c r="U59" i="3"/>
  <c r="W54" i="3"/>
  <c r="G59" i="3"/>
  <c r="V54" i="3"/>
  <c r="O59" i="3"/>
  <c r="AK52" i="3"/>
  <c r="X54" i="3"/>
  <c r="F59" i="3"/>
  <c r="AP51" i="3" l="1"/>
  <c r="AQ51" i="3" s="1"/>
  <c r="AA52" i="3"/>
  <c r="Y54" i="3"/>
  <c r="I55" i="4"/>
  <c r="AL52" i="3"/>
  <c r="G60" i="3"/>
  <c r="G14" i="4"/>
  <c r="F60" i="3"/>
  <c r="F61" i="3" s="1"/>
  <c r="F62" i="3" s="1"/>
  <c r="F63" i="3" s="1"/>
  <c r="F64" i="3" s="1"/>
  <c r="F65" i="3" s="1"/>
  <c r="F66" i="3" s="1"/>
  <c r="R63" i="3"/>
  <c r="S61" i="3"/>
  <c r="R55" i="3"/>
  <c r="E59" i="3"/>
  <c r="I59" i="3"/>
  <c r="B44" i="4"/>
  <c r="B28" i="4"/>
  <c r="B56" i="4"/>
  <c r="B48" i="4"/>
  <c r="B36" i="4"/>
  <c r="B43" i="4"/>
  <c r="B55" i="4"/>
  <c r="B25" i="4"/>
  <c r="B23" i="4"/>
  <c r="B34" i="4"/>
  <c r="B39" i="4"/>
  <c r="B29" i="4"/>
  <c r="B26" i="4"/>
  <c r="B37" i="4"/>
  <c r="B46" i="4"/>
  <c r="B27" i="4"/>
  <c r="B53" i="4"/>
  <c r="B32" i="4"/>
  <c r="B24" i="4"/>
  <c r="B52" i="4"/>
  <c r="B50" i="4"/>
  <c r="B30" i="4"/>
  <c r="B31" i="4"/>
  <c r="B49" i="4"/>
  <c r="B35" i="4"/>
  <c r="B38" i="4"/>
  <c r="B54" i="4"/>
  <c r="B51" i="4"/>
  <c r="B33" i="4"/>
  <c r="B42" i="4"/>
  <c r="B40" i="4"/>
  <c r="B41" i="4"/>
  <c r="B47" i="4"/>
  <c r="B45" i="4"/>
  <c r="S53" i="3"/>
  <c r="AN52" i="3"/>
  <c r="AP52" i="3" s="1"/>
  <c r="AQ52" i="3" s="1"/>
  <c r="AM51" i="3"/>
  <c r="AB51" i="3"/>
  <c r="AO53" i="3"/>
  <c r="C61" i="3"/>
  <c r="C63" i="3"/>
  <c r="C59" i="3"/>
  <c r="C64" i="3"/>
  <c r="C65" i="3"/>
  <c r="C60" i="3"/>
  <c r="C66" i="3"/>
  <c r="C62" i="3"/>
  <c r="Z53" i="3"/>
  <c r="K61" i="3"/>
  <c r="J65" i="3"/>
  <c r="J63" i="3"/>
  <c r="M60" i="3"/>
  <c r="K66" i="3"/>
  <c r="W55" i="3"/>
  <c r="L61" i="3"/>
  <c r="K65" i="3"/>
  <c r="K63" i="3"/>
  <c r="K60" i="3"/>
  <c r="X59" i="3"/>
  <c r="L66" i="3"/>
  <c r="X55" i="3"/>
  <c r="M59" i="3"/>
  <c r="L64" i="3"/>
  <c r="K62" i="3"/>
  <c r="L65" i="3"/>
  <c r="J60" i="3"/>
  <c r="AK53" i="3"/>
  <c r="K59" i="3"/>
  <c r="K64" i="3"/>
  <c r="J62" i="3"/>
  <c r="X60" i="3"/>
  <c r="M61" i="3"/>
  <c r="M65" i="3"/>
  <c r="L63" i="3"/>
  <c r="L60" i="3"/>
  <c r="J66" i="3"/>
  <c r="L59" i="3"/>
  <c r="M64" i="3"/>
  <c r="L62" i="3"/>
  <c r="J59" i="3"/>
  <c r="J64" i="3"/>
  <c r="M62" i="3"/>
  <c r="J61" i="3"/>
  <c r="M63" i="3"/>
  <c r="M66" i="3"/>
  <c r="V55" i="3"/>
  <c r="AA53" i="3" l="1"/>
  <c r="E17" i="4"/>
  <c r="Q17" i="4"/>
  <c r="F17" i="4"/>
  <c r="F19" i="4"/>
  <c r="E19" i="4"/>
  <c r="Q19" i="4"/>
  <c r="Q14" i="4"/>
  <c r="N59" i="3"/>
  <c r="Y59" i="3"/>
  <c r="E14" i="4"/>
  <c r="F14" i="4"/>
  <c r="Y55" i="3"/>
  <c r="I56" i="4"/>
  <c r="AL53" i="3"/>
  <c r="F21" i="4"/>
  <c r="E21" i="4"/>
  <c r="Q21" i="4"/>
  <c r="Q15" i="4"/>
  <c r="F15" i="4"/>
  <c r="E15" i="4"/>
  <c r="Y60" i="3"/>
  <c r="E18" i="4"/>
  <c r="F18" i="4"/>
  <c r="Q18" i="4"/>
  <c r="E20" i="4"/>
  <c r="Q20" i="4"/>
  <c r="F20" i="4"/>
  <c r="Q16" i="4"/>
  <c r="E16" i="4"/>
  <c r="F16" i="4"/>
  <c r="C17" i="4"/>
  <c r="C19" i="4"/>
  <c r="N40" i="4"/>
  <c r="P40" i="4" s="1"/>
  <c r="K40" i="4"/>
  <c r="J40" i="4"/>
  <c r="L40" i="4"/>
  <c r="F40" i="4"/>
  <c r="G40" i="4"/>
  <c r="Q40" i="4"/>
  <c r="C40" i="4"/>
  <c r="E40" i="4"/>
  <c r="R40" i="4"/>
  <c r="D40" i="4"/>
  <c r="H40" i="4"/>
  <c r="C31" i="4"/>
  <c r="K31" i="4"/>
  <c r="D31" i="4"/>
  <c r="F31" i="4"/>
  <c r="G31" i="4"/>
  <c r="J31" i="4"/>
  <c r="E31" i="4"/>
  <c r="L31" i="4"/>
  <c r="R31" i="4"/>
  <c r="H31" i="4"/>
  <c r="N31" i="4"/>
  <c r="P31" i="4" s="1"/>
  <c r="Q31" i="4"/>
  <c r="H46" i="4"/>
  <c r="C46" i="4"/>
  <c r="N46" i="4"/>
  <c r="P46" i="4" s="1"/>
  <c r="R46" i="4"/>
  <c r="D46" i="4"/>
  <c r="L46" i="4"/>
  <c r="G46" i="4"/>
  <c r="F46" i="4"/>
  <c r="J46" i="4"/>
  <c r="E46" i="4"/>
  <c r="Q46" i="4"/>
  <c r="K46" i="4"/>
  <c r="D55" i="4"/>
  <c r="E55" i="4"/>
  <c r="H55" i="4"/>
  <c r="R55" i="4"/>
  <c r="Q55" i="4"/>
  <c r="G55" i="4"/>
  <c r="F55" i="4"/>
  <c r="L55" i="4"/>
  <c r="J55" i="4"/>
  <c r="C55" i="4"/>
  <c r="D14" i="4"/>
  <c r="E60" i="3"/>
  <c r="C14" i="4"/>
  <c r="C45" i="4"/>
  <c r="F45" i="4"/>
  <c r="R45" i="4"/>
  <c r="E45" i="4"/>
  <c r="G45" i="4"/>
  <c r="D45" i="4"/>
  <c r="N45" i="4"/>
  <c r="P45" i="4" s="1"/>
  <c r="K45" i="4"/>
  <c r="Q45" i="4"/>
  <c r="L45" i="4"/>
  <c r="H45" i="4"/>
  <c r="J45" i="4"/>
  <c r="G38" i="4"/>
  <c r="H38" i="4"/>
  <c r="K38" i="4"/>
  <c r="F38" i="4"/>
  <c r="D38" i="4"/>
  <c r="E38" i="4"/>
  <c r="C38" i="4"/>
  <c r="N38" i="4"/>
  <c r="P38" i="4" s="1"/>
  <c r="L38" i="4"/>
  <c r="Q38" i="4"/>
  <c r="R38" i="4"/>
  <c r="J38" i="4"/>
  <c r="C32" i="4"/>
  <c r="N32" i="4"/>
  <c r="P32" i="4" s="1"/>
  <c r="Q32" i="4"/>
  <c r="R32" i="4"/>
  <c r="F32" i="4"/>
  <c r="L32" i="4"/>
  <c r="H32" i="4"/>
  <c r="E32" i="4"/>
  <c r="J32" i="4"/>
  <c r="D32" i="4"/>
  <c r="G32" i="4"/>
  <c r="K32" i="4"/>
  <c r="G43" i="4"/>
  <c r="N43" i="4"/>
  <c r="P43" i="4" s="1"/>
  <c r="Q43" i="4"/>
  <c r="H43" i="4"/>
  <c r="D43" i="4"/>
  <c r="L43" i="4"/>
  <c r="K43" i="4"/>
  <c r="R43" i="4"/>
  <c r="J43" i="4"/>
  <c r="C43" i="4"/>
  <c r="F43" i="4"/>
  <c r="E43" i="4"/>
  <c r="AM52" i="3"/>
  <c r="AB52" i="3"/>
  <c r="H33" i="4"/>
  <c r="D33" i="4"/>
  <c r="L33" i="4"/>
  <c r="G33" i="4"/>
  <c r="R33" i="4"/>
  <c r="E33" i="4"/>
  <c r="N33" i="4"/>
  <c r="P33" i="4" s="1"/>
  <c r="J33" i="4"/>
  <c r="K33" i="4"/>
  <c r="F33" i="4"/>
  <c r="Q33" i="4"/>
  <c r="C33" i="4"/>
  <c r="E50" i="4"/>
  <c r="H50" i="4"/>
  <c r="K50" i="4"/>
  <c r="D50" i="4"/>
  <c r="Q50" i="4"/>
  <c r="C50" i="4"/>
  <c r="F50" i="4"/>
  <c r="N50" i="4"/>
  <c r="P50" i="4" s="1"/>
  <c r="J50" i="4"/>
  <c r="R50" i="4"/>
  <c r="L50" i="4"/>
  <c r="G50" i="4"/>
  <c r="F26" i="4"/>
  <c r="J26" i="4"/>
  <c r="D26" i="4"/>
  <c r="H26" i="4"/>
  <c r="E26" i="4"/>
  <c r="N26" i="4"/>
  <c r="P26" i="4" s="1"/>
  <c r="K26" i="4"/>
  <c r="Q26" i="4"/>
  <c r="C26" i="4"/>
  <c r="G26" i="4"/>
  <c r="L26" i="4"/>
  <c r="R26" i="4"/>
  <c r="F44" i="4"/>
  <c r="J44" i="4"/>
  <c r="C44" i="4"/>
  <c r="K44" i="4"/>
  <c r="L44" i="4"/>
  <c r="G44" i="4"/>
  <c r="H44" i="4"/>
  <c r="N44" i="4"/>
  <c r="P44" i="4" s="1"/>
  <c r="E44" i="4"/>
  <c r="D44" i="4"/>
  <c r="R44" i="4"/>
  <c r="Q44" i="4"/>
  <c r="S62" i="3"/>
  <c r="S54" i="3"/>
  <c r="AN53" i="3"/>
  <c r="AP53" i="3" s="1"/>
  <c r="AQ53" i="3" s="1"/>
  <c r="H54" i="4"/>
  <c r="N54" i="4"/>
  <c r="P54" i="4" s="1"/>
  <c r="Q54" i="4"/>
  <c r="F54" i="4"/>
  <c r="C54" i="4"/>
  <c r="L54" i="4"/>
  <c r="E54" i="4"/>
  <c r="D54" i="4"/>
  <c r="R54" i="4"/>
  <c r="G54" i="4"/>
  <c r="J54" i="4"/>
  <c r="H24" i="4"/>
  <c r="C24" i="4"/>
  <c r="E24" i="4"/>
  <c r="K24" i="4"/>
  <c r="D24" i="4"/>
  <c r="G24" i="4"/>
  <c r="L24" i="4"/>
  <c r="R24" i="4"/>
  <c r="Q24" i="4"/>
  <c r="N24" i="4"/>
  <c r="P24" i="4" s="1"/>
  <c r="F24" i="4"/>
  <c r="J24" i="4"/>
  <c r="D39" i="4"/>
  <c r="R39" i="4"/>
  <c r="E39" i="4"/>
  <c r="G39" i="4"/>
  <c r="C39" i="4"/>
  <c r="L39" i="4"/>
  <c r="H39" i="4"/>
  <c r="J39" i="4"/>
  <c r="Q39" i="4"/>
  <c r="K39" i="4"/>
  <c r="N39" i="4"/>
  <c r="P39" i="4" s="1"/>
  <c r="F39" i="4"/>
  <c r="G56" i="4"/>
  <c r="H56" i="4"/>
  <c r="F56" i="4"/>
  <c r="J56" i="4"/>
  <c r="D56" i="4"/>
  <c r="E56" i="4"/>
  <c r="L56" i="4"/>
  <c r="Q56" i="4"/>
  <c r="C56" i="4"/>
  <c r="R56" i="4"/>
  <c r="G15" i="4"/>
  <c r="G61" i="3"/>
  <c r="C21" i="4"/>
  <c r="J42" i="4"/>
  <c r="K42" i="4"/>
  <c r="C42" i="4"/>
  <c r="G42" i="4"/>
  <c r="H42" i="4"/>
  <c r="L42" i="4"/>
  <c r="F42" i="4"/>
  <c r="R42" i="4"/>
  <c r="N42" i="4"/>
  <c r="P42" i="4" s="1"/>
  <c r="Q42" i="4"/>
  <c r="D42" i="4"/>
  <c r="E42" i="4"/>
  <c r="E30" i="4"/>
  <c r="Q30" i="4"/>
  <c r="F30" i="4"/>
  <c r="C30" i="4"/>
  <c r="K30" i="4"/>
  <c r="D30" i="4"/>
  <c r="N30" i="4"/>
  <c r="P30" i="4" s="1"/>
  <c r="H30" i="4"/>
  <c r="L30" i="4"/>
  <c r="J30" i="4"/>
  <c r="G30" i="4"/>
  <c r="R30" i="4"/>
  <c r="Q37" i="4"/>
  <c r="N37" i="4"/>
  <c r="P37" i="4" s="1"/>
  <c r="J37" i="4"/>
  <c r="R37" i="4"/>
  <c r="K37" i="4"/>
  <c r="H37" i="4"/>
  <c r="L37" i="4"/>
  <c r="G37" i="4"/>
  <c r="C37" i="4"/>
  <c r="D37" i="4"/>
  <c r="F37" i="4"/>
  <c r="E37" i="4"/>
  <c r="L34" i="4"/>
  <c r="J34" i="4"/>
  <c r="F34" i="4"/>
  <c r="N34" i="4"/>
  <c r="P34" i="4" s="1"/>
  <c r="G34" i="4"/>
  <c r="E34" i="4"/>
  <c r="R34" i="4"/>
  <c r="H34" i="4"/>
  <c r="D34" i="4"/>
  <c r="K34" i="4"/>
  <c r="Q34" i="4"/>
  <c r="C34" i="4"/>
  <c r="H28" i="4"/>
  <c r="D28" i="4"/>
  <c r="N28" i="4"/>
  <c r="P28" i="4" s="1"/>
  <c r="J28" i="4"/>
  <c r="Q28" i="4"/>
  <c r="L28" i="4"/>
  <c r="G28" i="4"/>
  <c r="K28" i="4"/>
  <c r="C28" i="4"/>
  <c r="R28" i="4"/>
  <c r="E28" i="4"/>
  <c r="F28" i="4"/>
  <c r="C15" i="4"/>
  <c r="C18" i="4"/>
  <c r="Q47" i="4"/>
  <c r="J47" i="4"/>
  <c r="K47" i="4"/>
  <c r="C47" i="4"/>
  <c r="H47" i="4"/>
  <c r="D47" i="4"/>
  <c r="N47" i="4"/>
  <c r="P47" i="4" s="1"/>
  <c r="L47" i="4"/>
  <c r="E47" i="4"/>
  <c r="G47" i="4"/>
  <c r="F47" i="4"/>
  <c r="R47" i="4"/>
  <c r="G35" i="4"/>
  <c r="K35" i="4"/>
  <c r="E35" i="4"/>
  <c r="H35" i="4"/>
  <c r="L35" i="4"/>
  <c r="Q35" i="4"/>
  <c r="C35" i="4"/>
  <c r="N35" i="4"/>
  <c r="P35" i="4" s="1"/>
  <c r="J35" i="4"/>
  <c r="F35" i="4"/>
  <c r="D35" i="4"/>
  <c r="R35" i="4"/>
  <c r="H53" i="4"/>
  <c r="Q53" i="4"/>
  <c r="J53" i="4"/>
  <c r="E53" i="4"/>
  <c r="D53" i="4"/>
  <c r="R53" i="4"/>
  <c r="L53" i="4"/>
  <c r="N53" i="4"/>
  <c r="P53" i="4" s="1"/>
  <c r="F53" i="4"/>
  <c r="C53" i="4"/>
  <c r="G53" i="4"/>
  <c r="L23" i="4"/>
  <c r="R23" i="4"/>
  <c r="J23" i="4"/>
  <c r="N23" i="4"/>
  <c r="P23" i="4" s="1"/>
  <c r="Q23" i="4"/>
  <c r="F23" i="4"/>
  <c r="G23" i="4"/>
  <c r="D23" i="4"/>
  <c r="H23" i="4"/>
  <c r="K23" i="4"/>
  <c r="E23" i="4"/>
  <c r="C23" i="4"/>
  <c r="D36" i="4"/>
  <c r="J36" i="4"/>
  <c r="H36" i="4"/>
  <c r="G36" i="4"/>
  <c r="E36" i="4"/>
  <c r="K36" i="4"/>
  <c r="N36" i="4"/>
  <c r="P36" i="4" s="1"/>
  <c r="C36" i="4"/>
  <c r="R36" i="4"/>
  <c r="F36" i="4"/>
  <c r="L36" i="4"/>
  <c r="Q36" i="4"/>
  <c r="C20" i="4"/>
  <c r="C16" i="4"/>
  <c r="L41" i="4"/>
  <c r="F41" i="4"/>
  <c r="E41" i="4"/>
  <c r="D41" i="4"/>
  <c r="H41" i="4"/>
  <c r="Q41" i="4"/>
  <c r="K41" i="4"/>
  <c r="J41" i="4"/>
  <c r="C41" i="4"/>
  <c r="R41" i="4"/>
  <c r="N41" i="4"/>
  <c r="P41" i="4" s="1"/>
  <c r="G41" i="4"/>
  <c r="N51" i="4"/>
  <c r="P51" i="4" s="1"/>
  <c r="J51" i="4"/>
  <c r="E51" i="4"/>
  <c r="L51" i="4"/>
  <c r="R51" i="4"/>
  <c r="Q51" i="4"/>
  <c r="K51" i="4"/>
  <c r="G51" i="4"/>
  <c r="D51" i="4"/>
  <c r="F51" i="4"/>
  <c r="C51" i="4"/>
  <c r="H51" i="4"/>
  <c r="J49" i="4"/>
  <c r="F49" i="4"/>
  <c r="R49" i="4"/>
  <c r="D49" i="4"/>
  <c r="G49" i="4"/>
  <c r="L49" i="4"/>
  <c r="K49" i="4"/>
  <c r="H49" i="4"/>
  <c r="Q49" i="4"/>
  <c r="N49" i="4"/>
  <c r="P49" i="4" s="1"/>
  <c r="E49" i="4"/>
  <c r="C49" i="4"/>
  <c r="G52" i="4"/>
  <c r="N52" i="4"/>
  <c r="P52" i="4" s="1"/>
  <c r="H52" i="4"/>
  <c r="F52" i="4"/>
  <c r="R52" i="4"/>
  <c r="J52" i="4"/>
  <c r="L52" i="4"/>
  <c r="C52" i="4"/>
  <c r="Q52" i="4"/>
  <c r="D52" i="4"/>
  <c r="E52" i="4"/>
  <c r="K52" i="4"/>
  <c r="J27" i="4"/>
  <c r="Q27" i="4"/>
  <c r="E27" i="4"/>
  <c r="D27" i="4"/>
  <c r="L27" i="4"/>
  <c r="H27" i="4"/>
  <c r="G27" i="4"/>
  <c r="R27" i="4"/>
  <c r="C27" i="4"/>
  <c r="F27" i="4"/>
  <c r="K27" i="4"/>
  <c r="N27" i="4"/>
  <c r="P27" i="4" s="1"/>
  <c r="Q29" i="4"/>
  <c r="F29" i="4"/>
  <c r="K29" i="4"/>
  <c r="G29" i="4"/>
  <c r="C29" i="4"/>
  <c r="E29" i="4"/>
  <c r="D29" i="4"/>
  <c r="H29" i="4"/>
  <c r="R29" i="4"/>
  <c r="L29" i="4"/>
  <c r="N29" i="4"/>
  <c r="P29" i="4" s="1"/>
  <c r="J29" i="4"/>
  <c r="C25" i="4"/>
  <c r="N25" i="4"/>
  <c r="P25" i="4" s="1"/>
  <c r="D25" i="4"/>
  <c r="Q25" i="4"/>
  <c r="L25" i="4"/>
  <c r="H25" i="4"/>
  <c r="G25" i="4"/>
  <c r="K25" i="4"/>
  <c r="R25" i="4"/>
  <c r="J25" i="4"/>
  <c r="F25" i="4"/>
  <c r="E25" i="4"/>
  <c r="H48" i="4"/>
  <c r="E48" i="4"/>
  <c r="L48" i="4"/>
  <c r="Q48" i="4"/>
  <c r="K48" i="4"/>
  <c r="D48" i="4"/>
  <c r="J48" i="4"/>
  <c r="N48" i="4"/>
  <c r="P48" i="4" s="1"/>
  <c r="G48" i="4"/>
  <c r="R48" i="4"/>
  <c r="C48" i="4"/>
  <c r="F48" i="4"/>
  <c r="R14" i="4"/>
  <c r="I60" i="3"/>
  <c r="N60" i="3" s="1"/>
  <c r="R64" i="3"/>
  <c r="Z54" i="3"/>
  <c r="AK60" i="3"/>
  <c r="AK54" i="3"/>
  <c r="AK59" i="3"/>
  <c r="X61" i="3"/>
  <c r="Z59" i="3"/>
  <c r="V59" i="3"/>
  <c r="T59" i="3"/>
  <c r="V60" i="3"/>
  <c r="V61" i="3"/>
  <c r="W59" i="3"/>
  <c r="AA54" i="3" l="1"/>
  <c r="N55" i="4"/>
  <c r="P55" i="4" s="1"/>
  <c r="AO54" i="3"/>
  <c r="AL60" i="3"/>
  <c r="AB60" i="3" s="1"/>
  <c r="K15" i="4" s="1"/>
  <c r="Y61" i="3"/>
  <c r="H16" i="4"/>
  <c r="H15" i="4"/>
  <c r="AL59" i="3"/>
  <c r="AB59" i="3" s="1"/>
  <c r="K14" i="4" s="1"/>
  <c r="I14" i="4"/>
  <c r="H14" i="4"/>
  <c r="AA59" i="3"/>
  <c r="N14" i="4"/>
  <c r="P14" i="4" s="1"/>
  <c r="AL54" i="3"/>
  <c r="L14" i="4"/>
  <c r="J15" i="4"/>
  <c r="J14" i="4"/>
  <c r="S63" i="3"/>
  <c r="E61" i="3"/>
  <c r="D15" i="4"/>
  <c r="AM53" i="3"/>
  <c r="AB53" i="3"/>
  <c r="G62" i="3"/>
  <c r="G16" i="4"/>
  <c r="R15" i="4"/>
  <c r="I61" i="3"/>
  <c r="R65" i="3"/>
  <c r="S55" i="3"/>
  <c r="AN54" i="3"/>
  <c r="Z55" i="3"/>
  <c r="AK61" i="3"/>
  <c r="AK55" i="3"/>
  <c r="Z60" i="3"/>
  <c r="X62" i="3"/>
  <c r="W60" i="3"/>
  <c r="V62" i="3"/>
  <c r="T60" i="3"/>
  <c r="AP54" i="3" l="1"/>
  <c r="AQ54" i="3" s="1"/>
  <c r="N56" i="4"/>
  <c r="P56" i="4" s="1"/>
  <c r="AA55" i="3"/>
  <c r="AL61" i="3"/>
  <c r="Y62" i="3"/>
  <c r="H17" i="4"/>
  <c r="K53" i="4"/>
  <c r="L15" i="4"/>
  <c r="I15" i="4"/>
  <c r="N15" i="4"/>
  <c r="P15" i="4" s="1"/>
  <c r="AA60" i="3"/>
  <c r="AL55" i="3"/>
  <c r="S64" i="3"/>
  <c r="AN55" i="3"/>
  <c r="I62" i="3"/>
  <c r="R16" i="4"/>
  <c r="N61" i="3"/>
  <c r="G17" i="4"/>
  <c r="G63" i="3"/>
  <c r="AM54" i="3"/>
  <c r="AB54" i="3"/>
  <c r="K55" i="4" s="1"/>
  <c r="R66" i="3"/>
  <c r="AO55" i="3"/>
  <c r="E62" i="3"/>
  <c r="D16" i="4"/>
  <c r="AK62" i="3"/>
  <c r="V63" i="3"/>
  <c r="X63" i="3"/>
  <c r="T61" i="3"/>
  <c r="W61" i="3"/>
  <c r="Z61" i="3"/>
  <c r="AL62" i="3" l="1"/>
  <c r="AP55" i="3"/>
  <c r="AQ55" i="3" s="1"/>
  <c r="Y63" i="3"/>
  <c r="H18" i="4"/>
  <c r="K54" i="4"/>
  <c r="L16" i="4"/>
  <c r="AA61" i="3"/>
  <c r="N16" i="4"/>
  <c r="P16" i="4" s="1"/>
  <c r="I16" i="4"/>
  <c r="E63" i="3"/>
  <c r="D17" i="4"/>
  <c r="G64" i="3"/>
  <c r="G18" i="4"/>
  <c r="S65" i="3"/>
  <c r="AM55" i="3"/>
  <c r="AB55" i="3"/>
  <c r="K56" i="4" s="1"/>
  <c r="J16" i="4"/>
  <c r="AB61" i="3"/>
  <c r="K16" i="4" s="1"/>
  <c r="R17" i="4"/>
  <c r="I63" i="3"/>
  <c r="N62" i="3"/>
  <c r="AK63" i="3"/>
  <c r="X64" i="3"/>
  <c r="T62" i="3"/>
  <c r="Z62" i="3"/>
  <c r="W62" i="3"/>
  <c r="V64" i="3"/>
  <c r="AL63" i="3" l="1"/>
  <c r="Y64" i="3"/>
  <c r="H19" i="4"/>
  <c r="L17" i="4"/>
  <c r="AA62" i="3"/>
  <c r="N17" i="4"/>
  <c r="P17" i="4" s="1"/>
  <c r="I17" i="4"/>
  <c r="R18" i="4"/>
  <c r="I64" i="3"/>
  <c r="N63" i="3"/>
  <c r="AB62" i="3"/>
  <c r="K17" i="4" s="1"/>
  <c r="J17" i="4"/>
  <c r="G65" i="3"/>
  <c r="G19" i="4"/>
  <c r="S66" i="3"/>
  <c r="E64" i="3"/>
  <c r="D18" i="4"/>
  <c r="AK64" i="3"/>
  <c r="V65" i="3"/>
  <c r="W63" i="3"/>
  <c r="Z63" i="3"/>
  <c r="X65" i="3"/>
  <c r="T63" i="3"/>
  <c r="AL64" i="3" l="1"/>
  <c r="H20" i="4"/>
  <c r="Y65" i="3"/>
  <c r="AA63" i="3"/>
  <c r="N18" i="4"/>
  <c r="P18" i="4" s="1"/>
  <c r="L18" i="4"/>
  <c r="I18" i="4"/>
  <c r="J18" i="4"/>
  <c r="AB63" i="3"/>
  <c r="K18" i="4" s="1"/>
  <c r="G66" i="3"/>
  <c r="G20" i="4"/>
  <c r="I65" i="3"/>
  <c r="R19" i="4"/>
  <c r="N64" i="3"/>
  <c r="D19" i="4"/>
  <c r="E65" i="3"/>
  <c r="AK65" i="3"/>
  <c r="W64" i="3"/>
  <c r="T64" i="3"/>
  <c r="X66" i="3"/>
  <c r="Z64" i="3"/>
  <c r="V66" i="3"/>
  <c r="AL65" i="3" l="1"/>
  <c r="H21" i="4"/>
  <c r="Y66" i="3"/>
  <c r="G21" i="4"/>
  <c r="L19" i="4"/>
  <c r="AA64" i="3"/>
  <c r="N19" i="4"/>
  <c r="P19" i="4" s="1"/>
  <c r="I19" i="4"/>
  <c r="AB64" i="3"/>
  <c r="K19" i="4" s="1"/>
  <c r="J19" i="4"/>
  <c r="I66" i="3"/>
  <c r="R20" i="4"/>
  <c r="N65" i="3"/>
  <c r="E66" i="3"/>
  <c r="D21" i="4" s="1"/>
  <c r="D20" i="4"/>
  <c r="AK66" i="3"/>
  <c r="T65" i="3"/>
  <c r="Z65" i="3"/>
  <c r="W65" i="3"/>
  <c r="AL66" i="3" l="1"/>
  <c r="L20" i="4"/>
  <c r="I20" i="4"/>
  <c r="AA65" i="3"/>
  <c r="N20" i="4"/>
  <c r="P20" i="4" s="1"/>
  <c r="R21" i="4"/>
  <c r="N66" i="3"/>
  <c r="J20" i="4"/>
  <c r="AB65" i="3"/>
  <c r="K20" i="4" s="1"/>
  <c r="T66" i="3"/>
  <c r="Z66" i="3"/>
  <c r="W66" i="3"/>
  <c r="L21" i="4" l="1"/>
  <c r="I21" i="4"/>
  <c r="AA66" i="3"/>
  <c r="N21" i="4"/>
  <c r="P21" i="4" s="1"/>
  <c r="J21" i="4"/>
  <c r="AB66" i="3"/>
  <c r="K21" i="4" s="1"/>
</calcChain>
</file>

<file path=xl/comments1.xml><?xml version="1.0" encoding="utf-8"?>
<comments xmlns="http://schemas.openxmlformats.org/spreadsheetml/2006/main">
  <authors>
    <author>Wang, Wei (CPA) (GGO)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Wang, Wei (CPA) (GGO):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银行间代码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Wang, Wei (CPA) (GGO):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净价</t>
        </r>
      </text>
    </comment>
  </commentList>
</comments>
</file>

<file path=xl/sharedStrings.xml><?xml version="1.0" encoding="utf-8"?>
<sst xmlns="http://schemas.openxmlformats.org/spreadsheetml/2006/main" count="195" uniqueCount="169">
  <si>
    <t>更新时间</t>
    <phoneticPr fontId="3" type="noConversion"/>
  </si>
  <si>
    <t>更新日期</t>
    <phoneticPr fontId="3" type="noConversion"/>
  </si>
  <si>
    <t>CN7DRP=CFXS</t>
    <phoneticPr fontId="3" type="noConversion"/>
  </si>
  <si>
    <t>期货买一</t>
    <phoneticPr fontId="3" type="noConversion"/>
  </si>
  <si>
    <t>期货卖一</t>
    <phoneticPr fontId="3" type="noConversion"/>
  </si>
  <si>
    <t>最后交易日</t>
    <phoneticPr fontId="3" type="noConversion"/>
  </si>
  <si>
    <t>未平仓</t>
    <phoneticPr fontId="3" type="noConversion"/>
  </si>
  <si>
    <t>期货最新</t>
    <phoneticPr fontId="3" type="noConversion"/>
  </si>
  <si>
    <t>CTFc1</t>
    <phoneticPr fontId="3" type="noConversion"/>
  </si>
  <si>
    <t>CTFc2</t>
    <phoneticPr fontId="3" type="noConversion"/>
  </si>
  <si>
    <t>CTFc3</t>
    <phoneticPr fontId="3" type="noConversion"/>
  </si>
  <si>
    <t>成交量</t>
    <phoneticPr fontId="3" type="noConversion"/>
  </si>
  <si>
    <t>交易所代码</t>
    <phoneticPr fontId="3" type="noConversion"/>
  </si>
  <si>
    <t>CDCT</t>
    <phoneticPr fontId="3" type="noConversion"/>
  </si>
  <si>
    <t>CDC</t>
    <phoneticPr fontId="3" type="noConversion"/>
  </si>
  <si>
    <t>CDCS</t>
    <phoneticPr fontId="3" type="noConversion"/>
  </si>
  <si>
    <t>CDCZ</t>
    <phoneticPr fontId="3" type="noConversion"/>
  </si>
  <si>
    <t>CFXM</t>
    <phoneticPr fontId="3" type="noConversion"/>
  </si>
  <si>
    <t>CFXS</t>
    <phoneticPr fontId="3" type="noConversion"/>
  </si>
  <si>
    <t>RRPS</t>
    <phoneticPr fontId="3" type="noConversion"/>
  </si>
  <si>
    <t>Price Sources</t>
    <phoneticPr fontId="3" type="noConversion"/>
  </si>
  <si>
    <t>Bid</t>
    <phoneticPr fontId="3" type="noConversion"/>
  </si>
  <si>
    <t>Ask</t>
    <phoneticPr fontId="3" type="noConversion"/>
  </si>
  <si>
    <t>B Party</t>
    <phoneticPr fontId="3" type="noConversion"/>
  </si>
  <si>
    <t>A Party</t>
    <phoneticPr fontId="3" type="noConversion"/>
  </si>
  <si>
    <t>Name</t>
    <phoneticPr fontId="3" type="noConversion"/>
  </si>
  <si>
    <t>国债公司估值</t>
    <phoneticPr fontId="3" type="noConversion"/>
  </si>
  <si>
    <t>国债公司上海估值</t>
    <phoneticPr fontId="3" type="noConversion"/>
  </si>
  <si>
    <t>国债公司深圳估值</t>
    <phoneticPr fontId="3" type="noConversion"/>
  </si>
  <si>
    <t>银行间报价</t>
    <phoneticPr fontId="3" type="noConversion"/>
  </si>
  <si>
    <t>银行间成交</t>
    <phoneticPr fontId="3" type="noConversion"/>
  </si>
  <si>
    <t>路透估值</t>
    <phoneticPr fontId="3" type="noConversion"/>
  </si>
  <si>
    <t>路透综合价</t>
    <phoneticPr fontId="3" type="noConversion"/>
  </si>
  <si>
    <t>RIC</t>
    <phoneticPr fontId="3" type="noConversion"/>
  </si>
  <si>
    <t>Coupon</t>
    <phoneticPr fontId="3" type="noConversion"/>
  </si>
  <si>
    <t>Matu.</t>
    <phoneticPr fontId="3" type="noConversion"/>
  </si>
  <si>
    <t>Frq</t>
    <phoneticPr fontId="3" type="noConversion"/>
  </si>
  <si>
    <t>CF</t>
    <phoneticPr fontId="3" type="noConversion"/>
  </si>
  <si>
    <t>Price</t>
    <phoneticPr fontId="3" type="noConversion"/>
  </si>
  <si>
    <t>价格类型</t>
    <phoneticPr fontId="3" type="noConversion"/>
  </si>
  <si>
    <t>买价</t>
    <phoneticPr fontId="3" type="noConversion"/>
  </si>
  <si>
    <t>卖价</t>
    <phoneticPr fontId="3" type="noConversion"/>
  </si>
  <si>
    <t>CTF</t>
    <phoneticPr fontId="3" type="noConversion"/>
  </si>
  <si>
    <t>Basis</t>
    <phoneticPr fontId="3" type="noConversion"/>
  </si>
  <si>
    <t>IRR</t>
    <phoneticPr fontId="3" type="noConversion"/>
  </si>
  <si>
    <t>Bond Structure</t>
    <phoneticPr fontId="3" type="noConversion"/>
  </si>
  <si>
    <t>EJV.X.ADF_BONDSTRUCTURE</t>
  </si>
  <si>
    <t>R Matu.</t>
    <phoneticPr fontId="3" type="noConversion"/>
  </si>
  <si>
    <t>R Start.</t>
    <phoneticPr fontId="3" type="noConversion"/>
  </si>
  <si>
    <t>Repo Rate</t>
    <phoneticPr fontId="3" type="noConversion"/>
  </si>
  <si>
    <r>
      <t>7</t>
    </r>
    <r>
      <rPr>
        <sz val="10"/>
        <color theme="1"/>
        <rFont val="宋体"/>
        <family val="3"/>
        <charset val="134"/>
      </rPr>
      <t>天回购定盘利率</t>
    </r>
    <phoneticPr fontId="3" type="noConversion"/>
  </si>
  <si>
    <r>
      <t>7</t>
    </r>
    <r>
      <rPr>
        <sz val="10"/>
        <color theme="1"/>
        <rFont val="宋体"/>
        <family val="3"/>
        <charset val="134"/>
      </rPr>
      <t>天回购最新利率</t>
    </r>
    <phoneticPr fontId="3" type="noConversion"/>
  </si>
  <si>
    <t>YTM</t>
    <phoneticPr fontId="3" type="noConversion"/>
  </si>
  <si>
    <t>Rate Stur</t>
    <phoneticPr fontId="3" type="noConversion"/>
  </si>
  <si>
    <t>EJV.X.ADF_RATESTRUCTURE</t>
  </si>
  <si>
    <t>AI</t>
    <phoneticPr fontId="3" type="noConversion"/>
  </si>
  <si>
    <t>DP</t>
    <phoneticPr fontId="3" type="noConversion"/>
  </si>
  <si>
    <t>FP</t>
    <phoneticPr fontId="3" type="noConversion"/>
  </si>
  <si>
    <t>CN7DRPFIX=CFXS</t>
  </si>
  <si>
    <t>time</t>
    <phoneticPr fontId="3" type="noConversion"/>
  </si>
  <si>
    <t>date</t>
    <phoneticPr fontId="3" type="noConversion"/>
  </si>
  <si>
    <t>party</t>
    <phoneticPr fontId="3" type="noConversion"/>
  </si>
  <si>
    <t>Net Basis</t>
    <phoneticPr fontId="3" type="noConversion"/>
  </si>
  <si>
    <t>Diff</t>
    <phoneticPr fontId="3" type="noConversion"/>
  </si>
  <si>
    <t>Price Source</t>
    <phoneticPr fontId="3" type="noConversion"/>
  </si>
  <si>
    <r>
      <rPr>
        <sz val="10"/>
        <color rgb="FF3F3F76"/>
        <rFont val="宋体"/>
        <family val="3"/>
        <charset val="134"/>
      </rPr>
      <t>选择合约</t>
    </r>
    <phoneticPr fontId="3" type="noConversion"/>
  </si>
  <si>
    <r>
      <rPr>
        <sz val="10"/>
        <color rgb="FF3F3F76"/>
        <rFont val="宋体"/>
        <family val="3"/>
        <charset val="134"/>
      </rPr>
      <t>选择价格</t>
    </r>
    <phoneticPr fontId="3" type="noConversion"/>
  </si>
  <si>
    <r>
      <rPr>
        <sz val="10"/>
        <color rgb="FF3F3F76"/>
        <rFont val="宋体"/>
        <family val="3"/>
        <charset val="134"/>
      </rPr>
      <t>价格类型</t>
    </r>
    <phoneticPr fontId="3" type="noConversion"/>
  </si>
  <si>
    <r>
      <rPr>
        <sz val="10"/>
        <color rgb="FF3F3F76"/>
        <rFont val="宋体"/>
        <family val="3"/>
        <charset val="134"/>
      </rPr>
      <t>回购利率</t>
    </r>
    <phoneticPr fontId="3" type="noConversion"/>
  </si>
  <si>
    <r>
      <rPr>
        <sz val="10"/>
        <color rgb="FF3F3F76"/>
        <rFont val="宋体"/>
        <family val="3"/>
        <charset val="134"/>
      </rPr>
      <t>指定</t>
    </r>
    <r>
      <rPr>
        <sz val="10"/>
        <color rgb="FF3F3F76"/>
        <rFont val="Tahoma"/>
        <family val="2"/>
      </rPr>
      <t>CTD</t>
    </r>
    <phoneticPr fontId="3" type="noConversion"/>
  </si>
  <si>
    <r>
      <rPr>
        <b/>
        <sz val="12"/>
        <color theme="0"/>
        <rFont val="宋体"/>
        <family val="3"/>
        <charset val="134"/>
      </rPr>
      <t>选定价格源</t>
    </r>
    <r>
      <rPr>
        <b/>
        <sz val="12"/>
        <color theme="0"/>
        <rFont val="Tahoma"/>
        <family val="2"/>
        <charset val="134"/>
      </rPr>
      <t>CTD</t>
    </r>
    <phoneticPr fontId="3" type="noConversion"/>
  </si>
  <si>
    <r>
      <rPr>
        <b/>
        <sz val="12"/>
        <color theme="0"/>
        <rFont val="宋体"/>
        <family val="3"/>
        <charset val="134"/>
      </rPr>
      <t>指定</t>
    </r>
    <r>
      <rPr>
        <b/>
        <sz val="12"/>
        <color theme="0"/>
        <rFont val="Tahoma"/>
        <family val="2"/>
        <charset val="134"/>
      </rPr>
      <t>CTD</t>
    </r>
    <phoneticPr fontId="3" type="noConversion"/>
  </si>
  <si>
    <t>期货合理价</t>
    <phoneticPr fontId="3" type="noConversion"/>
  </si>
  <si>
    <t>隐含回购</t>
    <phoneticPr fontId="3" type="noConversion"/>
  </si>
  <si>
    <t>净基差</t>
    <phoneticPr fontId="3" type="noConversion"/>
  </si>
  <si>
    <t>基差</t>
    <phoneticPr fontId="3" type="noConversion"/>
  </si>
  <si>
    <t>报价时间</t>
    <phoneticPr fontId="3" type="noConversion"/>
  </si>
  <si>
    <t>债券</t>
    <phoneticPr fontId="3" type="noConversion"/>
  </si>
  <si>
    <t>期货最新</t>
    <phoneticPr fontId="3" type="noConversion"/>
  </si>
  <si>
    <t>N - M</t>
    <phoneticPr fontId="3" type="noConversion"/>
  </si>
  <si>
    <t>报价商</t>
    <phoneticPr fontId="3" type="noConversion"/>
  </si>
  <si>
    <t>净价</t>
    <phoneticPr fontId="3" type="noConversion"/>
  </si>
  <si>
    <t>Carry</t>
    <phoneticPr fontId="3" type="noConversion"/>
  </si>
  <si>
    <t>转换因子</t>
    <phoneticPr fontId="3" type="noConversion"/>
  </si>
  <si>
    <t>实际回购</t>
    <phoneticPr fontId="3" type="noConversion"/>
  </si>
  <si>
    <t>结算价</t>
    <phoneticPr fontId="3" type="noConversion"/>
  </si>
  <si>
    <r>
      <t>7</t>
    </r>
    <r>
      <rPr>
        <sz val="10"/>
        <color theme="1"/>
        <rFont val="宋体"/>
        <family val="3"/>
        <charset val="134"/>
      </rPr>
      <t>天回购加权平均利率</t>
    </r>
    <phoneticPr fontId="3" type="noConversion"/>
  </si>
  <si>
    <t>前日结算</t>
    <phoneticPr fontId="3" type="noConversion"/>
  </si>
  <si>
    <t>剩余期限/到期日期</t>
    <phoneticPr fontId="3" type="noConversion"/>
  </si>
  <si>
    <r>
      <rPr>
        <sz val="10"/>
        <color rgb="FF3F3F76"/>
        <rFont val="宋体"/>
        <family val="3"/>
        <charset val="134"/>
      </rPr>
      <t>可交割券</t>
    </r>
    <phoneticPr fontId="3" type="noConversion"/>
  </si>
  <si>
    <t>Month</t>
  </si>
  <si>
    <t>Code</t>
  </si>
  <si>
    <t>#</t>
  </si>
  <si>
    <t>January</t>
  </si>
  <si>
    <t>F</t>
  </si>
  <si>
    <t>February</t>
  </si>
  <si>
    <t>G</t>
  </si>
  <si>
    <t>March</t>
  </si>
  <si>
    <t>H</t>
  </si>
  <si>
    <t>April</t>
  </si>
  <si>
    <t>J</t>
  </si>
  <si>
    <t>May</t>
  </si>
  <si>
    <t>K</t>
  </si>
  <si>
    <t>June</t>
  </si>
  <si>
    <t>M</t>
  </si>
  <si>
    <t>July</t>
  </si>
  <si>
    <t>N</t>
  </si>
  <si>
    <t>August</t>
  </si>
  <si>
    <t>Q</t>
  </si>
  <si>
    <t>September</t>
  </si>
  <si>
    <t>U</t>
  </si>
  <si>
    <t>October</t>
  </si>
  <si>
    <t>V</t>
  </si>
  <si>
    <t>November</t>
  </si>
  <si>
    <t>X</t>
  </si>
  <si>
    <t>December</t>
  </si>
  <si>
    <t>Z</t>
  </si>
  <si>
    <t>用户输入</t>
    <phoneticPr fontId="3" type="noConversion"/>
  </si>
  <si>
    <t>YTM*</t>
    <phoneticPr fontId="3" type="noConversion"/>
  </si>
  <si>
    <t>new column YTM* = ytm of future price * conversion factor</t>
    <phoneticPr fontId="3" type="noConversion"/>
  </si>
  <si>
    <t>YTM*</t>
    <phoneticPr fontId="3" type="noConversion"/>
  </si>
  <si>
    <t>Add hyperlinks</t>
    <phoneticPr fontId="3" type="noConversion"/>
  </si>
  <si>
    <t>TPSC</t>
    <phoneticPr fontId="3" type="noConversion"/>
  </si>
  <si>
    <t>add TPSC prices and remove CDCZ</t>
    <phoneticPr fontId="3" type="noConversion"/>
  </si>
  <si>
    <t>remove TPSC</t>
    <phoneticPr fontId="3" type="noConversion"/>
  </si>
  <si>
    <t>CFXM</t>
    <phoneticPr fontId="3" type="noConversion"/>
  </si>
  <si>
    <t>Use CFXM to get bond name</t>
    <phoneticPr fontId="3" type="noConversion"/>
  </si>
  <si>
    <t>2WD</t>
    <phoneticPr fontId="3" type="noConversion"/>
  </si>
  <si>
    <t>算至交券日</t>
    <phoneticPr fontId="3" type="noConversion"/>
  </si>
  <si>
    <t>算至配对缴款日</t>
    <phoneticPr fontId="3" type="noConversion"/>
  </si>
  <si>
    <t>算至收券日</t>
    <phoneticPr fontId="3" type="noConversion"/>
  </si>
  <si>
    <t>1WD</t>
    <phoneticPr fontId="3" type="noConversion"/>
  </si>
  <si>
    <t>3WD</t>
    <phoneticPr fontId="3" type="noConversion"/>
  </si>
  <si>
    <t>Add choice of delivery date</t>
    <phoneticPr fontId="3" type="noConversion"/>
  </si>
  <si>
    <t>CNREPO=CFXS</t>
  </si>
  <si>
    <t>最新利率</t>
    <phoneticPr fontId="3" type="noConversion"/>
  </si>
  <si>
    <t>期限</t>
    <phoneticPr fontId="3" type="noConversion"/>
  </si>
  <si>
    <t>交易日</t>
    <phoneticPr fontId="3" type="noConversion"/>
  </si>
  <si>
    <t>时间</t>
    <phoneticPr fontId="3" type="noConversion"/>
  </si>
  <si>
    <t>加权平均</t>
    <phoneticPr fontId="3" type="noConversion"/>
  </si>
  <si>
    <t>回购最新利率插值</t>
    <phoneticPr fontId="3" type="noConversion"/>
  </si>
  <si>
    <t>回购加权平均利率插值</t>
    <phoneticPr fontId="3" type="noConversion"/>
  </si>
  <si>
    <t>add more repo rates</t>
    <phoneticPr fontId="3" type="noConversion"/>
  </si>
  <si>
    <t>插值</t>
    <phoneticPr fontId="3" type="noConversion"/>
  </si>
  <si>
    <t>国债公司结算价</t>
    <phoneticPr fontId="3" type="noConversion"/>
  </si>
  <si>
    <t>a small bug of AdInterp</t>
    <phoneticPr fontId="3" type="noConversion"/>
  </si>
  <si>
    <t xml:space="preserve">1W    </t>
    <phoneticPr fontId="3" type="noConversion"/>
  </si>
  <si>
    <t xml:space="preserve">9M    </t>
    <phoneticPr fontId="3" type="noConversion"/>
  </si>
  <si>
    <t xml:space="preserve">2W    </t>
    <phoneticPr fontId="3" type="noConversion"/>
  </si>
  <si>
    <t/>
  </si>
  <si>
    <t xml:space="preserve">1D    </t>
    <phoneticPr fontId="3" type="noConversion"/>
  </si>
  <si>
    <t xml:space="preserve">3W    </t>
    <phoneticPr fontId="3" type="noConversion"/>
  </si>
  <si>
    <t xml:space="preserve">1M    </t>
    <phoneticPr fontId="3" type="noConversion"/>
  </si>
  <si>
    <t xml:space="preserve">2M    </t>
    <phoneticPr fontId="3" type="noConversion"/>
  </si>
  <si>
    <t xml:space="preserve">3M    </t>
    <phoneticPr fontId="3" type="noConversion"/>
  </si>
  <si>
    <t xml:space="preserve">4M    </t>
    <phoneticPr fontId="3" type="noConversion"/>
  </si>
  <si>
    <t xml:space="preserve">6M    </t>
    <phoneticPr fontId="3" type="noConversion"/>
  </si>
  <si>
    <t xml:space="preserve">  :  </t>
  </si>
  <si>
    <t xml:space="preserve">  :  </t>
    <phoneticPr fontId="3" type="noConversion"/>
  </si>
  <si>
    <t xml:space="preserve">1Y    </t>
    <phoneticPr fontId="3" type="noConversion"/>
  </si>
  <si>
    <t>CFTc1</t>
    <phoneticPr fontId="3" type="noConversion"/>
  </si>
  <si>
    <t>CFTc2</t>
    <phoneticPr fontId="3" type="noConversion"/>
  </si>
  <si>
    <t>CFTc3</t>
    <phoneticPr fontId="3" type="noConversion"/>
  </si>
  <si>
    <t xml:space="preserve">      TF1509</t>
  </si>
  <si>
    <t xml:space="preserve">      TF1512</t>
  </si>
  <si>
    <t xml:space="preserve">       T1509</t>
  </si>
  <si>
    <t xml:space="preserve">       T1512</t>
  </si>
  <si>
    <t xml:space="preserve">       T1603</t>
  </si>
  <si>
    <t>Supoort 10Y futures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</si>
</sst>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400]h:mm:ss\ AM/PM"/>
    <numFmt numFmtId="177" formatCode="0.0000"/>
    <numFmt numFmtId="178" formatCode="0.0000%"/>
    <numFmt numFmtId="179" formatCode="0.000_);[Red]\(0.000\)"/>
    <numFmt numFmtId="180" formatCode="0.000"/>
    <numFmt numFmtId="181" formatCode="mm/dd\ hh:mm"/>
  </numFmts>
  <fonts count="19" x14ac:knownFonts="1">
    <font>
      <sz val="10"/>
      <color theme="1"/>
      <name val="Tahoma"/>
      <family val="2"/>
      <charset val="134"/>
    </font>
    <font>
      <sz val="10"/>
      <color theme="1"/>
      <name val="Tahoma"/>
      <family val="2"/>
      <charset val="134"/>
    </font>
    <font>
      <sz val="10"/>
      <color rgb="FF3F3F76"/>
      <name val="Tahoma"/>
      <family val="2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 tint="-0.14999847407452621"/>
      <name val="Tahoma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ahoma"/>
      <family val="2"/>
    </font>
    <font>
      <b/>
      <sz val="10"/>
      <color theme="0" tint="-0.14999847407452621"/>
      <name val="Tahoma"/>
      <family val="2"/>
    </font>
    <font>
      <sz val="10"/>
      <color theme="0" tint="-0.14999847407452621"/>
      <name val="Tahoma"/>
      <family val="2"/>
    </font>
    <font>
      <sz val="10"/>
      <color rgb="FF3F3F76"/>
      <name val="宋体"/>
      <family val="3"/>
      <charset val="134"/>
    </font>
    <font>
      <sz val="10"/>
      <color rgb="FF3F3F76"/>
      <name val="Tahoma"/>
      <family val="2"/>
    </font>
    <font>
      <b/>
      <sz val="12"/>
      <color theme="0"/>
      <name val="Tahoma"/>
      <family val="2"/>
      <charset val="134"/>
    </font>
    <font>
      <b/>
      <sz val="12"/>
      <color theme="0"/>
      <name val="宋体"/>
      <family val="3"/>
      <charset val="134"/>
    </font>
    <font>
      <b/>
      <sz val="10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u/>
      <sz val="10"/>
      <color theme="10"/>
      <name val="Tahoma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2" borderId="1" xfId="1">
      <alignment vertical="center"/>
    </xf>
    <xf numFmtId="0" fontId="5" fillId="0" borderId="0" xfId="0" applyFont="1">
      <alignment vertical="center"/>
    </xf>
    <xf numFmtId="0" fontId="1" fillId="0" borderId="0" xfId="2" applyFill="1">
      <alignment vertical="center"/>
    </xf>
    <xf numFmtId="0" fontId="0" fillId="4" borderId="0" xfId="0" applyFill="1">
      <alignment vertical="center"/>
    </xf>
    <xf numFmtId="178" fontId="0" fillId="0" borderId="0" xfId="3" quotePrefix="1" applyNumberFormat="1" applyFont="1">
      <alignment vertical="center"/>
    </xf>
    <xf numFmtId="178" fontId="0" fillId="0" borderId="0" xfId="3" applyNumberFormat="1" applyFo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8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14" fontId="0" fillId="7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5" borderId="2" xfId="0" applyFill="1" applyBorder="1">
      <alignment vertical="center"/>
    </xf>
    <xf numFmtId="177" fontId="0" fillId="5" borderId="2" xfId="0" applyNumberFormat="1" applyFill="1" applyBorder="1">
      <alignment vertical="center"/>
    </xf>
    <xf numFmtId="178" fontId="0" fillId="5" borderId="2" xfId="3" applyNumberFormat="1" applyFont="1" applyFill="1" applyBorder="1">
      <alignment vertical="center"/>
    </xf>
    <xf numFmtId="179" fontId="0" fillId="5" borderId="2" xfId="0" applyNumberFormat="1" applyFill="1" applyBorder="1">
      <alignment vertical="center"/>
    </xf>
    <xf numFmtId="0" fontId="7" fillId="6" borderId="2" xfId="0" applyFont="1" applyFill="1" applyBorder="1">
      <alignment vertical="center"/>
    </xf>
    <xf numFmtId="177" fontId="7" fillId="6" borderId="2" xfId="0" applyNumberFormat="1" applyFont="1" applyFill="1" applyBorder="1">
      <alignment vertical="center"/>
    </xf>
    <xf numFmtId="178" fontId="7" fillId="6" borderId="2" xfId="3" applyNumberFormat="1" applyFont="1" applyFill="1" applyBorder="1">
      <alignment vertical="center"/>
    </xf>
    <xf numFmtId="179" fontId="7" fillId="6" borderId="2" xfId="0" applyNumberFormat="1" applyFont="1" applyFill="1" applyBorder="1">
      <alignment vertical="center"/>
    </xf>
    <xf numFmtId="0" fontId="0" fillId="6" borderId="2" xfId="0" applyFill="1" applyBorder="1">
      <alignment vertical="center"/>
    </xf>
    <xf numFmtId="177" fontId="0" fillId="6" borderId="2" xfId="0" applyNumberFormat="1" applyFill="1" applyBorder="1">
      <alignment vertical="center"/>
    </xf>
    <xf numFmtId="178" fontId="0" fillId="6" borderId="2" xfId="3" applyNumberFormat="1" applyFont="1" applyFill="1" applyBorder="1">
      <alignment vertical="center"/>
    </xf>
    <xf numFmtId="179" fontId="0" fillId="6" borderId="2" xfId="0" applyNumberFormat="1" applyFill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178" fontId="14" fillId="6" borderId="2" xfId="3" applyNumberFormat="1" applyFont="1" applyFill="1" applyBorder="1">
      <alignment vertical="center"/>
    </xf>
    <xf numFmtId="180" fontId="0" fillId="7" borderId="0" xfId="0" applyNumberFormat="1" applyFill="1">
      <alignment vertical="center"/>
    </xf>
    <xf numFmtId="181" fontId="0" fillId="5" borderId="2" xfId="0" applyNumberFormat="1" applyFill="1" applyBorder="1">
      <alignment vertical="center"/>
    </xf>
    <xf numFmtId="181" fontId="7" fillId="6" borderId="2" xfId="0" applyNumberFormat="1" applyFont="1" applyFill="1" applyBorder="1">
      <alignment vertical="center"/>
    </xf>
    <xf numFmtId="181" fontId="0" fillId="6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7" fillId="6" borderId="2" xfId="0" applyNumberFormat="1" applyFon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2" fillId="2" borderId="4" xfId="1" applyBorder="1" applyAlignment="1">
      <alignment horizontal="righ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right" vertical="center"/>
    </xf>
    <xf numFmtId="49" fontId="0" fillId="0" borderId="0" xfId="0" applyNumberFormat="1">
      <alignment vertical="center"/>
    </xf>
    <xf numFmtId="0" fontId="18" fillId="6" borderId="2" xfId="4" applyFill="1" applyBorder="1">
      <alignment vertical="center"/>
    </xf>
    <xf numFmtId="0" fontId="18" fillId="5" borderId="2" xfId="4" applyFill="1" applyBorder="1">
      <alignment vertical="center"/>
    </xf>
    <xf numFmtId="9" fontId="0" fillId="0" borderId="0" xfId="0" applyNumberFormat="1">
      <alignment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right" vertical="center"/>
    </xf>
  </cellXfs>
  <cellStyles count="5">
    <cellStyle name="40% - Accent6" xfId="2" builtinId="51"/>
    <cellStyle name="Hyperlink" xfId="4" builtinId="8"/>
    <cellStyle name="Input" xfId="1" builtinId="20"/>
    <cellStyle name="Normal" xfId="0" builtinId="0"/>
    <cellStyle name="Percent" xfId="3" builtinId="5"/>
  </cellStyles>
  <dxfs count="5">
    <dxf>
      <font>
        <color theme="0" tint="-4.9989318521683403E-2"/>
      </font>
    </dxf>
    <dxf>
      <font>
        <color rgb="FFFF0000"/>
      </font>
    </dxf>
    <dxf>
      <font>
        <b/>
        <i val="0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>
        <v>0.37770833333333331</v>
        <stp/>
        <stp>{62677A65-F1B3-49A0-B4A5-1A6E26A047EB}</stp>
        <tr r="K25" s="3"/>
      </tp>
      <tp t="s">
        <v/>
        <stp/>
        <stp>{FB249DB6-4996-4E29-B460-60B0C156A683}</stp>
        <tr r="L48" s="3"/>
      </tp>
      <tp t="s">
        <v xml:space="preserve">东海证券        </v>
        <stp/>
        <stp>{0BA1D713-C2AB-4023-9431-AAF4146C7457}</stp>
        <tr r="M34" s="3"/>
      </tp>
      <tp>
        <v>43774</v>
        <stp/>
        <stp>{C89341F2-B492-4981-8B1C-569308CC06DB}</stp>
        <tr r="G47" s="3"/>
      </tp>
      <tp t="s">
        <v>CLDRADJ:NO DCB:AA EY:1 LLP:AA RATEFRQ:FRQ RATETYPE:ACT RM:YTA</v>
        <stp/>
        <stp>{D472135C-2D26-443F-903C-CE4FC4CB81DA}</stp>
        <tr r="U30" s="3"/>
      </tp>
      <tp t="s">
        <v xml:space="preserve">青岛银行        </v>
        <stp/>
        <stp>{692EBA9E-C78E-4D02-8EBA-67FDE88A1B5F}</stp>
        <tr r="M26" s="3"/>
      </tp>
      <tp t="s">
        <v xml:space="preserve">ACC:AA CCM:BBAA CFADJ:NO CLDR:CHN_FI DATED:16SEP2010 DMC:F EMC:S FRCD:16MAR2011 FRQ:2 ISSUE:16SEP2010 NOTIONAL:1 PX:C PXRND:1E-6:NEAR REFDATE:MATURITY RP:1 SETTLE:1WD XD:NO YLDRND:1E-6:NEAR </v>
        <stp/>
        <stp>{F05F5B4C-6BDD-4C06-8BE6-FD0F31C9830B}</stp>
        <tr r="O42" s="3"/>
      </tp>
      <tp>
        <v>44289</v>
        <stp/>
        <stp>{5734E9E8-34E9-4D87-B965-7B6ED72555EA}</stp>
        <tr r="G28" s="3"/>
      </tp>
      <tp t="s">
        <v>CLDRADJ:NO DCB:AA EY:1 LLP:AA RATEFRQ:FRQ RATETYPE:ACT RM:YTA</v>
        <stp/>
        <stp>{C303C0FE-D04D-437A-9095-9C329BF28B03}</stp>
        <tr r="U28" s="3"/>
      </tp>
      <tp t="s">
        <v xml:space="preserve">13附息国债20              </v>
        <stp/>
        <stp>{FC4F3E4D-AB9B-43A8-9F4E-931EDD0F4B0E}</stp>
        <tr r="E32" s="3"/>
      </tp>
      <tp>
        <v>44583</v>
        <stp/>
        <stp>{3F186589-3F33-4A4A-BAF6-89A42E61228D}</stp>
        <tr r="G22" s="3"/>
      </tp>
      <tp>
        <v>43866</v>
        <stp/>
        <stp>{C31D8954-9B4B-42C8-AB8E-44F170AD2120}</stp>
        <tr r="G24" s="3"/>
      </tp>
      <tp t="s">
        <v xml:space="preserve">1.0729          </v>
        <stp/>
        <stp>{C7B63B37-A7D0-4E34-BA44-1745453989BF}</stp>
        <tr r="I29" s="3"/>
      </tp>
      <tp>
        <v>44705</v>
        <stp/>
        <stp>{A834B3FF-F4C9-40E9-B71C-27B0006C43A8}</stp>
        <tr r="G33" s="3"/>
      </tp>
      <tp>
        <v>0.38831018518518517</v>
        <stp/>
        <stp>{F2D0EA46-5057-484A-BC10-A5F0D105321F}</stp>
        <tr r="K27" s="3"/>
      </tp>
      <tp>
        <v>40262</v>
        <stp/>
        <stp>{9D313190-229D-4BA8-8BD7-CD68627E7B94}</stp>
        <tr r="AH45" s="3"/>
      </tp>
      <tp t="s">
        <v>每半年</v>
        <stp/>
        <stp>{8A4D8843-3664-4133-B239-6A23CD2FA18A}</stp>
        <tr r="H42" s="3"/>
      </tp>
      <tp>
        <v>101.3133</v>
        <stp/>
        <stp>{E1F18A36-3127-4392-9B5F-B2521CB882B5}</stp>
        <tr r="J35" s="3"/>
      </tp>
      <tp t="s">
        <v xml:space="preserve">1.052           </v>
        <stp/>
        <stp>{85EDF80C-42E1-493C-BB13-4D9DB39E33CE}</stp>
        <tr r="I37" s="3"/>
      </tp>
      <tp t="s">
        <v>CN110002=CFXM</v>
        <stp/>
        <stp>{3B182E31-FB19-464B-B714-447B40ABF652}</stp>
        <tr r="B39" s="3"/>
      </tp>
      <tp t="s">
        <v>CLDRADJ:NO DCB:AA EY:2 LLP:AA RATEFRQ:FRQ RATETYPE:ACT RM:YTA</v>
        <stp/>
        <stp>{AE81819D-46BC-4D47-AAD6-A0EA8DC2DC09}</stp>
        <tr r="U34" s="3"/>
      </tp>
      <tp t="s">
        <v/>
        <stp/>
        <stp>{DD3224D9-3A2F-4689-905A-7B51D5685FCD}</stp>
        <tr r="L49" s="3"/>
      </tp>
      <tp t="s">
        <v>CLDRADJ:NO DCB:AA EY:2 LLP:AA RATEFRQ:FRQ RATETYPE:ACT RM:YTA</v>
        <stp/>
        <stp>{38B0BB0A-A88A-4A1B-93D3-8EB47D8F9247}</stp>
        <tr r="U35" s="3"/>
      </tp>
      <tp t="s">
        <v>CN140003=CFXM</v>
        <stp/>
        <stp>{C6AA609A-2E1F-4482-A240-8884A6AF20CF}</stp>
        <tr r="B29" s="3"/>
      </tp>
      <tp>
        <v>42082</v>
        <stp/>
        <stp>{EF2BDC58-6C87-4DE9-BAA7-DF4BC61EF3A2}</stp>
        <tr r="L28" s="3"/>
      </tp>
      <tp>
        <v>0</v>
        <stp/>
        <stp>{8C6C7B60-B5B1-439A-A8AF-74169C1B65DD}</stp>
        <tr r="J46" s="3"/>
      </tp>
      <tp>
        <v>43669</v>
        <stp/>
        <stp>{1C080BC5-2120-416F-893C-8ABDD32757F6}</stp>
        <tr r="G49" s="3"/>
      </tp>
      <tp t="s">
        <v>CLDRADJ:NO DCB:AA EY:2 LLP:AA RATEFRQ:FRQ RATETYPE:ACT RM:YTA</v>
        <stp/>
        <stp>{41AF3CEA-62E4-429A-B5E7-7B5D5630F005}</stp>
        <tr r="U49" s="3"/>
      </tp>
      <tp>
        <v>106.48820000000001</v>
        <stp/>
        <stp>{924121EE-B1B0-4188-8CBB-517088BD0ACF}</stp>
        <tr r="J29" s="3"/>
      </tp>
      <tp>
        <v>3.25</v>
        <stp/>
        <stp>{85BF9693-F9CB-49D3-BC82-45D67AFA7EF5}</stp>
        <tr r="F44" s="3"/>
      </tp>
      <tp t="s">
        <v xml:space="preserve">ACC:AA CCM:BBAA CFADJ:NO CLDR:CHN_FI DATED:05FEB2015 DMC:F EMC:S FRCD:05FEB2016 FRQ:1 ISSUE:04FEB2015 NOTIONAL:1 PX:C PXRND:1E-6:NEAR REFDATE:MATURITY RP:1 SETTLE:1WD XD:NO YLDRND:1E-6:NEAR </v>
        <stp/>
        <stp>{D9CEA1AC-F9F8-4273-9EEF-9D8A4EB73D37}</stp>
        <tr r="O24" s="3"/>
      </tp>
      <tp>
        <v>42082</v>
        <stp/>
        <stp>{28123F18-5020-40E8-9B22-4B38A2D9B2A7}</stp>
        <tr r="L65" s="3"/>
      </tp>
      <tp t="s">
        <v xml:space="preserve">1.0211          </v>
        <stp/>
        <stp>{41821772-7370-4BAF-A2B0-715B6582735E}</stp>
        <tr r="I22" s="3"/>
      </tp>
      <tp t="s">
        <v>CLDRADJ:NO DCB:AA EY:2 LLP:AA RATEFRQ:FRQ RATETYPE:ACT RM:YTA</v>
        <stp/>
        <stp>{E6452D69-67F2-42C8-B4C3-ABAEFBB9221D}</stp>
        <tr r="U33" s="3"/>
      </tp>
      <tp t="s">
        <v>每年</v>
        <stp/>
        <stp>{C0D9475D-BA56-4AB3-A4FE-B2A74C272C25}</stp>
        <tr r="H29" s="3"/>
      </tp>
      <tp>
        <v>0</v>
        <stp/>
        <stp>{8AFB214D-F6B0-4224-ABD4-12ED70B59BC8}</stp>
        <tr r="J45" s="3"/>
      </tp>
      <tp t="s">
        <v xml:space="preserve">东海证券        </v>
        <stp/>
        <stp>{567BD499-07D1-42A3-A139-9F2A6A67900B}</stp>
        <tr r="M35" s="3"/>
      </tp>
      <tp t="s">
        <v>CLDRADJ:NO DCB:AA EY:1 LLP:AA RATEFRQ:FRQ RATETYPE:ACT RM:YTA</v>
        <stp/>
        <stp>{E6A4C3B6-3511-4DD6-B238-3C8B4E291D05}</stp>
        <tr r="U27" s="3"/>
      </tp>
      <tp t="s">
        <v>每半年</v>
        <stp/>
        <stp>{91771034-FCCF-4732-859C-23B39F3D2CAC}</stp>
        <tr r="H49" s="3"/>
      </tp>
      <tp>
        <v>0</v>
        <stp/>
        <stp>{2DF053A8-3AB8-4ECD-9853-6738174B8EF8}</stp>
        <tr r="J49" s="3"/>
      </tp>
      <tp t="s">
        <v>CLDRADJ:NO DCB:AA EY:1 LLP:AA RATEFRQ:FRQ RATETYPE:ACT RM:YTA</v>
        <stp/>
        <stp>{481F1E76-1BCE-4EAF-BB19-571E099153A5}</stp>
        <tr r="U23" s="3"/>
      </tp>
      <tp>
        <v>44517</v>
        <stp/>
        <stp>{89DF06D0-E485-4511-815B-4CCE90DE99E4}</stp>
        <tr r="G34" s="3"/>
      </tp>
      <tp t="s">
        <v>*The record could not be found</v>
        <stp/>
        <stp>{A0ADED7E-99F8-4AD5-B318-535F2F0EC9F5}</stp>
        <tr r="E52" s="3"/>
      </tp>
      <tp>
        <v>40213</v>
        <stp/>
        <stp>{BB00073D-BFC7-467D-A7F0-A1FADC2D5856}</stp>
        <tr r="AH46" s="3"/>
      </tp>
      <tp t="s">
        <v xml:space="preserve">10附息国债07              </v>
        <stp/>
        <stp>{222928F3-426B-4D9A-AEF2-0DEA2D6EC120}</stp>
        <tr r="E45" s="3"/>
      </tp>
      <tp t="s">
        <v>CN130020=CFXM</v>
        <stp/>
        <stp>{4A783360-92A0-4B8B-95BE-C5C8A76E506A}</stp>
        <tr r="B32" s="3"/>
      </tp>
      <tp t="s">
        <v>每年</v>
        <stp/>
        <stp>{A08BCE56-FFEB-48D3-AF01-6052C99239CA}</stp>
        <tr r="H32" s="3"/>
      </tp>
      <tp t="s">
        <v>*The record could not be found</v>
        <stp/>
        <stp>{08D321DD-8B33-4D38-9D4A-03BDA5DE9102}</stp>
        <tr r="G53" s="3"/>
      </tp>
      <tp>
        <v>0.57805555555555554</v>
        <stp/>
        <stp>{D4FE78EA-D239-457C-A6BB-C3F1AD0D2E02}</stp>
        <tr r="K63" s="3"/>
      </tp>
      <tp>
        <v>42082</v>
        <stp/>
        <stp>{72ED9CEC-E012-46DB-A827-FBA75FEF6A6D}</stp>
        <tr r="L66" s="3"/>
      </tp>
      <tp t="s">
        <v>CN090023=CFXM</v>
        <stp/>
        <stp>{77396B0F-924F-4EBE-A915-6C60B939B842}</stp>
        <tr r="B48" s="3"/>
      </tp>
      <tp t="s">
        <v>#N/A</v>
        <stp/>
        <stp>{28B53BF8-87F0-4E94-860C-705C312C07BB}</stp>
        <tr r="O54" s="3"/>
      </tp>
      <tp t="s">
        <v/>
        <stp/>
        <stp>{B2264C32-564B-4193-9A56-A863E6DCF5F9}</stp>
        <tr r="L47" s="3"/>
      </tp>
      <tp t="s">
        <v/>
        <stp/>
        <stp>{9AE20324-7AAC-4549-BB5D-580786ABCE64}</stp>
        <tr r="L40" s="3"/>
      </tp>
      <tp t="s">
        <v xml:space="preserve">                      </v>
        <stp/>
        <stp>{6BB51496-8318-4EF4-B507-8EFD418B454A}</stp>
        <tr r="M43" s="3"/>
      </tp>
      <tp t="s">
        <v/>
        <stp/>
        <stp>{56E93F69-F64F-468F-8A15-00EAF62F8D56}</stp>
        <tr r="L46" s="3"/>
      </tp>
      <tp>
        <v>0.56119212962962961</v>
        <stp/>
        <stp>{F733F181-631E-44A6-86F9-FB0333122F28}</stp>
        <tr r="K22" s="3"/>
      </tp>
      <tp>
        <v>3.67</v>
        <stp/>
        <stp>{06450003-2669-4B74-B062-22AE32E7666E}</stp>
        <tr r="F41" s="3"/>
      </tp>
      <tp>
        <v>0.48810185185185184</v>
        <stp/>
        <stp>{412A1565-F29C-4330-8F74-83A6D30E3AA2}</stp>
        <tr r="K26" s="3"/>
      </tp>
      <tp t="s">
        <v xml:space="preserve">  :  </v>
        <stp/>
        <stp>{39E7727D-C51C-4657-81C2-17F1F555EC46}</stp>
        <tr r="K46" s="3"/>
      </tp>
      <tp>
        <v>44048</v>
        <stp/>
        <stp>{E63BB684-49D1-47C4-84FB-E00114D6C86E}</stp>
        <tr r="G43" s="3"/>
      </tp>
      <tp t="s">
        <v>CLDRADJ:NO DCB:AA EY:1 LLP:AA RATEFRQ:FRQ RATETYPE:ACT RM:YTA</v>
        <stp/>
        <stp>{CC1CBB70-F25A-47FA-BB10-760DAF760D18}</stp>
        <tr r="U22" s="3"/>
      </tp>
      <tp>
        <v>42082</v>
        <stp/>
        <stp>{6345F28D-95F0-47CB-91E7-B2599B98C20B}</stp>
        <tr r="L64" s="3"/>
      </tp>
      <tp t="s">
        <v>CN150002=CFXM</v>
        <stp/>
        <stp>{10947180-FF87-40AC-9C50-12652A0B21C6}</stp>
        <tr r="B22" s="3"/>
      </tp>
      <tp>
        <v>3.36</v>
        <stp/>
        <stp>{54766079-7BC2-4280-8FCA-2DC301F8B949}</stp>
        <tr r="F33" s="3"/>
      </tp>
      <tp>
        <v>41934</v>
        <stp/>
        <stp>{F025C8E7-162E-4696-BD1C-D9461FB009F7}</stp>
        <tr r="AH23" s="3"/>
      </tp>
      <tp t="s">
        <v xml:space="preserve">ACC:AA CCM:BBAA CFADJ:NO CLDR:CHN_FI DATED:16JAN2014 DMC:F EMC:S FRCD:16JAN2015 FRQ:1 ISSUE:16JAN2014 NOTIONAL:1 PX:C PXRND:1E-6:NEAR REFDATE:MATURITY RP:1 SETTLE:1WD XD:NO YLDRND:1E-6:NEAR </v>
        <stp/>
        <stp>{99FEB570-874D-484A-828A-2D4F087C3563}</stp>
        <tr r="O29" s="3"/>
      </tp>
      <tp>
        <v>42081</v>
        <stp/>
        <stp>{528D24FD-7794-4E5D-A41A-A7816E226910}</stp>
        <tr r="L62" s="3"/>
      </tp>
      <tp t="s">
        <v xml:space="preserve">1.0174          </v>
        <stp/>
        <stp>{F7C4BCF3-1D2C-4882-A338-BF93D7011DCD}</stp>
        <tr r="I48" s="3"/>
      </tp>
      <tp t="s">
        <v xml:space="preserve">      TF1506</v>
        <stp/>
        <stp>{09F8A753-41E2-4BF9-9527-284BAD0A49B2}</stp>
        <tr r="I3" s="3"/>
      </tp>
      <tp>
        <v>44212</v>
        <stp/>
        <stp>{5F70E02E-F303-44E2-9170-7016C0FB3FB8}</stp>
        <tr r="G29" s="3"/>
      </tp>
      <tp t="s">
        <v xml:space="preserve">1.0214          </v>
        <stp/>
        <stp>{69642696-6B66-44C4-BEC3-DA858E6035CA}</stp>
        <tr r="I31" s="3"/>
      </tp>
      <tp t="s">
        <v xml:space="preserve">  :  </v>
        <stp/>
        <stp>{E5FAB4EF-04E7-4C66-83E5-AA68F4109866}</stp>
        <tr r="K39" s="3"/>
      </tp>
      <tp>
        <v>43964</v>
        <stp/>
        <stp>{F9809DD7-C85E-453A-AF87-3F04EDAA1913}</stp>
        <tr r="G44" s="3"/>
      </tp>
      <tp t="s">
        <v xml:space="preserve">东方证券        </v>
        <stp/>
        <stp>{12D7FF6C-007A-4D34-8956-B31CE7F1F701}</stp>
        <tr r="M22" s="3"/>
      </tp>
      <tp t="s">
        <v>*The record could not be found</v>
        <stp/>
        <stp>{EE99F17C-F42D-4B5F-B5B2-C68AF7138F2D}</stp>
        <tr r="AH55" s="3"/>
      </tp>
      <tp>
        <v>41053</v>
        <stp/>
        <stp>{DEE43EA5-DBA4-4C5B-9955-D47A46AE376A}</stp>
        <tr r="AH33" s="3"/>
      </tp>
      <tp>
        <v>0</v>
        <stp/>
        <stp>{29D038E1-21A8-49AB-B311-0623DC66006E}</stp>
        <tr r="J37" s="3"/>
      </tp>
      <tp>
        <v>42039</v>
        <stp/>
        <stp>{852DB0DC-964E-48D7-AE47-CAF2A8424561}</stp>
        <tr r="AH24" s="3"/>
      </tp>
      <tp t="s">
        <v>*The record could not be found</v>
        <stp/>
        <stp>{2C5F705D-A2ED-40A7-AADC-5416C117A8BC}</stp>
        <tr r="E50" s="3"/>
      </tp>
      <tp t="s">
        <v xml:space="preserve">ACC:AA CCM:BBAA CFADJ:NO CLDR:CHN_FI DATED:22JAN2015 DMC:F EMC:S FRCD:22JAN2016 FRQ:1 ISSUE:21JAN2015 NOTIONAL:1 PX:C PXRND:1E-6:NEAR REFDATE:MATURITY RP:1 SETTLE:1WD XD:NO YLDRND:1E-6:NEAR </v>
        <stp/>
        <stp>{9297CB0A-33D3-4C48-B457-2650F03F2A85}</stp>
        <tr r="O22" s="3"/>
      </tp>
      <tp t="s">
        <v xml:space="preserve">西南证券        </v>
        <stp/>
        <stp>{F0B1FF65-21F0-4535-BAA9-A7B46352328B}</stp>
        <tr r="M23" s="3"/>
      </tp>
      <tp>
        <v>44023</v>
        <stp/>
        <stp>{06D04134-E39B-4EB1-AD04-0BD8CADE37C6}</stp>
        <tr r="G31" s="3"/>
      </tp>
      <tp t="s">
        <v>CN100031=CFXM</v>
        <stp/>
        <stp>{FAB89D87-961F-440D-8638-4B0A2EEB592C}</stp>
        <tr r="B42" s="3"/>
      </tp>
      <tp t="s">
        <v>*The record could not be found</v>
        <stp/>
        <stp>{B54CE3A9-DEE0-4B7B-AB73-E10FA755A26C}</stp>
        <tr r="F55" s="3"/>
      </tp>
      <tp>
        <v>0.38868055555555553</v>
        <stp/>
        <stp>{FD8F8DC2-8C1B-4568-A51A-CCC29338CA95}</stp>
        <tr r="K29" s="3"/>
      </tp>
      <tp t="s">
        <v>CN100012=CFXM</v>
        <stp/>
        <stp>{81BFBE8B-3372-4050-88B8-EC0C4D0573AB}</stp>
        <tr r="B44" s="3"/>
      </tp>
      <tp>
        <v>38671</v>
        <stp/>
        <stp>{F3296442-CC09-40D9-82DB-85712D88BB83}</stp>
        <tr r="AH40" s="3"/>
      </tp>
      <tp t="s">
        <v xml:space="preserve">14附息国债06              </v>
        <stp/>
        <stp>{F6F4028B-449D-4C02-8577-CC0380855CE8}</stp>
        <tr r="E28" s="3"/>
      </tp>
      <tp t="s">
        <v>CN110024=CFXM</v>
        <stp/>
        <stp>{7533F1CF-3C69-4C77-8D94-B12E403A4F67}</stp>
        <tr r="B34" s="3"/>
      </tp>
      <tp t="s">
        <v>*The record could not be found</v>
        <stp/>
        <stp>{171AC6C9-5722-45D2-8586-3173C3060CDD}</stp>
        <tr r="L51" s="3"/>
      </tp>
      <tp t="s">
        <v xml:space="preserve">15附息国债03              </v>
        <stp/>
        <stp>{8BE8B821-A233-45BB-842D-8B4B81140A4F}</stp>
        <tr r="E24" s="3"/>
      </tp>
      <tp t="s">
        <v>每半年</v>
        <stp/>
        <stp>{F7729961-BD7B-4931-AED4-E3481CE9CD01}</stp>
        <tr r="H33" s="3"/>
      </tp>
      <tp t="s">
        <v>每半年</v>
        <stp/>
        <stp>{2D5B38AD-8407-4D6A-9DE6-17B4CA321373}</stp>
        <tr r="H46" s="3"/>
      </tp>
      <tp>
        <v>44426</v>
        <stp/>
        <stp>{58080972-92FF-444D-ABB1-8AE3743C96B3}</stp>
        <tr r="G37" s="3"/>
      </tp>
      <tp>
        <v>3.5700000000000003</v>
        <stp/>
        <stp>{A5F6573C-5CCA-4421-9C93-9E1AEC347974}</stp>
        <tr r="F34" s="3"/>
      </tp>
      <tp t="s">
        <v xml:space="preserve">12附息国债09              </v>
        <stp/>
        <stp>{8B270713-F66F-422B-B712-977DB51D4D16}</stp>
        <tr r="E33" s="3"/>
      </tp>
      <tp t="s">
        <v xml:space="preserve">1.0156          </v>
        <stp/>
        <stp>{20355791-EDA6-41D0-AB69-46E357249D0D}</stp>
        <tr r="I35" s="3"/>
      </tp>
      <tp t="s">
        <v xml:space="preserve">ACC:AA CCM:BBAA CFADJ:NO CLDR:CHN_FI DATED:05AUG2010 DMC:F EMC:S FRCD:05FEB2011 FRQ:2 ISSUE:05AUG2010 NOTIONAL:1 PX:C PXRND:1E-6:NEAR REFDATE:MATURITY RP:1 SETTLE:1WD XD:NO YLDRND:1E-6:NEAR </v>
        <stp/>
        <stp>{6165DDBD-CBFA-44C9-AC04-3DD41C067CF2}</stp>
        <tr r="O43" s="3"/>
      </tp>
      <tp>
        <v>42082</v>
        <stp/>
        <stp>{22E04DC3-8FEF-472B-B1F5-CB0F781A95DF}</stp>
        <tr r="L34" s="3"/>
      </tp>
      <tp>
        <v>42025</v>
        <stp/>
        <stp>{E6ABA908-7C0A-4646-B15D-C40502C8A649}</stp>
        <tr r="AH22" s="3"/>
      </tp>
      <tp t="s">
        <v xml:space="preserve">ACC:AA CCM:BBAA CFADJ:NO CLDR:CHN_FI DATED:05FEB2015 DMC:F EMC:S FRCD:05FEB2016 FRQ:1 ISSUE:04FEB2015 NOTIONAL:1 PX:C PXRND:1E-6:NEAR REFDATE:MATURITY RP:1 SETTLE:1WD XD:NO YLDRND:1E-6:NEAR </v>
        <stp/>
        <stp>{062575A7-444B-4624-B62C-0C5EFBB355B0}</stp>
        <tr r="O59" s="3"/>
      </tp>
      <tp t="s">
        <v>每年</v>
        <stp/>
        <stp>{3D0CE8C4-714B-4B8E-BB9E-D9607A90409F}</stp>
        <tr r="H24" s="3"/>
      </tp>
      <tp>
        <v>44515</v>
        <stp/>
        <stp>{E5A55B5D-71F0-4CD6-8984-8AA770B578C2}</stp>
        <tr r="G35" s="3"/>
      </tp>
      <tp t="s">
        <v>CN110008=CFXM</v>
        <stp/>
        <stp>{407AE0C6-9DEA-4DE5-BEBB-22E06729A14B}</stp>
        <tr r="B38" s="3"/>
      </tp>
      <tp>
        <v>44216</v>
        <stp/>
        <stp>{D653E60D-6D80-428C-807A-221BBD69C96F}</stp>
        <tr r="G39" s="3"/>
      </tp>
      <tp t="s">
        <v/>
        <stp/>
        <stp>{D5AE5E4E-CD1B-44D5-8366-94DF2B621ED1}</stp>
        <tr r="B51" s="3"/>
      </tp>
      <tp>
        <v>0</v>
        <stp/>
        <stp>{E46CFA36-0993-4244-B6F7-67FBD5E36C96}</stp>
        <tr r="J36" s="3"/>
      </tp>
      <tp t="s">
        <v xml:space="preserve">ACC:AA CCM:BBAA CFADJ:NO CLDR:CHN_FI DATED:20JAN2011 DMC:F EMC:S FRCD:20JUL2011 FRQ:2 ISSUE:20JAN2011 NOTIONAL:1 PX:C PXRND:1E-6:NEAR REFDATE:MATURITY RP:1 SETTLE:1WD XD:NO YLDRND:1E-6:NEAR </v>
        <stp/>
        <stp>{0CE4CAA9-6737-4007-8A1D-54BA78336D71}</stp>
        <tr r="O39" s="3"/>
      </tp>
      <tp>
        <v>0.56766203703703699</v>
        <stp/>
        <stp>{B8DCA6FC-6E0A-4E8A-8517-87E96DE4DDA1}</stp>
        <tr r="K23" s="3"/>
      </tp>
      <tp>
        <v>3.36</v>
        <stp/>
        <stp>{E6535417-38F8-48C3-95E7-47E0A43948CF}</stp>
        <tr r="F22" s="3"/>
      </tp>
      <tp t="s">
        <v xml:space="preserve">14附息国债03              </v>
        <stp/>
        <stp>{7C19033E-D9C2-4C06-A716-77643EA164D6}</stp>
        <tr r="E29" s="3"/>
      </tp>
      <tp t="s">
        <v xml:space="preserve">中金公司        </v>
        <stp/>
        <stp>{DD6F46DD-DCE2-4151-99BA-79DE71949037}</stp>
        <tr r="M25" s="3"/>
      </tp>
      <tp>
        <v>43854</v>
        <stp/>
        <stp>{9BA8789F-2E50-482D-8172-E0EF7BCB7A7F}</stp>
        <tr r="G25" s="3"/>
      </tp>
      <tp>
        <v>3.93</v>
        <stp/>
        <stp>{4BE7A826-9767-4BB8-9C85-E39FBB1A33CA}</stp>
        <tr r="F37" s="3"/>
      </tp>
      <tp t="s">
        <v xml:space="preserve">1.0176          </v>
        <stp/>
        <stp>{2F2DA62B-967B-40A3-A287-EBEB15B4DF87}</stp>
        <tr r="I25" s="3"/>
      </tp>
      <tp t="s">
        <v xml:space="preserve">15附息国债02              </v>
        <stp/>
        <stp>{C09BAA15-4B39-40E6-8ADE-803B05246808}</stp>
        <tr r="E22" s="3"/>
      </tp>
      <tp t="s">
        <v xml:space="preserve">郑州银行        </v>
        <stp/>
        <stp>{01F1FF82-97B5-4D89-8E9D-B7E901BC4E4D}</stp>
        <tr r="M30" s="3"/>
      </tp>
      <tp t="s">
        <v xml:space="preserve">ACC:AA CCM:BBAA CFADJ:NO CLDR:CHN_FI DATED:15NOV2005 DMC:F EMC:S FRCD:15MAY2006 FRQ:2 ISSUE:15NOV2005 NOTIONAL:1 PX:C PXRND:1E-6:NEAR REFDATE:MATURITY RP:1 SETTLE:1WD XD:NO YLDRND:1E-6:NEAR </v>
        <stp/>
        <stp>{76D9AEA6-78E5-4E8F-864F-3C38D40A31F3}</stp>
        <tr r="O40" s="3"/>
      </tp>
      <tp t="s">
        <v xml:space="preserve">13附息国债15              </v>
        <stp/>
        <stp>{4FAE7EE8-DB22-44E2-A93C-B7066A914D2C}</stp>
        <tr r="E31" s="3"/>
      </tp>
      <tp t="s">
        <v>CN130008=CFXM</v>
        <stp/>
        <stp>{1A1BA50E-1946-455B-8344-67579AC32CDD}</stp>
        <tr r="B30" s="3"/>
      </tp>
      <tp>
        <v>100.956</v>
        <stp/>
        <stp>{E49B5821-BB10-4C45-B35E-EEBA173835CE}</stp>
        <tr r="J26" s="3"/>
      </tp>
      <tp t="s">
        <v>CLDRADJ:NO DCB:AA EY:2 LLP:AA RATEFRQ:FRQ RATETYPE:ACT RM:YTA</v>
        <stp/>
        <stp>{2799976A-8B44-48CA-8D94-D31C4B2DF7D4}</stp>
        <tr r="U48" s="3"/>
      </tp>
      <tp>
        <v>40864</v>
        <stp/>
        <stp>{9EDCB697-075E-4D0B-A087-39FD5B58400B}</stp>
        <tr r="AH34" s="3"/>
      </tp>
      <tp t="s">
        <v>*The record could not be found</v>
        <stp/>
        <stp>{CC0989D0-0295-40A6-BD37-06EBE991503E}</stp>
        <tr r="J50" s="3"/>
      </tp>
      <tp t="s">
        <v xml:space="preserve">1.0132          </v>
        <stp/>
        <stp>{F8872C39-36D8-47A1-9DFB-2E2D8EDD2B71}</stp>
        <tr r="I24" s="3"/>
      </tp>
      <tp t="s">
        <v>*The record could not be found</v>
        <stp/>
        <stp>{BD6515F8-88E1-440F-91D4-D68C92CAA392}</stp>
        <tr r="E55" s="3"/>
      </tp>
      <tp t="s">
        <v>CN140024=CFXM</v>
        <stp/>
        <stp>{042D0E20-0A00-4C0C-8C2A-CC83FFECA4C9}</stp>
        <tr r="B23" s="3"/>
      </tp>
      <tp t="s">
        <v xml:space="preserve">                      </v>
        <stp/>
        <stp>{53CC7398-1F48-4E25-AF5F-22D370674F69}</stp>
        <tr r="M47" s="3"/>
      </tp>
      <tp t="s">
        <v>每年</v>
        <stp/>
        <stp>{23B33887-94EA-4433-8B8E-FCBD52AAAF68}</stp>
        <tr r="H28" s="3"/>
      </tp>
      <tp t="s">
        <v>每年</v>
        <stp/>
        <stp>{4967493E-6918-4C95-97AE-A9EB0160D25A}</stp>
        <tr r="H30" s="3"/>
      </tp>
      <tp t="s">
        <v>*The record could not be found</v>
        <stp/>
        <stp>{EE46DF07-D896-470F-9661-E439878A709E}</stp>
        <tr r="L50" s="3"/>
      </tp>
      <tp t="s">
        <v>每半年</v>
        <stp/>
        <stp>{716C3DEE-DDD8-4B34-9858-65C441C0EF0B}</stp>
        <tr r="H44" s="3"/>
      </tp>
      <tp t="s">
        <v xml:space="preserve">东海证券        </v>
        <stp/>
        <stp>{EF861AB7-F49C-478B-A593-9CCBC5EC7BD7}</stp>
        <tr r="M33" s="3"/>
      </tp>
      <tp t="s">
        <v>*The record could not be found</v>
        <stp/>
        <stp>{00B6C657-314F-4D14-B0A6-BBCB9A46AA82}</stp>
        <tr r="E51" s="3"/>
      </tp>
      <tp>
        <v>103.10990000000001</v>
        <stp/>
        <stp>{111D411E-0272-4D1E-A8F6-15C5F19C85A6}</stp>
        <tr r="J34" s="3"/>
      </tp>
      <tp t="s">
        <v>CLDRADJ:NO DCB:AA EY:2 LLP:AA RATEFRQ:FRQ RATETYPE:ACT RM:YTA</v>
        <stp/>
        <stp>{1923B780-E021-4F90-ABA3-DA3095571839}</stp>
        <tr r="U38" s="3"/>
      </tp>
      <tp t="s">
        <v xml:space="preserve">1.0701          </v>
        <stp/>
        <stp>{D42B5FAB-3BE3-4515-ACD7-45271996E119}</stp>
        <tr r="I28" s="3"/>
      </tp>
      <tp>
        <v>99.905100000000004</v>
        <stp/>
        <stp>{2E6A2F71-EF86-4BDA-A918-CC2BB331D6B3}</stp>
        <tr r="J27" s="3"/>
      </tp>
      <tp>
        <v>4.4800000000000004</v>
        <stp/>
        <stp>{8C0229C8-1A14-4ED8-8AD8-E73E4EDE2FAB}</stp>
        <tr r="P13" s="3"/>
      </tp>
      <tp t="s">
        <v>CN150003=CFXM</v>
        <stp/>
        <stp>{DA9C0790-C1D1-41C9-BF78-68D62CB4863C}</stp>
        <tr r="B24" s="3"/>
      </tp>
      <tp>
        <v>40122</v>
        <stp/>
        <stp>{FCAA24ED-433F-4296-91FA-83816B4420F9}</stp>
        <tr r="AH47" s="3"/>
      </tp>
      <tp t="s">
        <v>#N/A</v>
        <stp/>
        <stp>{B66015D2-5870-485B-98A4-70DFC87B2C11}</stp>
        <tr r="U54" s="3"/>
      </tp>
      <tp>
        <v>42081</v>
        <stp/>
        <stp>{95EF6DAB-26B3-44E5-BF98-8CCCC1E3A60B}</stp>
        <tr r="L61" s="3"/>
      </tp>
      <tp>
        <v>0</v>
        <stp/>
        <stp>{DE74C39B-9A74-4CBB-AD1F-C0B4CFCF7B43}</stp>
        <tr r="J43" s="3"/>
      </tp>
      <tp t="s">
        <v/>
        <stp/>
        <stp>{658364F5-36F8-40C6-BC72-006A1AA0381A}</stp>
        <tr r="L43" s="3"/>
      </tp>
      <tp t="s">
        <v>每半年</v>
        <stp/>
        <stp>{AB296DB5-681A-4B6A-87DC-DBD1F852ACFF}</stp>
        <tr r="H36" s="3"/>
      </tp>
      <tp>
        <v>0.58026620370370374</v>
        <stp/>
        <stp>{7F7E5C9E-CA69-40D8-A897-C34EEDE48354}</stp>
        <tr r="K66" s="3"/>
      </tp>
      <tp t="s">
        <v xml:space="preserve">ACC:AA CCM:BBAA CFADJ:NO CLDR:CHN_FI DATED:28OCT2010 DMC:F EMC:S FRCD:28APR2011 FRQ:2 ISSUE:28OCT2010 NOTIONAL:1 PX:C PXRND:1E-6:NEAR REFDATE:MATURITY RP:1 SETTLE:1WD XD:NO YLDRND:1E-6:NEAR </v>
        <stp/>
        <stp>{93D61E2D-D49A-4F5E-B5ED-222FD40A4580}</stp>
        <tr r="O41" s="3"/>
      </tp>
      <tp t="s">
        <v xml:space="preserve">                      </v>
        <stp/>
        <stp>{0031F285-3056-4F9E-AF02-20290F1D2862}</stp>
        <tr r="M46" s="3"/>
      </tp>
      <tp t="s">
        <v xml:space="preserve">  :  </v>
        <stp/>
        <stp>{78A08ACE-16B8-4B13-92F5-AA8EC5086F5D}</stp>
        <tr r="K47" s="3"/>
      </tp>
      <tp>
        <v>43865</v>
        <stp/>
        <stp>{0D222F6E-D8B3-4114-9D3F-174B1A370AA9}</stp>
        <tr r="G46" s="3"/>
      </tp>
      <tp>
        <v>3.29</v>
        <stp/>
        <stp>{6C127CC0-068A-46A7-800A-DFB70B8FA9C7}</stp>
        <tr r="F42" s="3"/>
      </tp>
      <tp t="s">
        <v xml:space="preserve">11附息国债19              </v>
        <stp/>
        <stp>{459DD133-CB2A-48EE-9695-913A7A0F80B1}</stp>
        <tr r="E37" s="3"/>
      </tp>
      <tp t="s">
        <v xml:space="preserve">                      </v>
        <stp/>
        <stp>{C9F738B3-43D9-4BAC-A8DC-C6BE6C8F8022}</stp>
        <tr r="M39" s="3"/>
      </tp>
      <tp t="s">
        <v xml:space="preserve">                </v>
        <stp/>
        <stp>{00E0BD72-7BB0-46D7-BFDE-D6269FC4CC8D}</stp>
        <tr r="I51" s="3"/>
      </tp>
      <tp>
        <v>0</v>
        <stp/>
        <stp>{008CC94D-CE6A-4319-BBB2-545B4A19BBB7}</stp>
        <tr r="J39" s="3"/>
      </tp>
      <tp t="s">
        <v>每年</v>
        <stp/>
        <stp>{8E1884B2-5B11-4A12-A459-E6CC18477CBB}</stp>
        <tr r="H31" s="3"/>
      </tp>
      <tp t="s">
        <v>#N/A</v>
        <stp/>
        <stp>{C5A01D66-7026-43C7-BA77-4799DA6F68B2}</stp>
        <tr r="O52" s="3"/>
      </tp>
      <tp t="s">
        <v xml:space="preserve">13附息国债08              </v>
        <stp/>
        <stp>{E40ABEEE-6492-4639-ABC9-6E3E7E2687D1}</stp>
        <tr r="E30" s="3"/>
      </tp>
      <tp>
        <v>0.38032407407407409</v>
        <stp/>
        <stp>{AB8840CB-554F-42E0-B9BA-50532F406236}</stp>
        <tr r="K34" s="3"/>
      </tp>
      <tp>
        <v>3.31</v>
        <stp/>
        <stp>{8EAAF63A-4D23-42E0-A49F-72DC769A090C}</stp>
        <tr r="F24" s="3"/>
      </tp>
      <tp t="s">
        <v>CN140006=CFXM</v>
        <stp/>
        <stp>{14D33C33-5FC9-4676-92E2-B18315C0AAE3}</stp>
        <tr r="B28" s="3"/>
      </tp>
      <tp t="s">
        <v xml:space="preserve">13附息国债03              </v>
        <stp/>
        <stp>{25EDA49D-B016-4E0E-9DF0-5F74885A08CE}</stp>
        <tr r="E25" s="3"/>
      </tp>
      <tp t="s">
        <v>*The record could not be found</v>
        <stp/>
        <stp>{97598D92-B936-439E-9965-15AD56E2FA99}</stp>
        <tr r="G54" s="3"/>
      </tp>
      <tp t="s">
        <v>每年</v>
        <stp/>
        <stp>{9EACD883-987A-43BF-905E-3E7922907E71}</stp>
        <tr r="H26" s="3"/>
      </tp>
      <tp t="s">
        <v xml:space="preserve">ACC:AA CCM:BBAA CFADJ:NO CLDR:CHN_FI DATED:25MAR2010 DMC:F EMC:S FRCD:25SEP2010 FRQ:2 ISSUE:25MAR2010 NOTIONAL:1 PX:C PXRND:1E-6:NEAR REFDATE:MATURITY RP:1 SETTLE:1WD XD:NO YLDRND:1E-6:NEAR </v>
        <stp/>
        <stp>{94F493B8-1BC7-498C-AE0B-2F6E7B833A76}</stp>
        <tr r="O45" s="3"/>
      </tp>
      <tp t="s">
        <v xml:space="preserve">ACC:AA CCM:BBAA CFADJ:NO CLDR:CHN_FI DATED:24JAN2013 DMC:F EMC:S FRCD:24JAN2014 FRQ:1 ISSUE:24JAN2013 NOTIONAL:1 PX:C PXRND:1E-6:NEAR REFDATE:MATURITY RP:1 SETTLE:1WD XD:NO YLDRND:1E-6:NEAR </v>
        <stp/>
        <stp>{B3B0228D-EC2E-42A7-8F1A-F05514618BAC}</stp>
        <tr r="O25" s="3"/>
      </tp>
      <tp>
        <v>99.994</v>
        <stp/>
        <stp>{AA91F8C6-E215-4AD6-A4CE-0A64DBB766C1}</stp>
        <tr r="J66" s="3"/>
      </tp>
      <tp t="s">
        <v>CN100034=CFXM</v>
        <stp/>
        <stp>{86D75C40-8A3F-4E4D-962D-01A50578999C}</stp>
        <tr r="B41" s="3"/>
      </tp>
      <tp>
        <v>3.42</v>
        <stp/>
        <stp>{F403BF51-06CA-43F1-8CCA-05C3583C1A8D}</stp>
        <tr r="F25" s="3"/>
      </tp>
      <tp>
        <v>0.46625</v>
        <stp/>
        <stp>{01908303-1375-4355-989B-3BEAB2FCC0AD}</stp>
        <tr r="K28" s="3"/>
      </tp>
      <tp t="s">
        <v/>
        <stp/>
        <stp>{AC0AFE30-ED2B-4229-B4A2-BB99830261FA}</stp>
        <tr r="L45" s="3"/>
      </tp>
      <tp t="s">
        <v xml:space="preserve">                      </v>
        <stp/>
        <stp>{50D403BE-2BDF-463A-89F9-11EB13D479F8}</stp>
        <tr r="M49" s="3"/>
      </tp>
      <tp t="s">
        <v xml:space="preserve">10附息国债12              </v>
        <stp/>
        <stp>{6D5D8CDC-DB5E-41BA-979C-706854D7F58F}</stp>
        <tr r="E44" s="3"/>
      </tp>
      <tp>
        <v>41941</v>
        <stp/>
        <stp>{FA69BAA7-4F71-4CE1-BBB9-89A3E8CC8C1D}</stp>
        <tr r="AH26" s="3"/>
      </tp>
      <tp t="s">
        <v xml:space="preserve">1.0158          </v>
        <stp/>
        <stp>{F0B779EB-FF96-457C-A40E-5485DBA4EEF5}</stp>
        <tr r="I45" s="3"/>
      </tp>
      <tp t="s">
        <v xml:space="preserve">10附息国债02              </v>
        <stp/>
        <stp>{97FC5C08-1F79-46C1-A009-797DE50A1153}</stp>
        <tr r="E46" s="3"/>
      </tp>
      <tp>
        <v>43939</v>
        <stp/>
        <stp>{04B37063-C8FA-470E-BD13-F08355877FD8}</stp>
        <tr r="G30" s="3"/>
      </tp>
      <tp t="s">
        <v>CLDRADJ:NO DCB:AA EY:2 LLP:AA RATEFRQ:FRQ RATETYPE:ACT RM:YTA</v>
        <stp/>
        <stp>{9993871E-FA31-4267-8E96-7A3297C4A04C}</stp>
        <tr r="U40" s="3"/>
      </tp>
      <tp t="s">
        <v/>
        <stp/>
        <stp>{409DF809-028B-4F4A-ADB6-1D6B4CF36FF6}</stp>
        <tr r="L39" s="3"/>
      </tp>
      <tp t="s">
        <v>每半年</v>
        <stp/>
        <stp>{848ED1C7-0D7A-41BE-9BDD-0FD87F75513F}</stp>
        <tr r="H34" s="3"/>
      </tp>
      <tp t="s">
        <v>CN120009=CFXM</v>
        <stp/>
        <stp>{54C7DB7C-5EC8-42BC-A54E-89B58495A84F}</stp>
        <tr r="B33" s="3"/>
      </tp>
      <tp t="s">
        <v xml:space="preserve">11附息国债02              </v>
        <stp/>
        <stp>{34A524A4-F688-4AE2-938F-6E14ADC21198}</stp>
        <tr r="E39" s="3"/>
      </tp>
      <tp>
        <v>100.26600000000001</v>
        <stp/>
        <stp>{4CCDBEC6-A0E8-4EC8-9A5A-3CBE738C3905}</stp>
        <tr r="J65" s="3"/>
      </tp>
      <tp t="s">
        <v/>
        <stp/>
        <stp>{15E28D93-EF7D-4AFB-B02A-54BDEF23C508}</stp>
        <tr r="L36" s="3"/>
      </tp>
      <tp>
        <v>101.55460000000001</v>
        <stp/>
        <stp>{A5599BA7-510A-47C4-BC28-8CB907310D78}</stp>
        <tr r="J23" s="3"/>
      </tp>
      <tp>
        <v>43725</v>
        <stp/>
        <stp>{7C89B5A0-8712-4546-B00A-0219367A242C}</stp>
        <tr r="G48" s="3"/>
      </tp>
      <tp>
        <v>40017</v>
        <stp/>
        <stp>{1EF7AFC6-1E9D-461E-8064-8412E4FB0D82}</stp>
        <tr r="AH49" s="3"/>
      </tp>
      <tp t="s">
        <v xml:space="preserve">12附息国债04              </v>
        <stp/>
        <stp>{A4FBE3C6-CF0D-4146-BD03-4737DA9043AE}</stp>
        <tr r="E36" s="3"/>
      </tp>
      <tp t="s">
        <v>每半年</v>
        <stp/>
        <stp>{A039688E-D042-4440-9B02-4A5F76FFC9A3}</stp>
        <tr r="H37" s="3"/>
      </tp>
      <tp t="s">
        <v xml:space="preserve">中信建投证券    </v>
        <stp/>
        <stp>{503BA420-2B59-4055-A86B-6F954617042B}</stp>
        <tr r="M32" s="3"/>
      </tp>
      <tp t="s">
        <v>*The record could not be found</v>
        <stp/>
        <stp>{A76DED37-0832-4ABE-803C-F718BEE2321D}</stp>
        <tr r="K50" s="3"/>
      </tp>
      <tp t="s">
        <v>CCDC-INT VAL</v>
        <stp/>
        <stp>{61F2B48F-E2FF-4134-A35C-A3318FD435C4}</stp>
        <tr r="M59" s="3"/>
      </tp>
      <tp t="s">
        <v>*The record could not be found</v>
        <stp/>
        <stp>{0775126B-505A-45DE-8AE2-BE94726D7F45}</stp>
        <tr r="J51" s="3"/>
      </tp>
      <tp t="s">
        <v xml:space="preserve">1.014           </v>
        <stp/>
        <stp>{C270B936-D15F-4E71-B6CB-2A90F3F88207}</stp>
        <tr r="I42" s="3"/>
      </tp>
      <tp>
        <v>42082</v>
        <stp/>
        <stp>{705069EA-F604-431C-A59B-E15A6A87611A}</stp>
        <tr r="L35" s="3"/>
      </tp>
      <tp t="s">
        <v>每年</v>
        <stp/>
        <stp>{31AFB3DC-9E58-4843-9457-82DCA22D1297}</stp>
        <tr r="H27" s="3"/>
      </tp>
      <tp t="s">
        <v xml:space="preserve">14附息国债24              </v>
        <stp/>
        <stp>{5B6216DB-C15D-4E6D-AFC5-B211B3F0909A}</stp>
        <tr r="E23" s="3"/>
      </tp>
      <tp t="s">
        <v xml:space="preserve">1.0211          </v>
        <stp/>
        <stp>{FD93B26B-32C6-4DBD-A121-5550F63ED42C}</stp>
        <tr r="I26" s="3"/>
      </tp>
      <tp>
        <v>99.906000000000006</v>
        <stp/>
        <stp>{697650CE-95BF-4A28-8A8C-149BDF253E1C}</stp>
        <tr r="J60" s="3"/>
      </tp>
      <tp t="s">
        <v xml:space="preserve">江苏银行        </v>
        <stp/>
        <stp>{8E5BC4EF-29C1-45A9-BA62-21CFFEB032B9}</stp>
        <tr r="M63" s="3"/>
      </tp>
      <tp>
        <v>3.46</v>
        <stp/>
        <stp>{9ACB9B1B-8429-42EC-920E-18F3848BB1E8}</stp>
        <tr r="F31" s="3"/>
      </tp>
      <tp t="s">
        <v>每半年</v>
        <stp/>
        <stp>{C8E251A4-C315-4915-9359-37C10AE6DE0C}</stp>
        <tr r="H35" s="3"/>
      </tp>
      <tp>
        <v>3.27</v>
        <stp/>
        <stp>{954E6265-7418-46AB-B059-22D25ACA1605}</stp>
        <tr r="F35" s="3"/>
      </tp>
      <tp t="s">
        <v xml:space="preserve">农业银行        </v>
        <stp/>
        <stp>{54ACFDD8-6393-4B90-8030-7A769F05BA86}</stp>
        <tr r="M29" s="3"/>
      </tp>
      <tp t="s">
        <v xml:space="preserve">  :  </v>
        <stp/>
        <stp>{DA5E7DCE-6A9A-42A1-8896-5F88BA5B5F5F}</stp>
        <tr r="K42" s="3"/>
      </tp>
      <tp t="s">
        <v xml:space="preserve">江苏银行        </v>
        <stp/>
        <stp>{C7CA067C-2D09-4CF8-B36E-6F974B1445D8}</stp>
        <tr r="M24" s="3"/>
      </tp>
      <tp t="s">
        <v xml:space="preserve">ACC:AA CCM:BBAA CFADJ:NO CLDR:CHN_FI DATED:06SEP2012 DMC:F EMC:S FRCD:06SEP2013 FRQ:1 ISSUE:06SEP2012 NOTIONAL:1 PX:C PXRND:1E-6:NEAR REFDATE:MATURITY RP:1 SETTLE:1WD XD:NO YLDRND:1E-6:NEAR </v>
        <stp/>
        <stp>{D9E81634-B9FD-443E-9654-B8C9338E9E92}</stp>
        <tr r="O27" s="3"/>
      </tp>
      <tp t="s">
        <v>*The record could not be found</v>
        <stp/>
        <stp>{A10C7FED-89B1-4D62-9416-4750D73ED0EF}</stp>
        <tr r="F53" s="3"/>
      </tp>
      <tp t="s">
        <v xml:space="preserve">                </v>
        <stp/>
        <stp>{4B324330-3E3B-47FB-9B82-3A88A6B2EE40}</stp>
        <tr r="I50" s="3"/>
      </tp>
      <tp t="s">
        <v>*The record could not be found</v>
        <stp/>
        <stp>{A47F7402-344B-4AE4-9511-2548B9616F96}</stp>
        <tr r="AH52" s="3"/>
      </tp>
      <tp t="s">
        <v>CLDRADJ:NO DCB:AA EY:2 LLP:AA RATEFRQ:FRQ RATETYPE:ACT RM:YTA</v>
        <stp/>
        <stp>{E6978AF5-0702-4407-AC8C-9ADA08C72551}</stp>
        <tr r="U37" s="3"/>
      </tp>
      <tp>
        <v>0.41365740740740742</v>
        <stp/>
        <stp>{7A59F66A-18A0-4B42-B5FC-91B4B6080534}</stp>
        <tr r="K32" s="3"/>
      </tp>
      <tp t="s">
        <v>CLDRADJ:NO DCB:AA EY:2 LLP:AA RATEFRQ:FRQ RATETYPE:ACT RM:YTA</v>
        <stp/>
        <stp>{E1E5DC90-ACC9-4BD3-9F0D-5C50B0F8E916}</stp>
        <tr r="U45" s="3"/>
      </tp>
      <tp>
        <v>42082</v>
        <stp/>
        <stp>{BDDA4552-78D1-4B55-A443-326918A0474E}</stp>
        <tr r="L26" s="3"/>
      </tp>
      <tp>
        <v>3.2800000000000002</v>
        <stp/>
        <stp>{49CB2BB6-85A8-44D4-9A28-5934AF1C9679}</stp>
        <tr r="F43" s="3"/>
      </tp>
      <tp t="s">
        <v>*The record could not be found</v>
        <stp/>
        <stp>{A85E045D-A3A1-4D9B-9DC9-E51DF167AC49}</stp>
        <tr r="H52" s="3"/>
      </tp>
      <tp>
        <v>3.43</v>
        <stp/>
        <stp>{C02AF304-C02F-48A5-91D3-B2E7FFCEBBA9}</stp>
        <tr r="F46" s="3"/>
      </tp>
      <tp t="s">
        <v>*The record could not be found</v>
        <stp/>
        <stp>{DA1E5EDB-3A1F-41D6-8DF7-00B62F50CD26}</stp>
        <tr r="E53" s="3"/>
      </tp>
      <tp t="s">
        <v xml:space="preserve">1.0133          </v>
        <stp/>
        <stp>{9CE984D9-47E0-4C97-BEC0-FAD65C0C8E49}</stp>
        <tr r="I43" s="3"/>
      </tp>
      <tp t="s">
        <v xml:space="preserve">ACC:AA CCM:BBAA CFADJ:NO CLDR:CHN_FI DATED:18AUG2011 DMC:F EMC:S FRCD:18FEB2012 FRQ:2 ISSUE:18AUG2011 NOTIONAL:1 PX:C PXRND:1E-6:NEAR REFDATE:MATURITY RP:1 SETTLE:1WD XD:NO YLDRND:1E-6:NEAR </v>
        <stp/>
        <stp>{00B9AED2-7CE9-4D1B-A2D3-33B0C0BF3508}</stp>
        <tr r="O37" s="3"/>
      </tp>
      <tp>
        <v>0</v>
        <stp/>
        <stp>{483E1FC8-6194-493B-9898-7918F28E0469}</stp>
        <tr r="J47" s="3"/>
      </tp>
      <tp>
        <v>44132</v>
        <stp/>
        <stp>{1531F937-8A49-47B2-A957-FDC1245363F8}</stp>
        <tr r="G41" s="3"/>
      </tp>
      <tp t="s">
        <v>每半年</v>
        <stp/>
        <stp>{6ED48E57-BB90-42FB-A8C2-32DCD740457E}</stp>
        <tr r="H45" s="3"/>
      </tp>
      <tp>
        <v>3.83</v>
        <stp/>
        <stp>{05BB96BB-4E67-4DF0-9E04-B30D6705427C}</stp>
        <tr r="F38" s="3"/>
      </tp>
      <tp t="s">
        <v xml:space="preserve">1.0183          </v>
        <stp/>
        <stp>{9B13CF58-9170-4B2A-BEF8-A1FA4792D245}</stp>
        <tr r="I49" s="3"/>
      </tp>
      <tp t="s">
        <v xml:space="preserve">ACC:AA CCM:BBAA CFADJ:NO CLDR:CHN_FI DATED:04FEB2010 DMC:F EMC:S FRCD:04AUG2010 FRQ:2 ISSUE:04FEB2010 NOTIONAL:1 PX:C PXRND:1E-6:NEAR REFDATE:MATURITY RP:1 SETTLE:1WD XD:NO YLDRND:1E-6:NEAR </v>
        <stp/>
        <stp>{D9E4B3FB-775A-4FA8-B70F-EBA7673505F3}</stp>
        <tr r="O46" s="3"/>
      </tp>
      <tp t="s">
        <v xml:space="preserve">  :  </v>
        <stp/>
        <stp>{3C505658-5BAE-4C61-8497-2B1E9B28C508}</stp>
        <tr r="K48" s="3"/>
      </tp>
      <tp t="s">
        <v>CLDRADJ:NO DCB:AA EY:2 LLP:AA RATEFRQ:FRQ RATETYPE:ACT RM:YTA</v>
        <stp/>
        <stp>{B60C360D-F610-4B65-B831-6CBB5D3BE80F}</stp>
        <tr r="U41" s="3"/>
      </tp>
      <tp>
        <v>0</v>
        <stp/>
        <stp>{6B481BFF-FB0E-4B63-8BAC-2FEBCB176DA1}</stp>
        <tr r="J42" s="3"/>
      </tp>
      <tp t="s">
        <v xml:space="preserve">ACC:AA CCM:BBAA CFADJ:NO CLDR:CHN_FI DATED:17OCT2013 DMC:F EMC:S FRCD:17OCT2014 FRQ:1 ISSUE:17OCT2013 NOTIONAL:1 PX:C PXRND:1E-6:NEAR REFDATE:MATURITY RP:1 SETTLE:1WD XD:NO YLDRND:1E-6:NEAR </v>
        <stp/>
        <stp>{AD683443-1E11-49F5-BDCA-4E186016B3AB}</stp>
        <tr r="O32" s="3"/>
      </tp>
      <tp t="s">
        <v>CLDRADJ:NO DCB:AA EY:2 LLP:AA RATEFRQ:FRQ RATETYPE:ACT RM:YTA</v>
        <stp/>
        <stp>{82244580-D8AD-4F65-A7E4-64EB54292164}</stp>
        <tr r="U47" s="3"/>
      </tp>
      <tp>
        <v>3.7</v>
        <stp/>
        <stp>{8CA6095B-76A5-43EE-8E43-A3CE4016BCDC}</stp>
        <tr r="F23" s="3"/>
      </tp>
      <tp>
        <v>42082</v>
        <stp/>
        <stp>{62ECA4D7-DF39-4F00-8E0A-1DFC5AEE1DB6}</stp>
        <tr r="L23" s="3"/>
      </tp>
      <tp t="s">
        <v xml:space="preserve">1.0323          </v>
        <stp/>
        <stp>{7131D6EB-0D22-4BE9-B367-28BCA90C1A0D}</stp>
        <tr r="I40" s="3"/>
      </tp>
      <tp>
        <v>3.68</v>
        <stp/>
        <stp>{B910F68D-C891-4D84-A58A-9CEB5DC59B19}</stp>
        <tr r="F47" s="3"/>
      </tp>
      <tp t="s">
        <v xml:space="preserve">06国债19                  </v>
        <stp/>
        <stp>{1D88F74E-8959-41FD-93D3-3D7A8C2E81DB}</stp>
        <tr r="E35" s="3"/>
      </tp>
      <tp t="s">
        <v>CN130003=CFXM</v>
        <stp/>
        <stp>{E78576C8-A9EC-4EFF-9C0D-D0AE3DD32EDE}</stp>
        <tr r="B25" s="3"/>
      </tp>
      <tp t="s">
        <v xml:space="preserve">ACC:AA CCM:BBAA CFADJ:NO CLDR:CHN_FI DATED:11JUL2013 DMC:F EMC:S FRCD:11JUL2014 FRQ:1 ISSUE:11JUL2013 NOTIONAL:1 PX:C PXRND:1E-6:NEAR REFDATE:MATURITY RP:1 SETTLE:1WD XD:NO YLDRND:1E-6:NEAR </v>
        <stp/>
        <stp>{72C56677-B8A7-47F0-97DE-C404B9FAB188}</stp>
        <tr r="O31" s="3"/>
      </tp>
      <tp t="s">
        <v>CLDRADJ:NO DCB:AA EY:1 LLP:AA RATEFRQ:FRQ RATETYPE:ACT RM:YTA</v>
        <stp/>
        <stp>{D77A3128-1113-4235-8C36-8026DF5B93B6}</stp>
        <tr r="U59" s="3"/>
      </tp>
      <tp t="s">
        <v xml:space="preserve">11附息国债08              </v>
        <stp/>
        <stp>{1776B6D6-3EDC-4515-AF0C-FED20975C0A6}</stp>
        <tr r="E38" s="3"/>
      </tp>
      <tp>
        <v>3.94</v>
        <stp/>
        <stp>{B127E3C8-A3F5-4855-BCB8-F72791701286}</stp>
        <tr r="F39" s="3"/>
      </tp>
      <tp t="s">
        <v>CLDRADJ:NO DCB:AA EY:2 LLP:AA RATEFRQ:FRQ RATETYPE:ACT RM:YTA</v>
        <stp/>
        <stp>{99373CB6-66F8-46CB-B86B-9E1DAEC3F509}</stp>
        <tr r="U42" s="3"/>
      </tp>
      <tp t="s">
        <v xml:space="preserve">TR PRICING  </v>
        <stp/>
        <stp>{15477FD0-2BBC-4D08-8FE6-4CEA48BF59DE}</stp>
        <tr r="M65" s="3"/>
      </tp>
      <tp t="s">
        <v>CLDRADJ:NO DCB:AA EY:2 LLP:AA RATEFRQ:FRQ RATETYPE:ACT RM:YTA</v>
        <stp/>
        <stp>{71F8FEA3-88D4-49D3-A34B-5AF69CDCFC86}</stp>
        <tr r="U43" s="3"/>
      </tp>
      <tp>
        <v>0</v>
        <stp/>
        <stp>{442DD208-D12B-49CC-B423-30ACAE3AF85B}</stp>
        <tr r="J48" s="3"/>
      </tp>
      <tp t="s">
        <v xml:space="preserve">ACC:AA CCM:BBAA CFADJ:NO CLDR:CHN_FI DATED:03APR2014 DMC:F EMC:S FRCD:03APR2015 FRQ:1 ISSUE:03APR2014 NOTIONAL:1 PX:C PXRND:1E-6:NEAR REFDATE:MATURITY RP:1 SETTLE:1WD XD:NO YLDRND:1E-6:NEAR </v>
        <stp/>
        <stp>{9C8FD800-C9C9-4672-B395-E746794488C5}</stp>
        <tr r="O28" s="3"/>
      </tp>
      <tp>
        <v>41382</v>
        <stp/>
        <stp>{7852842B-6A25-4A90-B4BF-F0F0DC42BB55}</stp>
        <tr r="AH30" s="3"/>
      </tp>
      <tp t="s">
        <v>*The record could not be found</v>
        <stp/>
        <stp>{148F2BB3-8273-4805-ACFE-D89C20A7C228}</stp>
        <tr r="H55" s="3"/>
      </tp>
      <tp t="s">
        <v xml:space="preserve">1.0397          </v>
        <stp/>
        <stp>{E7A223C6-71D8-42D6-B0D1-BC10F5D2FD0E}</stp>
        <tr r="I23" s="3"/>
      </tp>
      <tp t="s">
        <v xml:space="preserve">ACC:AA CCM:BBAA CFADJ:NO CLDR:CHN_FI DATED:13MAY2010 DMC:F EMC:S FRCD:13NOV2010 FRQ:2 ISSUE:13MAY2010 NOTIONAL:1 PX:C PXRND:1E-6:NEAR REFDATE:MATURITY RP:1 SETTLE:1WD XD:NO YLDRND:1E-6:NEAR </v>
        <stp/>
        <stp>{F9AA4D17-8E72-47DF-9DF5-B6663D66D2DD}</stp>
        <tr r="O44" s="3"/>
      </tp>
      <tp>
        <v>0</v>
        <stp/>
        <stp>{7C3E198F-D3C2-4547-A9EB-53858B614905}</stp>
        <tr r="J44" s="3"/>
      </tp>
      <tp t="s">
        <v xml:space="preserve">1.0519          </v>
        <stp/>
        <stp>{CB27BFEA-164E-4159-AB45-B2747279ED08}</stp>
        <tr r="I32" s="3"/>
      </tp>
      <tp>
        <v>0.53278935185185183</v>
        <stp/>
        <stp>{EE9251D9-A621-4213-93FC-0C46B59FB7AB}</stp>
        <tr r="K65" s="3"/>
      </tp>
      <tp t="s">
        <v xml:space="preserve">ACC:AA CCM:BBAA CFADJ:NO CLDR:CHN_FI DATED:05NOV2009 DMC:F EMC:S FRCD:05MAY2010 FRQ:2 ISSUE:05NOV2009 NOTIONAL:1 PX:C PXRND:1E-6:NEAR REFDATE:MATURITY RP:1 SETTLE:1WD XD:NO YLDRND:1E-6:NEAR </v>
        <stp/>
        <stp>{9CC52361-D9C3-4AA9-B4DC-1F125CCEC992}</stp>
        <tr r="O47" s="3"/>
      </tp>
      <tp t="s">
        <v>*The record could not be found</v>
        <stp/>
        <stp>{6BA31C65-7B18-4D40-8E66-FB1AE0D44D2B}</stp>
        <tr r="M51" s="3"/>
      </tp>
      <tp t="s">
        <v>每半年</v>
        <stp/>
        <stp>{54F7B96E-8472-42A6-B65F-7B7981CBC523}</stp>
        <tr r="H41" s="3"/>
      </tp>
      <tp>
        <v>99.661900000000003</v>
        <stp/>
        <stp>{2DBEB671-AF6F-4998-AA62-C114607289CD}</stp>
        <tr r="J22" s="3"/>
      </tp>
      <tp t="s">
        <v xml:space="preserve">ACC:AA CCM:BBAA CFADJ:NO CLDR:CHN_FI DATED:24MAY2012 DMC:F EMC:S FRCD:24NOV2012 FRQ:2 ISSUE:24MAY2012 NOTIONAL:1 PX:C PXRND:1E-6:NEAR REFDATE:MATURITY RP:1 SETTLE:1WD XD:NO YLDRND:1E-6:NEAR </v>
        <stp/>
        <stp>{1624107D-EED3-46FF-B737-66660071E426}</stp>
        <tr r="O33" s="3"/>
      </tp>
      <tp t="s">
        <v xml:space="preserve">14附息国债26              </v>
        <stp/>
        <stp>{9EE2305A-61EF-46A0-9EA1-B30C71D4A2AC}</stp>
        <tr r="E26" s="3"/>
      </tp>
      <tp>
        <v>40962</v>
        <stp/>
        <stp>{9F005220-83E7-46D2-848F-A34B26BD71DC}</stp>
        <tr r="AH36" s="3"/>
      </tp>
      <tp t="s">
        <v xml:space="preserve">1.0113          </v>
        <stp/>
        <stp>{6615B0FB-8DE0-4223-ADFA-5B029A6EB319}</stp>
        <tr r="I44" s="3"/>
      </tp>
      <tp t="s">
        <v>每半年</v>
        <stp/>
        <stp>{661C31CF-B520-4216-9DCD-01D3DE422567}</stp>
        <tr r="H48" s="3"/>
      </tp>
      <tp>
        <v>3.47</v>
        <stp/>
        <stp>{EEC7E160-CDBA-4EB0-B3E0-1E18397192BA}</stp>
        <tr r="D74" s="3"/>
      </tp>
      <tp>
        <v>0.38032407407407409</v>
        <stp/>
        <stp>{9682743A-FA18-4E56-AF12-359B6758FA18}</stp>
        <tr r="K33" s="3"/>
      </tp>
      <tp>
        <v>3.5100000000000002</v>
        <stp/>
        <stp>{626AF9AD-2518-4DF1-BEED-F9DEB0EB65B0}</stp>
        <tr r="F36" s="3"/>
      </tp>
      <tp t="s">
        <v>*The record could not be found</v>
        <stp/>
        <stp>{83E31189-BB87-4C4C-A9D8-F4AD82E510FF}</stp>
        <tr r="G55" s="3"/>
      </tp>
      <tp t="s">
        <v>每年</v>
        <stp/>
        <stp>{02969195-B4AB-433B-9C7D-9F891A5C6781}</stp>
        <tr r="H25" s="3"/>
      </tp>
      <tp t="s">
        <v>CN110019=CFXM</v>
        <stp/>
        <stp>{B8F5401B-F4EB-4226-8D0F-011FAA2886C9}</stp>
        <tr r="B37" s="3"/>
      </tp>
      <tp>
        <v>40311</v>
        <stp/>
        <stp>{5CCD3059-42A5-4F71-B132-A8CD8520B2B4}</stp>
        <tr r="AH44" s="3"/>
      </tp>
      <tp>
        <v>3.44</v>
        <stp/>
        <stp>{0415B31A-9022-403A-99D2-A8FCF3EB04D7}</stp>
        <tr r="F48" s="3"/>
      </tp>
      <tp>
        <v>100.41200000000001</v>
        <stp/>
        <stp>{A5D251F9-6AC1-4545-8A62-220726E351A5}</stp>
        <tr r="J30" s="3"/>
      </tp>
      <tp t="s">
        <v>*The record could not be found</v>
        <stp/>
        <stp>{98A1F5FE-56BA-42DE-AC86-D9317FA95408}</stp>
        <tr r="AH54" s="3"/>
      </tp>
      <tp>
        <v>40395</v>
        <stp/>
        <stp>{7954AE26-B45C-4FC9-AC29-D29661E28B3A}</stp>
        <tr r="AH43" s="3"/>
      </tp>
      <tp t="s">
        <v>每半年</v>
        <stp/>
        <stp>{33011F8C-7371-40D5-8515-039EB6A9253C}</stp>
        <tr r="H47" s="3"/>
      </tp>
      <tp>
        <v>0.76557870370370373</v>
        <stp/>
        <stp>{63B49793-62A7-4B4C-AB59-E7FA46620FEE}</stp>
        <tr r="K61" s="3"/>
      </tp>
      <tp>
        <v>99.883800000000008</v>
        <stp/>
        <stp>{3C184DF0-8666-480A-8CD6-7020A356CD26}</stp>
        <tr r="J59" s="3"/>
      </tp>
      <tp t="s">
        <v xml:space="preserve">农业银行        </v>
        <stp/>
        <stp>{D4C4C306-1201-4E7D-BE5B-AFC815D698F3}</stp>
        <tr r="M28" s="3"/>
      </tp>
      <tp t="s">
        <v>每年</v>
        <stp/>
        <stp>{EF55F0B8-E7D6-4C54-8E4D-96E899268C14}</stp>
        <tr r="H23" s="3"/>
      </tp>
      <tp t="s">
        <v>*The record could not be found</v>
        <stp/>
        <stp>{6673B634-D0AF-4272-B4FC-9465B5482F71}</stp>
        <tr r="K51" s="3"/>
      </tp>
      <tp>
        <v>99.884799999999998</v>
        <stp/>
        <stp>{F0B8EC3E-4ACE-47FF-B275-32C4E175633A}</stp>
        <tr r="J62" s="3"/>
      </tp>
      <tp t="s">
        <v xml:space="preserve">  :  </v>
        <stp/>
        <stp>{2D482DEA-01DE-424B-8D2A-D585A3864FC1}</stp>
        <tr r="K40" s="3"/>
      </tp>
      <tp t="s">
        <v xml:space="preserve">ACC:AA CCM:BBAA CFADJ:NO CLDR:CHN_FI DATED:17NOV2011 DMC:F EMC:S FRCD:17MAY2012 FRQ:2 ISSUE:17NOV2011 LRCD:17MAY2020 NOTIONAL:1 PX:C PXRND:1E-6:NEAR REFDATE:MATURITY RP:1 SETTLE:1WD XD:NO YLDRND:1E-6:NEAR </v>
        <stp/>
        <stp>{976D38AD-AD37-4A51-BBC7-F77626F77C74}</stp>
        <tr r="O34" s="3"/>
      </tp>
      <tp t="s">
        <v>CN130015=CFXM</v>
        <stp/>
        <stp>{34A587B1-6BB0-421D-B4DB-A704DCE2FD41}</stp>
        <tr r="B31" s="3"/>
      </tp>
      <tp>
        <v>3.36</v>
        <stp/>
        <stp>{FE932203-BCE7-4D36-ACB1-966CEA610D91}</stp>
        <tr r="F45" s="3"/>
      </tp>
      <tp>
        <v>0.76557870370370373</v>
        <stp/>
        <stp>{19092F31-13B5-4E32-98B5-E2ADF0B7FFDF}</stp>
        <tr r="K59" s="3"/>
      </tp>
      <tp>
        <v>43714</v>
        <stp/>
        <stp>{F64AB36B-4C9B-4482-BF38-C714883ECB9B}</stp>
        <tr r="G27" s="3"/>
      </tp>
      <tp t="s">
        <v xml:space="preserve">                      </v>
        <stp/>
        <stp>{27C39D72-D586-4DDC-BEE3-E6E256CC9266}</stp>
        <tr r="M36" s="3"/>
      </tp>
      <tp t="s">
        <v xml:space="preserve">10附息国债34              </v>
        <stp/>
        <stp>{18FE422A-3243-44EB-90DA-7710AC200FFD}</stp>
        <tr r="E41" s="3"/>
      </tp>
      <tp>
        <v>0</v>
        <stp/>
        <stp>{8296350C-0F06-4DB0-AADA-AB7EC88876CD}</stp>
        <tr r="J41" s="3"/>
      </tp>
      <tp>
        <v>44150</v>
        <stp/>
        <stp>{DD90EE7D-FB8F-49B9-98B9-62424440C375}</stp>
        <tr r="G40" s="3"/>
      </tp>
      <tp>
        <v>41564</v>
        <stp/>
        <stp>{9E7D21DF-0A24-4632-AC36-C7F6F8A269A7}</stp>
        <tr r="AH32" s="3"/>
      </tp>
      <tp>
        <v>0.76557870370370373</v>
        <stp/>
        <stp>{85A3562F-E098-4F29-909D-1A0E6778DDB8}</stp>
        <tr r="K62" s="3"/>
      </tp>
      <tp t="s">
        <v>CLDRADJ:NO DCB:AA EY:1 LLP:AA RATEFRQ:FRQ RATETYPE:ACT RM:YTA</v>
        <stp/>
        <stp>{BA34A10D-8182-4D32-A649-E8A8B28ADD0C}</stp>
        <tr r="U26" s="3"/>
      </tp>
      <tp t="s">
        <v>CLDRADJ:NO DCB:AA EY:2 LLP:AA RATEFRQ:FRQ RATETYPE:ACT RM:YTA</v>
        <stp/>
        <stp>{4BA1682B-8377-47D9-9EA2-8EFC595AE9C8}</stp>
        <tr r="U46" s="3"/>
      </tp>
      <tp t="s">
        <v xml:space="preserve">ACC:AA CCM:BBAA CFADJ:NO CLDR:CHN_FI DATED:17MAR2011 DMC:F EMC:S FRCD:17SEP2011 FRQ:2 ISSUE:17MAR2011 NOTIONAL:1 PX:C PXRND:1E-6:NEAR REFDATE:MATURITY RP:1 SETTLE:1WD XD:NO YLDRND:1E-6:NEAR </v>
        <stp/>
        <stp>{73F91E78-9440-4F8F-B111-59DCCABD0D0E}</stp>
        <tr r="O38" s="3"/>
      </tp>
      <tp>
        <v>42082</v>
        <stp/>
        <stp>{ECC1F347-2612-41EB-91F8-ED94ABABF0BE}</stp>
        <tr r="L63" s="3"/>
      </tp>
      <tp t="s">
        <v>CN090027=CFXM</v>
        <stp/>
        <stp>{F07750DD-F9BD-42D7-8601-2784F9C7B2C5}</stp>
        <tr r="B47" s="3"/>
      </tp>
      <tp t="s">
        <v/>
        <stp/>
        <stp>{3A9E1583-085E-45E1-B628-4CB934074204}</stp>
        <tr r="L37" s="3"/>
      </tp>
      <tp t="s">
        <v>TR COMPOSITE</v>
        <stp/>
        <stp>{83867693-43F0-4A08-9115-5A40F91045A5}</stp>
        <tr r="M66" s="3"/>
      </tp>
      <tp t="s">
        <v xml:space="preserve">ACC:AA CCM:BBAA CFADJ:NO CLDR:CHN_FI DATED:17SEP2009 DMC:F EMC:S FRCD:17MAR2010 FRQ:2 ISSUE:17SEP2009 NOTIONAL:1 PX:C PXRND:1E-6:NEAR REFDATE:MATURITY RP:1 SETTLE:1WD XD:NO YLDRND:1E-6:NEAR </v>
        <stp/>
        <stp>{721F3AC4-98F4-4705-BBCF-402630E7AF8D}</stp>
        <tr r="O48" s="3"/>
      </tp>
      <tp t="s">
        <v xml:space="preserve">ACC:AA CCM:BBAA CFADJ:NO CLDR:CHN_FI DATED:23FEB2012 DMC:F EMC:S FRCD:23AUG2012 FRQ:2 ISSUE:23FEB2012 NOTIONAL:1 PX:C PXRND:1E-6:NEAR REFDATE:MATURITY RP:1 SETTLE:1WD XD:NO YLDRND:1E-6:NEAR </v>
        <stp/>
        <stp>{77204CED-67EE-47FA-BDAA-E843195F76C4}</stp>
        <tr r="O36" s="3"/>
      </tp>
      <tp t="s">
        <v xml:space="preserve">09附息国债27              </v>
        <stp/>
        <stp>{8CD3B9AC-967B-4602-AD82-D042B904D0F0}</stp>
        <tr r="E47" s="3"/>
      </tp>
      <tp>
        <v>43866</v>
        <stp/>
        <stp>{DEB93904-1EDE-45C7-8A74-5B77891079FE}</stp>
        <tr r="G59" s="3"/>
      </tp>
      <tp t="s">
        <v>每半年</v>
        <stp/>
        <stp>{EB83113F-43C4-4976-8888-2A93CBB04382}</stp>
        <tr r="H43" s="3"/>
      </tp>
      <tp t="s">
        <v/>
        <stp/>
        <stp>{27502261-ACA1-4B09-85E3-B2754BD0CFC8}</stp>
        <tr r="B50" s="3"/>
      </tp>
      <tp t="s">
        <v>CLDRADJ:NO DCB:AA EY:1 LLP:AA RATEFRQ:FRQ RATETYPE:ACT RM:YTA</v>
        <stp/>
        <stp>{2EF2AD9C-74F3-458D-A9FE-DAD0AC1A8185}</stp>
        <tr r="U31" s="3"/>
      </tp>
      <tp t="s">
        <v xml:space="preserve">西南证券        </v>
        <stp/>
        <stp>{D097206F-85E9-49CD-BB96-353D03933CE8}</stp>
        <tr r="M31" s="3"/>
      </tp>
      <tp>
        <v>40563</v>
        <stp/>
        <stp>{EB9BFCFE-6803-412B-9A7E-1B451DD83710}</stp>
        <tr r="AH39" s="3"/>
      </tp>
      <tp t="s">
        <v xml:space="preserve">                      </v>
        <stp/>
        <stp>{09D25A61-6E0C-436F-BF24-0E09BE3E58CB}</stp>
        <tr r="M41" s="3"/>
      </tp>
      <tp t="s">
        <v>CN100002=CFXM</v>
        <stp/>
        <stp>{D59B885F-88CE-4F3E-8893-9095FD8B5BE2}</stp>
        <tr r="B46" s="3"/>
      </tp>
      <tp t="s">
        <v xml:space="preserve">CCDC-SETTLE </v>
        <stp/>
        <stp>{BA3C37F4-A2E0-4D4B-8324-0C629BCE2BED}</stp>
        <tr r="M60" s="3"/>
      </tp>
      <tp t="s">
        <v xml:space="preserve">  :  </v>
        <stp/>
        <stp>{E2B68518-5B88-4C1E-8603-686B0D45DDCE}</stp>
        <tr r="K36" s="3"/>
      </tp>
      <tp t="s">
        <v/>
        <stp/>
        <stp>{867F4A20-94E6-413F-8952-78CE89747941}</stp>
        <tr r="L38" s="3"/>
      </tp>
      <tp t="s">
        <v>CN100007=CFXM</v>
        <stp/>
        <stp>{F3AA5409-68E5-42F5-AD3C-0B8025D58959}</stp>
        <tr r="B45" s="3"/>
      </tp>
      <tp t="s">
        <v xml:space="preserve">1.0186          </v>
        <stp/>
        <stp>{87678075-E974-4277-BB4C-667A3E49B482}</stp>
        <tr r="I46" s="3"/>
      </tp>
      <tp t="s">
        <v>中国外汇交易中心</v>
        <stp/>
        <stp>{290E5BAA-300A-44F2-9C8D-086C4EAC9B23}</stp>
        <tr r="M64" s="3"/>
      </tp>
      <tp t="s">
        <v>CCDC-SZE VAL</v>
        <stp/>
        <stp>{5446A85F-8B7F-4F1E-BE24-DDC2EFEDCF11}</stp>
        <tr r="M62" s="3"/>
      </tp>
      <tp>
        <v>41298</v>
        <stp/>
        <stp>{71443B6C-424D-47DB-B6D2-441DFFF2A65D}</stp>
        <tr r="AH25" s="3"/>
      </tp>
      <tp>
        <v>40619</v>
        <stp/>
        <stp>{11A74BC6-6CA5-4CDD-A42B-474446D0C53D}</stp>
        <tr r="AH38" s="3"/>
      </tp>
      <tp t="s">
        <v xml:space="preserve">1.0128          </v>
        <stp/>
        <stp>{9E8DA78E-95DB-4146-914D-872D6FBC18A3}</stp>
        <tr r="I30" s="3"/>
      </tp>
      <tp>
        <v>106.11380000000001</v>
        <stp/>
        <stp>{708E0FE2-6A71-451B-AD86-039B5123A3A1}</stp>
        <tr r="J28" s="3"/>
      </tp>
      <tp>
        <v>41732</v>
        <stp/>
        <stp>{02CCD727-463C-4D6D-9966-677880DE14B2}</stp>
        <tr r="AH28" s="3"/>
      </tp>
      <tp>
        <v>42082</v>
        <stp/>
        <stp>{453BC734-504C-4310-94AB-001C6941F866}</stp>
        <tr r="L33" s="3"/>
      </tp>
      <tp t="s">
        <v xml:space="preserve">  :  </v>
        <stp/>
        <stp>{9AEF85D6-2982-4382-BBFD-5C7BD8319F9D}</stp>
        <tr r="K41" s="3"/>
      </tp>
      <tp t="s">
        <v xml:space="preserve">杭州银行        </v>
        <stp/>
        <stp>{556E2F81-DD79-48FA-A869-B6CCDAAD7F03}</stp>
        <tr r="M27" s="3"/>
      </tp>
      <tp>
        <v>42082</v>
        <stp/>
        <stp>{A4CA726A-B60F-47BB-98B2-EB74A3E699B4}</stp>
        <tr r="L32" s="3"/>
      </tp>
      <tp>
        <v>42082</v>
        <stp/>
        <stp>{5F8094A7-CD4E-4666-93A5-0F94ECD16642}</stp>
        <tr r="L31" s="3"/>
      </tp>
      <tp>
        <v>44615</v>
        <stp/>
        <stp>{1D8504A8-8A50-4A90-BB39-3F79F82369E6}</stp>
        <tr r="G36" s="3"/>
      </tp>
      <tp>
        <v>42082</v>
        <stp/>
        <stp>{FA377426-D67E-4E65-A8B4-38D9E9D867B4}</stp>
        <tr r="L60" s="3"/>
      </tp>
      <tp t="s">
        <v xml:space="preserve">1.0097          </v>
        <stp/>
        <stp>{398597C3-09CA-47E4-A87F-FE944D9600E3}</stp>
        <tr r="I27" s="3"/>
      </tp>
      <tp t="s">
        <v>*The record could not be found</v>
        <stp/>
        <stp>{110BA441-E05C-4D76-B47E-8EDEFB0C71DD}</stp>
        <tr r="F52" s="3"/>
      </tp>
      <tp t="s">
        <v xml:space="preserve">ACC:AA CCM:BBAA CFADJ:NO CLDR:CHN_FI DATED:23OCT2014 DMC:F EMC:S FRCD:23OCT2015 FRQ:1 ISSUE:22OCT2014 NOTIONAL:1 PX:C PXRND:1E-6:NEAR REFDATE:MATURITY RP:1 SETTLE:1WD XD:NO YLDRND:1E-6:NEAR </v>
        <stp/>
        <stp>{1496E8EC-983C-450D-B8BA-19440F3C0CCE}</stp>
        <tr r="O23" s="3"/>
      </tp>
      <tp t="s">
        <v xml:space="preserve">                      </v>
        <stp/>
        <stp>{F0BD47AB-077F-4874-9244-4BEB544A8100}</stp>
        <tr r="M48" s="3"/>
      </tp>
      <tp>
        <v>41655</v>
        <stp/>
        <stp>{344BC251-4AF7-4C0B-A5F5-8D7F32B9BFA2}</stp>
        <tr r="AH29" s="3"/>
      </tp>
      <tp t="s">
        <v xml:space="preserve">1.0279          </v>
        <stp/>
        <stp>{4E6E59F6-04F7-4BEA-B485-3DA0F4EE6944}</stp>
        <tr r="I47" s="3"/>
      </tp>
      <tp t="s">
        <v/>
        <stp/>
        <stp>{7BE21ECD-14BF-4B5F-BCE8-A6F0B58B9652}</stp>
        <tr r="L42" s="3"/>
      </tp>
      <tp>
        <v>4.07</v>
        <stp/>
        <stp>{29E9587F-A519-4658-AEDE-A1DE7509A575}</stp>
        <tr r="F32" s="3"/>
      </tp>
      <tp t="s">
        <v xml:space="preserve">ACC:AA CCM:BBAA CFADJ:NO CLDR:CHN_FI DATED:15NOV2006 DMC:F EMC:S FRCD:15MAY2007 FRQ:2 ISSUE:15NOV2006 NOTIONAL:1 PX:C PXRND:1E-6:NEAR REFDATE:MATURITY RP:1 SETTLE:1WD XD:NO YLDRND:1E-6:NEAR </v>
        <stp/>
        <stp>{078CDD9F-A043-4D6E-9736-0259FDA76423}</stp>
        <tr r="O35" s="3"/>
      </tp>
      <tp t="s">
        <v>*The record could not be found</v>
        <stp/>
        <stp>{00A4ED6A-766B-41D1-B41C-FE61A26FF0C4}</stp>
        <tr r="F54" s="3"/>
      </tp>
      <tp t="s">
        <v xml:space="preserve">09附息国债23              </v>
        <stp/>
        <stp>{148560AD-D8A4-41A6-8CF4-91EF8549C1E5}</stp>
        <tr r="E48" s="3"/>
      </tp>
      <tp t="s">
        <v xml:space="preserve">11附息国债24              </v>
        <stp/>
        <stp>{D4AB6A66-1CCB-4648-8804-DDC105501D86}</stp>
        <tr r="E34" s="3"/>
      </tp>
      <tp t="s">
        <v>CN050012=CFXM</v>
        <stp/>
        <stp>{C4B9B39D-5B50-4A6E-AA40-0255A30CF2B1}</stp>
        <tr r="B40" s="3"/>
      </tp>
      <tp t="s">
        <v>CN120016=CFXM</v>
        <stp/>
        <stp>{E1B0585A-287A-485B-ACF4-127E3FF6ECDE}</stp>
        <tr r="B27" s="3"/>
      </tp>
      <tp t="s">
        <v xml:space="preserve">  :  </v>
        <stp/>
        <stp>{05CBD09D-62D3-43A1-9463-C4DD7FF29374}</stp>
        <tr r="K43" s="3"/>
      </tp>
      <tp t="s">
        <v xml:space="preserve">1.0306          </v>
        <stp/>
        <stp>{B91C6133-D65D-4379-B780-BC8531D11766}</stp>
        <tr r="I36" s="3"/>
      </tp>
      <tp t="s">
        <v xml:space="preserve">  :  </v>
        <stp/>
        <stp>{53D31311-6D3A-43CA-B21D-9A60E297444F}</stp>
        <tr r="K38" s="3"/>
      </tp>
      <tp t="s">
        <v xml:space="preserve">ACC:AA CCM:BBAA CFADJ:NO CLDR:CHN_FI DATED:23JUL2009 DMC:F EMC:S FRCD:23JAN2010 FRQ:2 ISSUE:23JUL2009 NOTIONAL:1 PX:C PXRND:1E-6:NEAR REFDATE:MATURITY RP:1 SETTLE:1WD XD:NO YLDRND:1E-6:NEAR </v>
        <stp/>
        <stp>{488E41FF-B71D-42C9-9C1D-D68458C39F8F}</stp>
        <tr r="O49" s="3"/>
      </tp>
      <tp>
        <v>101.7265</v>
        <stp/>
        <stp>{A568857B-B848-49F7-943F-20DEC0F5C43D}</stp>
        <tr r="J31" s="3"/>
      </tp>
      <tp t="s">
        <v>每半年</v>
        <stp/>
        <stp>{D1FC4024-9A8D-46F3-9026-48AFB185874F}</stp>
        <tr r="H38" s="3"/>
      </tp>
      <tp t="s">
        <v xml:space="preserve">                      </v>
        <stp/>
        <stp>{ABA68422-B050-4ECB-B420-553FEC953D74}</stp>
        <tr r="M38" s="3"/>
      </tp>
      <tp t="s">
        <v>CLDRADJ:NO DCB:AA EY:1 LLP:AA RATEFRQ:FRQ RATETYPE:ACT RM:YTA</v>
        <stp/>
        <stp>{720A5F55-C800-4B4E-906D-D850D36E3F5E}</stp>
        <tr r="U25" s="3"/>
      </tp>
      <tp t="s">
        <v xml:space="preserve">1.0435          </v>
        <stp/>
        <stp>{122CE69C-2404-470A-9ABC-9E6C6014184A}</stp>
        <tr r="I38" s="3"/>
      </tp>
      <tp>
        <v>44090</v>
        <stp/>
        <stp>{D1BDBBD3-7781-4727-B6F6-0EE248879957}</stp>
        <tr r="G42" s="3"/>
      </tp>
      <tp t="s">
        <v/>
        <stp/>
        <stp>{1ABBF0DF-5C16-4786-9CD4-BF543D928225}</stp>
        <tr r="L41" s="3"/>
      </tp>
      <tp>
        <v>0.42180555555555554</v>
        <stp/>
        <stp>{39D4E29B-8A86-4842-81AA-B653C90DF573}</stp>
        <tr r="K60" s="3"/>
      </tp>
      <tp t="s">
        <v xml:space="preserve">  :  </v>
        <stp/>
        <stp>{836CE1B5-6FE5-42F6-88AC-0283570FE06F}</stp>
        <tr r="K45" s="3"/>
      </tp>
      <tp t="s">
        <v xml:space="preserve">1.0223          </v>
        <stp/>
        <stp>{ED2F7DD0-1813-498B-B586-914B6C4D3370}</stp>
        <tr r="I33" s="3"/>
      </tp>
      <tp t="s">
        <v>CN060019=CFXM</v>
        <stp/>
        <stp>{ADBABA4A-43D1-4764-82E8-BE7FAC0D175B}</stp>
        <tr r="B35" s="3"/>
      </tp>
      <tp>
        <v>40437</v>
        <stp/>
        <stp>{79287B10-FA6F-4B00-8477-081D8A260995}</stp>
        <tr r="AH42" s="3"/>
      </tp>
      <tp>
        <v>3.31</v>
        <stp/>
        <stp>{C9E21ED7-C9B2-4341-B16F-576EFE587A27}</stp>
        <tr r="F59" s="3"/>
      </tp>
      <tp>
        <v>0.57805555555555554</v>
        <stp/>
        <stp>{F59A5D73-4CF1-48EC-8C90-E0E9F3DA6E39}</stp>
        <tr r="K24" s="3"/>
      </tp>
      <tp t="s">
        <v>CLDRADJ:NO DCB:AA EY:2 LLP:AA RATEFRQ:FRQ RATETYPE:ACT RM:YTA</v>
        <stp/>
        <stp>{956CCD7C-794F-4428-A199-A56150A49F95}</stp>
        <tr r="U36" s="3"/>
      </tp>
      <tp t="s">
        <v xml:space="preserve">                      </v>
        <stp/>
        <stp>{E458B7FE-20D8-4054-B5CF-17D93A6E608D}</stp>
        <tr r="M40" s="3"/>
      </tp>
      <tp t="s">
        <v xml:space="preserve">1.0328          </v>
        <stp/>
        <stp>{7A6C71D5-6DB8-4A63-8BC4-FD9B8566E1A4}</stp>
        <tr r="I41" s="3"/>
      </tp>
      <tp t="s">
        <v>CLDRADJ:NO DCB:AA EY:1 LLP:AA RATEFRQ:FRQ RATETYPE:ACT RM:YTA</v>
        <stp/>
        <stp>{5D1CC75F-F5D0-4A5F-9723-5FCD9194594D}</stp>
        <tr r="U32" s="3"/>
      </tp>
      <tp t="s">
        <v/>
        <stp/>
        <stp>{ED01D82A-D447-406C-A21D-B5B087D06388}</stp>
        <tr r="L44" s="3"/>
      </tp>
      <tp>
        <v>4.4400000000000004</v>
        <stp/>
        <stp>{88D7A973-E390-42AB-B52B-23EA54835337}</stp>
        <tr r="F29" s="3"/>
      </tp>
      <tp t="s">
        <v>#N/A</v>
        <stp/>
        <stp>{3C9ED2F4-B7F7-40B8-B7B5-91B9645ED5F1}</stp>
        <tr r="O55" s="3"/>
      </tp>
      <tp>
        <v>42082</v>
        <stp/>
        <stp>{98846746-DF9D-4A84-A8A7-9FC563DC556F}</stp>
        <tr r="L30" s="3"/>
      </tp>
      <tp>
        <v>4.33</v>
        <stp/>
        <stp>{2485FF8E-0BE0-49D3-BB7C-841F68882CD4}</stp>
        <tr r="F28" s="3"/>
      </tp>
      <tp>
        <v>3.25</v>
        <stp/>
        <stp>{7A28AC69-71AD-4F2A-A23A-211ABA156B83}</stp>
        <tr r="F27" s="3"/>
      </tp>
      <tp>
        <v>0</v>
        <stp/>
        <stp>{2A0F5DDA-7800-4DA0-B496-87B28B70F9C2}</stp>
        <tr r="J40" s="3"/>
      </tp>
      <tp t="s">
        <v>CLDRADJ:NO DCB:AA EY:1 LLP:AA RATEFRQ:FRQ RATETYPE:ACT RM:YTA</v>
        <stp/>
        <stp>{0D97A5F7-8280-40C6-931F-3C3DE11091ED}</stp>
        <tr r="U24" s="3"/>
      </tp>
      <tp t="s">
        <v>CN120004=CFXM</v>
        <stp/>
        <stp>{B02DACA2-947D-4B9C-8D13-39D1F18E1DD0}</stp>
        <tr r="B36" s="3"/>
      </tp>
      <tp>
        <v>39036</v>
        <stp/>
        <stp>{2DF09546-48F1-42D7-8DD4-E8AB17F4C65E}</stp>
        <tr r="AH35" s="3"/>
      </tp>
      <tp t="s">
        <v>*The record could not be found</v>
        <stp/>
        <stp>{BBE344FE-96D9-438E-8F11-BFFF96654980}</stp>
        <tr r="E54" s="3"/>
      </tp>
      <tp t="s">
        <v xml:space="preserve">10附息国债31              </v>
        <stp/>
        <stp>{15BE4659-4EEB-40F8-972B-28C1F49464FA}</stp>
        <tr r="E42" s="3"/>
      </tp>
      <tp t="s">
        <v xml:space="preserve">  :  </v>
        <stp/>
        <stp>{0D1DFA35-19C6-4ECB-992D-84FABB0AFAE8}</stp>
        <tr r="K49" s="3"/>
      </tp>
      <tp>
        <v>0</v>
        <stp/>
        <stp>{086A93DF-E8E1-4072-A63E-06AF5AFDE5DB}</stp>
        <tr r="J38" s="3"/>
      </tp>
      <tp t="s">
        <v xml:space="preserve">1.048           </v>
        <stp/>
        <stp>{7595DF13-6FA3-48DE-B929-026F1B93F55D}</stp>
        <tr r="I39" s="3"/>
      </tp>
      <tp t="s">
        <v>CCDC-SSE VAL</v>
        <stp/>
        <stp>{4CEA0BE7-C558-4972-B8B8-AB99A5A98585}</stp>
        <tr r="M61" s="3"/>
      </tp>
      <tp>
        <v>40479</v>
        <stp/>
        <stp>{862334A5-9440-4FD3-A9D1-1106DB896135}</stp>
        <tr r="AH41" s="3"/>
      </tp>
      <tp>
        <v>44492</v>
        <stp/>
        <stp>{4C5FF8AC-5B02-4499-BAC9-680FCE09C5B6}</stp>
        <tr r="G23" s="3"/>
      </tp>
      <tp>
        <v>99.95</v>
        <stp/>
        <stp>{D4C174BA-C0DC-4EA0-B498-0C29882D25DE}</stp>
        <tr r="J24" s="3"/>
      </tp>
      <tp>
        <v>42081</v>
        <stp/>
        <stp>{9C9790C0-AD0C-46A8-BD3F-639BA3835242}</stp>
        <tr r="L59" s="3"/>
      </tp>
      <tp t="s">
        <v xml:space="preserve">12附息国债16              </v>
        <stp/>
        <stp>{288F64F1-F746-44B6-BF56-ED6177721E35}</stp>
        <tr r="E27" s="3"/>
      </tp>
      <tp t="s">
        <v>每半年</v>
        <stp/>
        <stp>{6193D2B8-48C9-4704-8E88-682F662FF16D}</stp>
        <tr r="H39" s="3"/>
      </tp>
      <tp t="s">
        <v xml:space="preserve">1.033           </v>
        <stp/>
        <stp>{C503E78A-E38D-40D9-BA1C-3625C64DF530}</stp>
        <tr r="I34" s="3"/>
      </tp>
      <tp t="s">
        <v>*The record could not be found</v>
        <stp/>
        <stp>{25921575-6292-4F05-AD1E-DEFFD33A5AAD}</stp>
        <tr r="G52" s="3"/>
      </tp>
      <tp t="s">
        <v xml:space="preserve">                      </v>
        <stp/>
        <stp>{939AF169-D3CB-4CDC-807F-60803F8ED47C}</stp>
        <tr r="M42" s="3"/>
      </tp>
      <tp>
        <v>44121</v>
        <stp/>
        <stp>{33CEB65B-B025-44F7-A9AB-A7B71C886A39}</stp>
        <tr r="G32" s="3"/>
      </tp>
      <tp>
        <v>0.38032407407407409</v>
        <stp/>
        <stp>{430AC930-578C-4D91-A40E-8039B275F887}</stp>
        <tr r="K35" s="3"/>
      </tp>
      <tp t="s">
        <v>#N/A</v>
        <stp/>
        <stp>{2DF6BFF4-B900-4A9E-BD6A-1015F9BA78F5}</stp>
        <tr r="U53" s="3"/>
      </tp>
      <tp>
        <v>3.5300000000000002</v>
        <stp/>
        <stp>{25CF8A22-BA5E-453A-B1CE-5380BC83A88F}</stp>
        <tr r="F26" s="3"/>
      </tp>
      <tp t="s">
        <v xml:space="preserve">  :  </v>
        <stp/>
        <stp>{47964276-F7BA-44BB-966F-7DD62DAF6D02}</stp>
        <tr r="K37" s="3"/>
      </tp>
      <tp>
        <v>101.9824</v>
        <stp/>
        <stp>{6EBDED70-939B-4CED-B6C0-CAAA0CD2C492}</stp>
        <tr r="J33" s="3"/>
      </tp>
      <tp t="s">
        <v>*The record could not be found</v>
        <stp/>
        <stp>{85B46F86-6036-4E2D-8BEB-D120646B62F7}</stp>
        <tr r="H54" s="3"/>
      </tp>
      <tp t="s">
        <v xml:space="preserve">ACC:AA CCM:BBAA CFADJ:NO CLDR:CHN_FI DATED:30OCT2014 DMC:F EMC:S FRCD:30OCT2015 FRQ:1 ISSUE:29OCT2014 NOTIONAL:1 PX:C PXRND:1E-6:NEAR REFDATE:MATURITY RP:1 SETTLE:1WD XD:NO YLDRND:1E-6:NEAR </v>
        <stp/>
        <stp>{97ECE170-DB69-40D4-9D62-2FD53B432A8A}</stp>
        <tr r="O26" s="3"/>
      </tp>
      <tp>
        <v>44272</v>
        <stp/>
        <stp>{9D45CBE5-0590-4915-A879-4E58E828D40F}</stp>
        <tr r="G38" s="3"/>
      </tp>
      <tp t="s">
        <v>每年</v>
        <stp/>
        <stp>{784F7416-E439-4136-85AA-2288A72EC604}</stp>
        <tr r="H22" s="3"/>
      </tp>
      <tp t="s">
        <v>*The record could not be found</v>
        <stp/>
        <stp>{0584CB8D-80D7-48D3-B76D-C5CD2FE30F8E}</stp>
        <tr r="M50" s="3"/>
      </tp>
      <tp>
        <v>0.38603009259259258</v>
        <stp/>
        <stp>{3274DB82-9435-4C47-99D5-EBE5D1C37EB0}</stp>
        <tr r="K31" s="3"/>
      </tp>
      <tp t="s">
        <v xml:space="preserve">ACC:AA CCM:BBAA CFADJ:NO CLDR:CHN_FI DATED:18APR2013 DMC:F EMC:S FRCD:18APR2014 FRQ:1 ISSUE:18APR2013 NOTIONAL:1 PX:C PXRND:1E-6:NEAR REFDATE:MATURITY RP:1 SETTLE:1WD XD:NO YLDRND:1E-6:NEAR </v>
        <stp/>
        <stp>{EA8A6112-C3E1-4941-AD4E-9268D9AB86BE}</stp>
        <tr r="O30" s="3"/>
      </tp>
      <tp t="s">
        <v>*The record could not be found</v>
        <stp/>
        <stp>{B3860714-3DAF-4D23-A596-353775050927}</stp>
        <tr r="H53" s="3"/>
      </tp>
      <tp>
        <v>104.8844</v>
        <stp/>
        <stp>{D7303496-46DF-4854-8D5A-5C60591D890E}</stp>
        <tr r="J32" s="3"/>
      </tp>
      <tp t="s">
        <v xml:space="preserve">                      </v>
        <stp/>
        <stp>{B9B26B8D-A38F-4066-BC7A-D502E0F38A51}</stp>
        <tr r="M45" s="3"/>
      </tp>
      <tp t="s">
        <v>#N/A</v>
        <stp/>
        <stp>{B0297D77-E8CE-4274-B632-50D7BB701175}</stp>
        <tr r="O53" s="3"/>
      </tp>
      <tp>
        <v>41158</v>
        <stp/>
        <stp>{E70A8A03-C29F-487A-AD2C-04796852F080}</stp>
        <tr r="AH27" s="3"/>
      </tp>
      <tp>
        <v>99.884799999999998</v>
        <stp/>
        <stp>{4701AC09-DBBC-4413-8B82-D110362FBA85}</stp>
        <tr r="J61" s="3"/>
      </tp>
      <tp>
        <v>3.29</v>
        <stp/>
        <stp>{C0B45398-1336-41D0-805F-01347EBEAF4B}</stp>
        <tr r="F30" s="3"/>
      </tp>
      <tp t="s">
        <v>CN100024=CFXM</v>
        <stp/>
        <stp>{21F5EEE1-CA93-4D9B-AFAA-BC88481D68AA}</stp>
        <tr r="B43" s="3"/>
      </tp>
      <tp t="s">
        <v>CLDRADJ:NO DCB:AA EY:2 LLP:AA RATEFRQ:FRQ RATETYPE:ACT RM:YTA</v>
        <stp/>
        <stp>{D81C8395-2B7D-4F29-92B4-9974B4384E13}</stp>
        <tr r="U44" s="3"/>
      </tp>
      <tp>
        <v>42082</v>
        <stp/>
        <stp>{C9DF4AA2-988F-430E-86A9-890519F1F09B}</stp>
        <tr r="L27" s="3"/>
      </tp>
      <tp>
        <v>42082</v>
        <stp/>
        <stp>{143772CC-6CC5-4010-B045-AC15119E3DE7}</stp>
        <tr r="L24" s="3"/>
      </tp>
      <tp>
        <v>43768</v>
        <stp/>
        <stp>{F5BE676A-8ACF-469C-96BA-EA08F962749A}</stp>
        <tr r="G26" s="3"/>
      </tp>
      <tp t="s">
        <v xml:space="preserve">                      </v>
        <stp/>
        <stp>{5C64FA41-111C-47D9-BFE3-71D845833A76}</stp>
        <tr r="M44" s="3"/>
      </tp>
      <tp t="s">
        <v xml:space="preserve">10附息国债24              </v>
        <stp/>
        <stp>{D98D9F1C-666F-461A-8A50-4949B1E9DD5B}</stp>
        <tr r="E43" s="3"/>
      </tp>
      <tp t="s">
        <v>CLDRADJ:NO DCB:AA EY:1 LLP:AA RATEFRQ:FRQ RATETYPE:ACT RM:YTA</v>
        <stp/>
        <stp>{11A479E0-EF3C-4004-83F0-AD65DC96346E}</stp>
        <tr r="U29" s="3"/>
      </tp>
      <tp t="s">
        <v>每半年</v>
        <stp/>
        <stp>{5F6D1D16-CCC6-4E92-8812-0E813E6F853A}</stp>
        <tr r="H40" s="3"/>
      </tp>
      <tp t="s">
        <v xml:space="preserve">05国债12                  </v>
        <stp/>
        <stp>{BA0FC366-E4B8-4DD1-9D98-3DE817021742}</stp>
        <tr r="E40" s="3"/>
      </tp>
      <tp t="s">
        <v>CN090016=CFXM</v>
        <stp/>
        <stp>{1EE5BDF2-9719-451D-A02D-77352E9C741C}</stp>
        <tr r="B49" s="3"/>
      </tp>
      <tp t="s">
        <v>#N/A</v>
        <stp/>
        <stp>{E7FBE245-90D9-48CD-A0D4-A098FD216B63}</stp>
        <tr r="U55" s="3"/>
      </tp>
      <tp t="s">
        <v xml:space="preserve">09附息国债16              </v>
        <stp/>
        <stp>{641FBF36-7950-4C63-870A-AA1AFD21851B}</stp>
        <tr r="E49" s="3"/>
      </tp>
      <tp t="s">
        <v>CN140026=CFXM</v>
        <stp/>
        <stp>{6121C1C6-AE0F-4FBA-9D9F-F284525B9B76}</stp>
        <tr r="B26" s="3"/>
      </tp>
      <tp>
        <v>99.95</v>
        <stp/>
        <stp>{24851116-8B0C-4803-8259-ED5A6C9B8367}</stp>
        <tr r="J63" s="3"/>
      </tp>
      <tp>
        <v>40073</v>
        <stp/>
        <stp>{DEB7D2FD-0EEE-4BC1-83E5-16C02CF5BC96}</stp>
        <tr r="AH48" s="3"/>
      </tp>
      <tp>
        <v>99.816900000000004</v>
        <stp/>
        <stp>{01A96BA0-19BA-4584-ABF0-88D56610BD4B}</stp>
        <tr r="J64" s="3"/>
      </tp>
      <tp>
        <v>100.52260000000001</v>
        <stp/>
        <stp>{730C6E49-5CD5-430A-AED8-B46F16D448ED}</stp>
        <tr r="J25" s="3"/>
      </tp>
      <tp>
        <v>3.48</v>
        <stp/>
        <stp>{70B1281A-958B-4EC6-9F50-12861CB964DA}</stp>
        <tr r="F49" s="3"/>
      </tp>
      <tp>
        <v>42082</v>
        <stp/>
        <stp>{812417BE-28C1-4472-B9E0-3BCF3C6F97E3}</stp>
        <tr r="L29" s="3"/>
      </tp>
      <tp>
        <v>3.65</v>
        <stp/>
        <stp>{9BC372C8-8330-4A71-96A9-833D26DA3755}</stp>
        <tr r="F40" s="3"/>
      </tp>
      <tp>
        <v>0.39136574074074076</v>
        <stp/>
        <stp>{1C0AD15C-8B07-4A0B-98EF-E35A1997A5D0}</stp>
        <tr r="K30" s="3"/>
      </tp>
      <tp t="s">
        <v>#N/A</v>
        <stp/>
        <stp>{CA9508E1-3862-427F-916A-570A5ADAC187}</stp>
        <tr r="U52" s="3"/>
      </tp>
      <tp t="s">
        <v xml:space="preserve">                      </v>
        <stp/>
        <stp>{54CAFF4A-6E85-46F0-B75B-44D3B0EB6182}</stp>
        <tr r="M37" s="3"/>
      </tp>
      <tp t="s">
        <v>*The record could not be found</v>
        <stp/>
        <stp>{B7F733D4-6065-4CBC-9741-FC8A7FC60210}</stp>
        <tr r="AH53" s="3"/>
      </tp>
      <tp t="s">
        <v>CLDRADJ:NO DCB:AA EY:2 LLP:AA RATEFRQ:FRQ RATETYPE:ACT RM:YTA</v>
        <stp/>
        <stp>{38F32536-2F6A-4779-B9DA-B4652881A25F}</stp>
        <tr r="U39" s="3"/>
      </tp>
      <tp>
        <v>42082</v>
        <stp/>
        <stp>{6AAD639C-6D13-4394-BF14-99EDA3F07EB3}</stp>
        <tr r="L25" s="3"/>
      </tp>
      <tp>
        <v>0.57771990740740742</v>
        <stp/>
        <stp>{503D2209-2126-418D-A4ED-1E98956ECD0B}</stp>
        <tr r="K64" s="3"/>
      </tp>
      <tp>
        <v>40773</v>
        <stp/>
        <stp>{6C099230-B4CE-40AF-97F9-75CB0A350377}</stp>
        <tr r="AH37" s="3"/>
      </tp>
      <tp>
        <v>43915</v>
        <stp/>
        <stp>{9AB447D6-44E6-4180-9FA4-B68507279FE0}</stp>
        <tr r="G45" s="3"/>
      </tp>
      <tp t="s">
        <v xml:space="preserve">  :  </v>
        <stp/>
        <stp>{5E077390-2DBA-487B-9E82-36003AB38DD9}</stp>
        <tr r="K44" s="3"/>
      </tp>
      <tp>
        <v>41466</v>
        <stp/>
        <stp>{5021A860-4611-4AF7-9B6A-B92520856601}</stp>
        <tr r="AH31" s="3"/>
      </tp>
      <tp>
        <v>42082</v>
        <stp/>
        <stp>{0F484243-FD88-4349-9BE2-FA830629D35A}</stp>
        <tr r="L2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activeX/activeX1.xml><?xml version="1.0" encoding="utf-8"?>
<ax:ocx xmlns:ax="http://schemas.microsoft.com/office/2006/activeX" xmlns:r="http://schemas.openxmlformats.org/officeDocument/2006/relationships" ax:classid="{BC5E6893-46BF-4C89-828C-AAEAA05EC191}" ax:persistence="persistPropertyBag">
  <ax:ocxPr ax:name="XML" ax:value="&lt;Chart ID=&quot;{6706551C-524B-47F9-AE2D-44F65AAB6DC8}&quot; Version=&quot;2.6.1308.0201&quot; Width=&quot;16669&quot; Height=&quot;13229&quot; LongNames=&quot;false&quot; LegendVisible=&quot;true&quot; LegendType=&quot;Vertical&quot; LegendFormat=&quot;Long&quot; LegendNetChangeVisible=&quot;true&quot; LegendPercentChangeVisible=&quot;true&quot; LegendReservedLegendSpace=&quot;false&quot; LegendBorder=&quot;false&quot; LegendStrikethrough=&quot;true&quot; LegendHiddenWhenAnalysisHidden=&quot;false&quot; CursorVisible=&quot;false&quot; CursorType=&quot;Target&quot; TrackingCursor=&quot;false&quot; ToolTip=&quot;true&quot; InPlaceEdit=&quot;true&quot; SnapToXAxis=&quot;false&quot; CursorSnapToPoint=&quot;false&quot; YAxisMarkersVisible=&quot;true&quot; YAxisMarkersAsLabels=&quot;true&quot; YAxisMarkersAlwaysVisible=&quot;true&quot; DataStatusVisible=&quot;true&quot; ZoomCancel=&quot;true&quot; DataWindowEnabled=&quot;false&quot; DataWindowVisible=&quot;true&quot; DataWindowAlwaysOnTop=&quot;true&quot; DataWindowShowAllMode=&quot;false&quot; DataWindowSortOrder=&quot;-1&quot; DataLengthMode=&quot;Default&quot; Enabled=&quot;true&quot; ReadOnly=&quot;false&quot; DisplayUserErrors=&quot;true&quot; Use24HrsTradingSession=&quot;false&quot; IncludingMarketOffsets=&quot;true&quot; RemoveNonTradedPeriods=&quot;true&quot; RemoveHolidays=&quot;true&quot; RemoveInactivityGaps=&quot;false&quot; GridVisible=&quot;true&quot; GridType=&quot;Both&quot; XScrollBarVisible=&quot;true&quot; XScrollType=&quot;AlwaysOn&quot; BrandVisible=&quot;false&quot; ActiveBorderVisible=&quot;true&quot; ChartPanMode=&quot;false&quot; SmallChartAdjustmentsEnabled=&quot;true&quot; FractionDisplayEnabled=&quot;true&quot; IsUseDefaultInterval=&quot;false&quot; TrendlinePersistence=&quot;true&quot; identity=&quot;{40CE0762-38BF-45C0-AD48-A53B7DF78BD5}&quot;&gt;&lt;LoadEnvironment&gt;&lt;/LoadEnvironment&gt;&lt;LoadExtensions&gt;&lt;MetaStock.StandardDisplayTypes.2/&gt;&lt;MetaStock.DefaultInstPickerPlugin.2/&gt;&lt;/LoadExtensions&gt;   &lt;Interval Type=&quot;Days&quot; Multiplier=&quot;1&quot;/&gt;   &lt;TimeZone Name=&quot;Default&quot;/&gt;   &lt;RequestRange Points=&quot;5000&quot; Days=&quot;-1&quot; DataLengthMode=&quot;0&quot;/&gt;   &lt;Scheme Default=&quot;true&quot;&gt;    &lt;Chart&gt;     &lt;Color value=&quot;#000000&quot;/&gt;     &lt;BackColor value=&quot;#FFFFFF&quot;/&gt;     &lt;Font faceName=&quot;Tahoma&quot; size=&quot;8.25&quot; bold=&quot;false&quot; italic=&quot;false&quot; underline=&quot;false&quot; strike=&quot;false&quot; charset=&quot;0&quot;/&gt;     &lt;BackgroundStyle value=&quot;horizontal&quot;/&gt;     &lt;GradientBackground&gt;      &lt;BackColor value=&quot;#F6F6F6&quot;/&gt;     &lt;/GradientBackground&gt;     &lt;Title&gt;      &lt;Color value=&quot;#000000&quot;/&gt;      &lt;Font faceName=&quot;Tahoma&quot; size=&quot;8.25&quot; bold=&quot;true&quot; italic=&quot;false&quot; underline=&quot;false&quot; strike=&quot;false&quot; charset=&quot;0&quot;/&gt;     &lt;/Title&gt;     &lt;Range&gt;      &lt;Color value=&quot;#000000&quot;/&gt;      &lt;Font faceName=&quot;Tahoma&quot; size=&quot;8.25&quot; bold=&quot;false&quot; italic=&quot;false&quot; underline=&quot;false&quot; strike=&quot;false&quot; charset=&quot;0&quot;/&gt;     &lt;/Range&gt;     &lt;Border lineStyle=&quot;solid&quot;&gt;      &lt;Color value=&quot;#828282&quot;/&gt;     &lt;/Border&gt;     &lt;GridLines lineStyle=&quot;solid&quot; lineWidth=&quot;1&quot;&gt;      &lt;Color value=&quot;#E1E1E1&quot;/&gt;     &lt;/GridLines&gt;     &lt;Legend&gt;      &lt;Font faceName=&quot;Tahoma&quot; size=&quot;8.25&quot; bold=&quot;false&quot; italic=&quot;false&quot; underline=&quot;false&quot; strike=&quot;false&quot; charset=&quot;0&quot;/&gt;     &lt;/Legend&gt;     &lt;Axes&gt;      &lt;MajorLabel&gt;       &lt;XAxis&gt;        &lt;Color value=&quot;#414141&quot;/&gt;        &lt;Font faceName=&quot;Tahoma&quot; size=&quot;8.25&quot; bold=&quot;true&quot; italic=&quot;false&quot; underline=&quot;false&quot; strike=&quot;false&quot; charset=&quot;0&quot;/&gt;       &lt;/XAxis&gt;       &lt;YAxis&gt;        &lt;Color value=&quot;#555555&quot;/&gt;        &lt;Font faceName=&quot;Tahoma&quot; size=&quot;8.25&quot; bold=&quot;true&quot; italic=&quot;false&quot; underline=&quot;false&quot; strike=&quot;false&quot; charset=&quot;0&quot;/&gt;       &lt;/YAxis&gt;      &lt;/MajorLabel&gt;      &lt;MinorLabel&gt;       &lt;XAxis&gt;        &lt;Color value=&quot;#414141&quot;/&gt;        &lt;Font faceName=&quot;Tahoma&quot; size=&quot;8.25&quot; bold=&quot;false&quot; italic=&quot;false&quot; underline=&quot;false&quot; strike=&quot;false&quot; charset=&quot;0&quot;/&gt;       &lt;/XAxis&gt;       &lt;YAxis&gt;        &lt;Color value=&quot;#555555&quot;/&gt;        &lt;Font faceName=&quot;Tahoma&quot; size=&quot;8.25&quot; bold=&quot;false&quot; italic=&quot;false&quot; underline=&quot;false&quot; strike=&quot;false&quot; charset=&quot;0&quot;/&gt;       &lt;/YAxis&gt;      &lt;/MinorLabel&gt;      &lt;Title&gt;       &lt;YAxis&gt;        &lt;Color value=&quot;#555555&quot;/&gt;        &lt;Font faceName=&quot;Tahoma&quot; size=&quot;8.25&quot; bold=&quot;true&quot; italic=&quot;false&quot; underline=&quot;false&quot; strike=&quot;false&quot; charset=&quot;0&quot;/&gt;       &lt;/YAxis&gt;      &lt;/Title&gt;      &lt;CursorValues&gt;       &lt;XAxis&gt;        &lt;Color value=&quot;#FFFFFF&quot;/&gt;        &lt;BackColor value=&quot;#424242&quot;/&gt;        &lt;Font faceName=&quot;Tahoma&quot; size=&quot;8.25&quot; bold=&quot;false&quot; italic=&quot;false&quot; underline=&quot;false&quot; strike=&quot;false&quot; charset=&quot;0&quot;/&gt;       &lt;/XAxis&gt;       &lt;YAxis&gt;        &lt;Color value=&quot;#FFFFFF&quot;/&gt;        &lt;BackColor value=&quot;#424242&quot;/&gt;        &lt;Font faceName=&quot;Tahoma&quot; size=&quot;8.25&quot; bold=&quot;false&quot; italic=&quot;false&quot; underline=&quot;false&quot; strike=&quot;false&quot; charset=&quot;0&quot;/&gt;       &lt;/YAxis&gt;      &lt;/CursorValues&gt;      &lt;SelectionMarkers&gt;       &lt;XAxis&gt;        &lt;Color value=&quot;#000000&quot;/&gt;        &lt;BackColor value=&quot;#FFFFFF&quot;/&gt;       &lt;/XAxis&gt;       &lt;YAxis&gt;        &lt;Color value=&quot;#000000&quot;/&gt;        &lt;BackColor value=&quot;#FFFFFF&quot;/&gt;       &lt;/YAxis&gt;      &lt;/SelectionMarkers&gt;     &lt;/Axes&gt;     &lt;AnalysisLines lineStyle=&quot;solid&quot; lineWidth=&quot;1&quot;&gt;      &lt;Line1&gt;       &lt;Color value=&quot;#333333&quot;/&gt;      &lt;/Line1&gt;      &lt;Line2&gt;       &lt;Color value=&quot;#FF9100&quot;/&gt;      &lt;/Line2&gt;      &lt;Line3&gt;       &lt;Color value=&quot;#005A84&quot;/&gt;      &lt;/Line3&gt;      &lt;Line4&gt;       &lt;Color value=&quot;#387C2B&quot;/&gt;      &lt;/Line4&gt;      &lt;Line5&gt;       &lt;Color value=&quot;#A00000&quot;/&gt;      &lt;/Line5&gt;      &lt;Line6&gt;       &lt;Color value=&quot;#46166B&quot;/&gt;      &lt;/Line6&gt;      &lt;Line7&gt;       &lt;Color value=&quot;#FFB400&quot;/&gt;      &lt;/Line7&gt;      &lt;Line8&gt;       &lt;Color value=&quot;#0083BF&quot;/&gt;      &lt;/Line8&gt;      &lt;Line9&gt;       &lt;Color value=&quot;#6234A4&quot;/&gt;      &lt;/Line9&gt;      &lt;Line10&gt;       &lt;Color value=&quot;#DC0A0A&quot;/&gt;      &lt;/Line10&gt;      &lt;Line11&gt;       &lt;Color value=&quot;#78A22F&quot;/&gt;      &lt;/Line11&gt;      &lt;Line12&gt;       &lt;Color value=&quot;#BABABA&quot;/&gt;      &lt;/Line12&gt;      &lt;Line13&gt;       &lt;Color value=&quot;#666666&quot;/&gt;      &lt;/Line13&gt;      &lt;Line14&gt;       &lt;Color value=&quot;#FF8000&quot;/&gt;      &lt;/Line14&gt;     &lt;/AnalysisLines&gt;     &lt;TrendLines lineStyle=&quot;solid&quot; lineWidth=&quot;1&quot;&gt;      &lt;Line1 lineStyle=&quot;solid&quot; lineWidth=&quot;1&quot;&gt;       &lt;Color value=&quot;#000099&quot;/&gt;      &lt;/Line1&gt;      &lt;Line2 lineStyle=&quot;solid&quot; lineWidth=&quot;1&quot;&gt;       &lt;Color value=&quot;#787878&quot;/&gt;      &lt;/Line2&gt;     &lt;/TrendLines&gt;     &lt;InsertMarker&gt;      &lt;Color value=&quot;#C0C0C0&quot;/&gt;      &lt;BackColor value=&quot;#FFFFE1&quot;/&gt;     &lt;/InsertMarker&gt;     &lt;Focus lineStyle=&quot;solid&quot; lineWidth=&quot;1&quot;&gt;      &lt;Color value=&quot;#FF8000&quot;/&gt;     &lt;/Focus&gt;    &lt;/Chart&gt;   &lt;/Scheme&gt;   &lt;SubChart ID=&quot;{B4C16EDC-A851-4FBE-8FA4-72C62C962385}&quot; Weighting=&quot;1.43564356435644&quot; GridVisible=&quot;true&quot; PosXPercent=&quot;2&quot; PosYPercent=&quot;2&quot;&gt;    &lt;RightYAxis ID=&quot;{31CC14CB-20DE-43E1-B532-C3D05C711CF8}&quot; LogarithmicScale=&quot;false&quot; Visible=&quot;true&quot; Inverted=&quot;false&quot; TypeVisible=&quot;true&quot; CurrencyVisible=&quot;true&quot; UnitVisible=&quot;true&quot; DisplayUnitVisible=&quot;true&quot; Mode=&quot;Default&quot;&gt;     &lt;Analysis ID=&quot;{8A50890C-A1A4-4910-9607-855357DA1645}&quot; LineDisplayType=&quot;Default&quot; Original=&quot;&quot; Displacement=&quot;0&quot; LineSymbol=&quot;None&quot; Visible=&quot;true&quot; ShowDividends=&quot;false&quot; ShowEarnings=&quot;false&quot; ShowCapitalChanges=&quot;false&quot; ShowEarningsEndDate=&quot;false&quot; ShowDividendsExDate=&quot;false&quot; ColoringMode=&quot;Simple&quot;&gt;      &lt;AnalysisViewNode AnalysisInfo=&quot;{134AE742-33A6-11D7-912A-0008740FF073}&quot;&gt;       &lt;Input Type=&quot;Instrument&quot; Symbol=&quot;CTFc1&quot; FeedID=&quot;&quot; Field=&quot;TRDPRC_1&quot; Expression=&quot;&quot; YieldType=&quot;Realtime&quot; YieldDate=&quot;41863.3840856481&quot; YieldRollingDays=&quot;0&quot; YieldRollingWeeks=&quot;0&quot; YieldRollingMonths=&quot;0&quot; YieldRollingTimeOfDay=&quot;0&quot; Linked=&quot;false&quot; Contracts=&quot;-1&quot;&gt;        &lt;YieldRollingTimeZone Name=&quot;&quot;/&gt;        &lt;Dataset Value=&quot;&quot;/&gt;        &lt;Dataset Value=&quot;&quot;/&gt;        &lt;Dataset Value=&quot;&quot;/&gt;        &lt;Dataset Value=&quot;&quot;/&gt;        &lt;Dataset Value=&quot;&quot;/&gt;       &lt;/Input&gt;      &lt;/AnalysisViewNode&gt;      &lt;LevelLineFill ShowFill=&quot;0&quot; FillType=&quot;0&quot;&gt;       &lt;TopMost value=&quot;#00FF00&quot;/&gt;       &lt;BottomMost value=&quot;#FF0000&quot;/&gt;      &lt;/LevelLineFill&gt;      &lt;DisplaySetting Name=&quot;DisplayTypeDown Candle&quot; Index=&quot;0&quot; SchemeEntry=&quot;Chart.AnalysisLines.Line1&quot;/&gt;      &lt;DisplaySetting Name=&quot;DisplayTypeUp Candle&quot; Index=&quot;1&quot; SchemeEntry=&quot;Chart.AnalysisLines.Line1&quot;&gt;       &lt;SubFillColor value=&quot;transparent&quot;/&gt;      &lt;/DisplaySetting&gt;     &lt;/Analysis&gt;     &lt;Analysis ID=&quot;{9D3FF007-26FF-4434-8751-ECE3BAF27D46}&quot; LineDisplayType=&quot;Default&quot; Original=&quot;&quot; Displacement=&quot;0&quot; LineSymbol=&quot;Default&quot; Visible=&quot;true&quot; ShowDividends=&quot;false&quot; ShowEarnings=&quot;false&quot; ShowCapitalChanges=&quot;false&quot; ShowEarningsEndDate=&quot;false&quot; ShowDividendsExDate=&quot;false&quot; ColoringMode=&quot;Simple&quot;&gt;      &lt;AnalysisViewNode AnalysisInfo=&quot;{134AE79B-33A6-11D7-912A-0008740FF073}&quot;&gt;       &lt;Input Type=&quot;Instrument&quot; Symbol=&quot;CTFc1&quot; FeedID=&quot;&quot; Field=&quot;Default&quot; Expression=&quot;&quot; YieldType=&quot;Realtime&quot; YieldDate=&quot;41863.3838078704&quot; YieldRollingDays=&quot;0&quot; YieldRollingWeeks=&quot;0&quot; YieldRollingMonths=&quot;0&quot; YieldRollingTimeOfDay=&quot;0&quot; Linked=&quot;false&quot; Contracts=&quot;-1&quot; Action=&quot;Default&quot;&gt;        &lt;YieldRollingTimeZone Name=&quot;&quot;/&gt;        &lt;Dataset Value=&quot;&quot;/&gt;       &lt;/Input&gt;       &lt;Parameter UseAuto=&quot;false&quot; Value=&quot;14&quot;/&gt;       &lt;Parameter UseAuto=&quot;false&quot; Value=&quot;21&quot;/&gt;       &lt;Parameter UseAuto=&quot;false&quot; Value=&quot;0&quot;/&gt;      &lt;/AnalysisViewNode&gt;      &lt;LevelLineFill ShowFill=&quot;0&quot; FillType=&quot;0&quot;&gt;       &lt;TopMost value=&quot;#00FF00&quot;/&gt;       &lt;BottomMost value=&quot;#FF0000&quot;/&gt;      &lt;/LevelLineFill&gt;      &lt;DisplaySetting Name=&quot;DisplayType&quot; Index=&quot;0&quot; SchemeEntry=&quot;Chart.AnalysisLines.Line3&quot;/&gt;      &lt;DisplaySetting Name=&quot;DisplayType2&quot; Index=&quot;0&quot; SchemeEntry=&quot;Chart.AnalysisLines.Line4&quot;/&gt;     &lt;/Analysis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RightYAxis&gt;    &lt;LeftYAxis ID=&quot;{1F6C1964-35DD-45F5-AE12-2C4B42CFAC80}&quot; LogarithmicScale=&quot;false&quot; Visible=&quot;true&quot; Inverted=&quot;false&quot; TypeVisible=&quot;true&quot; CurrencyVisible=&quot;true&quot; UnitVisible=&quot;true&quot; DisplayUnitVisible=&quot;true&quot; Mode=&quot;Default&quot;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LeftYAxis&gt;   &lt;/SubChart&gt;   &lt;SubChart ID=&quot;{D090C534-ADC5-44B3-B0B0-C40C3948B459}&quot; Weighting=&quot;0.564356435643564&quot; GridVisible=&quot;true&quot; PosXPercent=&quot;2&quot; PosYPercent=&quot;2&quot;&gt;    &lt;RightYAxis ID=&quot;{0D1EE687-1188-4DB0-9001-728393D738E5}&quot; LogarithmicScale=&quot;false&quot; Visible=&quot;true&quot; Inverted=&quot;false&quot; TypeVisible=&quot;true&quot; CurrencyVisible=&quot;true&quot; UnitVisible=&quot;true&quot; DisplayUnitVisible=&quot;true&quot; Mode=&quot;Default&quot;&gt;     &lt;Analysis ID=&quot;{B819D07B-4976-43A0-9A8A-B06B81A8359D}&quot; LineDisplayType=&quot;Forest&quot; Original=&quot;&quot; Displacement=&quot;0&quot; LineSymbol=&quot;None&quot; Visible=&quot;true&quot; ShowDividends=&quot;false&quot; ShowEarnings=&quot;false&quot; ShowCapitalChanges=&quot;false&quot; ShowEarningsEndDate=&quot;false&quot; ShowDividendsExDate=&quot;false&quot; ColoringMode=&quot;Simple&quot;&gt;      &lt;AnalysisViewNode AnalysisInfo=&quot;{134AE740-33A6-11D7-912A-0008740FF073}&quot;&gt;       &lt;Input Type=&quot;Instrument&quot; Symbol=&quot;CTFc1&quot; FeedID=&quot;&quot; Field=&quot;Default&quot; Expression=&quot;&quot; YieldType=&quot;Realtime&quot; YieldDate=&quot;41863.3796875&quot; YieldRollingDays=&quot;0&quot; YieldRollingWeeks=&quot;0&quot; YieldRollingMonths=&quot;0&quot; YieldRollingTimeOfDay=&quot;0&quot; Linked=&quot;false&quot; Contracts=&quot;-1&quot; Action=&quot;Volume&quot;&gt;        &lt;YieldRollingTimeZone Name=&quot;&quot;/&gt;        &lt;Dataset Value=&quot;&quot;/&gt;       &lt;/Input&gt;      &lt;/AnalysisViewNode&gt;      &lt;LevelLineFill ShowFill=&quot;0&quot; FillType=&quot;0&quot;&gt;       &lt;TopMost value=&quot;#00FF00&quot;/&gt;       &lt;BottomMost value=&quot;#FF0000&quot;/&gt;      &lt;/LevelLineFill&gt;      &lt;DisplaySetting Name=&quot;DisplayType&quot; Index=&quot;0&quot; SchemeEntry=&quot;Chart.AnalysisLines.Line2&quot;/&gt;     &lt;/Analysis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RightYAxis&gt;    &lt;LeftYAxis ID=&quot;{3196C466-84AA-46D0-B5E3-7B5208045AE0}&quot; LogarithmicScale=&quot;false&quot; Visible=&quot;true&quot; Inverted=&quot;false&quot; TypeVisible=&quot;true&quot; CurrencyVisible=&quot;true&quot; UnitVisible=&quot;true&quot; DisplayUnitVisible=&quot;true&quot; Mode=&quot;Default&quot;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LeftYAxis&gt;   &lt;/SubChart&gt;   &lt;DecorationHistories/&gt;   &lt;SymbolList DisplayName=&quot;D:\neil.wang\百度云同步盘\Recent Works\Small APPs\国债期货计算器\Chinese Treasury Monitor V1.08.xlsx!Chart!R1C1&quot; Linked=&quot;true&quot;/&gt;   &lt;SymbolList DisplayName=&quot;D:\neil.wang\百度云同步盘\Recent Works\Small APPs\国债期货计算器\Chinese Treasury Monitor V1.08.xlsx!Chart!R1C1&quot; Linked=&quot;true&quot;/&gt;   &lt;SymbolList DisplayName=&quot;D:\neil.wang\百度云同步盘\Recent Works\Small APPs\国债期货计算器\Chinese Treasury Monitor V1.08.xlsx!Chart!R1C1&quot; Linked=&quot;true&quot;/&gt;   &lt;XAxis ID=&quot;{BC2ED649-7E19-466E-93C4-AF5888ABA77E}&quot; Mode=&quot;UniformBar&quot; TotalBars=&quot;67&quot; MarginBars=&quot;3&quot; IsDefaultMode=&quot;true&quot; UniformBarInitValue=&quot;67&quot; IsRangeModified=&quot;false&quot; UniformBarInitMode=&quot;Default&quot; XAxisYieldMode=&quot;Compressed&quot; PercentYAxisMargin=&quot;5&quot;/&gt;   &lt;Title ID=&quot;{34BC9DE5-0995-47C2-9DD9-92695C8CF68C}&quot; IntervalVisible=&quot;true&quot; CaptionCustomized=&quot;false&quot; CustomizedCaptionText=&quot;&quot; AnalysisVisible=&quot;false&quot; CaptionVisible=&quot;true&quot; RangeVisible=&quot;true&quot; TitleAlignment=&quot;1&quot;/&gt;   &lt;DisplaySetting Name=&quot;Trademark&quot; Index=&quot;0&quot;&gt;    &lt;Font faceName=&quot;Arial&quot; size=&quot;8.25&quot; bold=&quot;true&quot; italic=&quot;false&quot; underline=&quot;false&quot; strike=&quot;false&quot; charset=&quot;0&quot;/&gt;   &lt;/DisplaySetting&gt;  &lt;/Chart&gt;  "/>
  <ax:ocxPr ax:name="WIDTH" ax:value="622"/>
  <ax:ocxPr ax:name="HEIGHT" ax:value="492"/>
</ax:ocx>
</file>

<file path=xl/activeX/activeX2.xml><?xml version="1.0" encoding="utf-8"?>
<ax:ocx xmlns:ax="http://schemas.microsoft.com/office/2006/activeX" xmlns:r="http://schemas.openxmlformats.org/officeDocument/2006/relationships" ax:classid="{BC5E6893-46BF-4C89-828C-AAEAA05EC191}" ax:persistence="persistPropertyBag">
  <ax:ocxPr ax:name="XML" ax:value="&lt;Chart ID=&quot;{6706551C-524B-47F9-AE2D-44F65AAB6DC8}&quot; Version=&quot;2.6.1308.0201&quot; Width=&quot;16669&quot; Height=&quot;13229&quot; LongNames=&quot;false&quot; LegendVisible=&quot;true&quot; LegendType=&quot;Vertical&quot; LegendFormat=&quot;Long&quot; LegendNetChangeVisible=&quot;true&quot; LegendPercentChangeVisible=&quot;true&quot; LegendReservedLegendSpace=&quot;false&quot; LegendBorder=&quot;false&quot; LegendStrikethrough=&quot;true&quot; LegendHiddenWhenAnalysisHidden=&quot;false&quot; CursorVisible=&quot;false&quot; CursorType=&quot;Target&quot; TrackingCursor=&quot;false&quot; ToolTip=&quot;true&quot; InPlaceEdit=&quot;true&quot; SnapToXAxis=&quot;false&quot; CursorSnapToPoint=&quot;false&quot; YAxisMarkersVisible=&quot;true&quot; YAxisMarkersAsLabels=&quot;true&quot; YAxisMarkersAlwaysVisible=&quot;true&quot; DataStatusVisible=&quot;true&quot; ZoomCancel=&quot;true&quot; DataWindowEnabled=&quot;false&quot; DataWindowVisible=&quot;true&quot; DataWindowAlwaysOnTop=&quot;true&quot; DataWindowShowAllMode=&quot;false&quot; DataWindowSortOrder=&quot;-1&quot; DataLengthMode=&quot;Default&quot; Enabled=&quot;true&quot; ReadOnly=&quot;false&quot; DisplayUserErrors=&quot;true&quot; Use24HrsTradingSession=&quot;false&quot; IncludingMarketOffsets=&quot;true&quot; RemoveNonTradedPeriods=&quot;true&quot; RemoveHolidays=&quot;true&quot; RemoveInactivityGaps=&quot;false&quot; GridVisible=&quot;true&quot; GridType=&quot;Both&quot; XScrollBarVisible=&quot;false&quot; XScrollType=&quot;AlwaysOn&quot; BrandVisible=&quot;false&quot; ActiveBorderVisible=&quot;true&quot; ChartPanMode=&quot;false&quot; SmallChartAdjustmentsEnabled=&quot;true&quot; FractionDisplayEnabled=&quot;true&quot; IsUseDefaultInterval=&quot;false&quot; TrendlinePersistence=&quot;true&quot; identity=&quot;{62ECFC34-E018-4A4A-85A5-610906BADD78}&quot;&gt;&lt;LoadEnvironment&gt;&lt;/LoadEnvironment&gt;&lt;LoadExtensions&gt;&lt;MetaStock.StandardDisplayTypes.2/&gt;&lt;MetaStock.DefaultInstPickerPlugin.2/&gt;&lt;/LoadExtensions&gt;   &lt;Interval Type=&quot;Tick&quot; Multiplier=&quot;1&quot;/&gt;   &lt;TimeZone Name=&quot;Default&quot;/&gt;   &lt;RequestRange Points=&quot;5000&quot; Days=&quot;-1&quot; DataLengthMode=&quot;0&quot;/&gt;   &lt;Scheme Default=&quot;true&quot;&gt;    &lt;Chart&gt;     &lt;Color value=&quot;#000000&quot;/&gt;     &lt;BackColor value=&quot;#FFFFFF&quot;/&gt;     &lt;Font faceName=&quot;Tahoma&quot; size=&quot;8.25&quot; bold=&quot;false&quot; italic=&quot;false&quot; underline=&quot;false&quot; strike=&quot;false&quot; charset=&quot;0&quot;/&gt;     &lt;BackgroundStyle value=&quot;horizontal&quot;/&gt;     &lt;GradientBackground&gt;      &lt;BackColor value=&quot;#F6F6F6&quot;/&gt;     &lt;/GradientBackground&gt;     &lt;Title&gt;      &lt;Color value=&quot;#000000&quot;/&gt;      &lt;Font faceName=&quot;Tahoma&quot; size=&quot;8.25&quot; bold=&quot;true&quot; italic=&quot;false&quot; underline=&quot;false&quot; strike=&quot;false&quot; charset=&quot;0&quot;/&gt;     &lt;/Title&gt;     &lt;Range&gt;      &lt;Color value=&quot;#000000&quot;/&gt;      &lt;Font faceName=&quot;Tahoma&quot; size=&quot;8.25&quot; bold=&quot;false&quot; italic=&quot;false&quot; underline=&quot;false&quot; strike=&quot;false&quot; charset=&quot;0&quot;/&gt;     &lt;/Range&gt;     &lt;Border lineStyle=&quot;solid&quot;&gt;      &lt;Color value=&quot;#828282&quot;/&gt;     &lt;/Border&gt;     &lt;GridLines lineStyle=&quot;solid&quot; lineWidth=&quot;1&quot;&gt;      &lt;Color value=&quot;#E1E1E1&quot;/&gt;     &lt;/GridLines&gt;     &lt;Legend&gt;      &lt;Font faceName=&quot;Tahoma&quot; size=&quot;8.25&quot; bold=&quot;false&quot; italic=&quot;false&quot; underline=&quot;false&quot; strike=&quot;false&quot; charset=&quot;0&quot;/&gt;     &lt;/Legend&gt;     &lt;Axes&gt;      &lt;MajorLabel&gt;       &lt;XAxis&gt;        &lt;Color value=&quot;#414141&quot;/&gt;        &lt;Font faceName=&quot;Tahoma&quot; size=&quot;8.25&quot; bold=&quot;true&quot; italic=&quot;false&quot; underline=&quot;false&quot; strike=&quot;false&quot; charset=&quot;0&quot;/&gt;       &lt;/XAxis&gt;       &lt;YAxis&gt;        &lt;Color value=&quot;#555555&quot;/&gt;        &lt;Font faceName=&quot;Tahoma&quot; size=&quot;8.25&quot; bold=&quot;true&quot; italic=&quot;false&quot; underline=&quot;false&quot; strike=&quot;false&quot; charset=&quot;0&quot;/&gt;       &lt;/YAxis&gt;      &lt;/MajorLabel&gt;      &lt;MinorLabel&gt;       &lt;XAxis&gt;        &lt;Color value=&quot;#414141&quot;/&gt;        &lt;Font faceName=&quot;Tahoma&quot; size=&quot;8.25&quot; bold=&quot;false&quot; italic=&quot;false&quot; underline=&quot;false&quot; strike=&quot;false&quot; charset=&quot;0&quot;/&gt;       &lt;/XAxis&gt;       &lt;YAxis&gt;        &lt;Color value=&quot;#555555&quot;/&gt;        &lt;Font faceName=&quot;Tahoma&quot; size=&quot;8.25&quot; bold=&quot;false&quot; italic=&quot;false&quot; underline=&quot;false&quot; strike=&quot;false&quot; charset=&quot;0&quot;/&gt;       &lt;/YAxis&gt;      &lt;/MinorLabel&gt;      &lt;Title&gt;       &lt;YAxis&gt;        &lt;Color value=&quot;#555555&quot;/&gt;        &lt;Font faceName=&quot;Tahoma&quot; size=&quot;8.25&quot; bold=&quot;true&quot; italic=&quot;false&quot; underline=&quot;false&quot; strike=&quot;false&quot; charset=&quot;0&quot;/&gt;       &lt;/YAxis&gt;      &lt;/Title&gt;      &lt;CursorValues&gt;       &lt;XAxis&gt;        &lt;Color value=&quot;#FFFFFF&quot;/&gt;        &lt;BackColor value=&quot;#424242&quot;/&gt;        &lt;Font faceName=&quot;Tahoma&quot; size=&quot;8.25&quot; bold=&quot;false&quot; italic=&quot;false&quot; underline=&quot;false&quot; strike=&quot;false&quot; charset=&quot;0&quot;/&gt;       &lt;/XAxis&gt;       &lt;YAxis&gt;        &lt;Color value=&quot;#FFFFFF&quot;/&gt;        &lt;BackColor value=&quot;#424242&quot;/&gt;        &lt;Font faceName=&quot;Tahoma&quot; size=&quot;8.25&quot; bold=&quot;false&quot; italic=&quot;false&quot; underline=&quot;false&quot; strike=&quot;false&quot; charset=&quot;0&quot;/&gt;       &lt;/YAxis&gt;      &lt;/CursorValues&gt;      &lt;SelectionMarkers&gt;       &lt;XAxis&gt;        &lt;Color value=&quot;#000000&quot;/&gt;        &lt;BackColor value=&quot;#FFFFFF&quot;/&gt;       &lt;/XAxis&gt;       &lt;YAxis&gt;        &lt;Color value=&quot;#000000&quot;/&gt;        &lt;BackColor value=&quot;#FFFFFF&quot;/&gt;       &lt;/YAxis&gt;      &lt;/SelectionMarkers&gt;     &lt;/Axes&gt;     &lt;AnalysisLines lineStyle=&quot;solid&quot; lineWidth=&quot;1&quot;&gt;      &lt;Line1&gt;       &lt;Color value=&quot;#333333&quot;/&gt;      &lt;/Line1&gt;      &lt;Line2&gt;       &lt;Color value=&quot;#FF9100&quot;/&gt;      &lt;/Line2&gt;      &lt;Line3&gt;       &lt;Color value=&quot;#005A84&quot;/&gt;      &lt;/Line3&gt;      &lt;Line4&gt;       &lt;Color value=&quot;#387C2B&quot;/&gt;      &lt;/Line4&gt;      &lt;Line5&gt;       &lt;Color value=&quot;#A00000&quot;/&gt;      &lt;/Line5&gt;      &lt;Line6&gt;       &lt;Color value=&quot;#46166B&quot;/&gt;      &lt;/Line6&gt;      &lt;Line7&gt;       &lt;Color value=&quot;#FFB400&quot;/&gt;      &lt;/Line7&gt;      &lt;Line8&gt;       &lt;Color value=&quot;#0083BF&quot;/&gt;      &lt;/Line8&gt;      &lt;Line9&gt;       &lt;Color value=&quot;#6234A4&quot;/&gt;      &lt;/Line9&gt;      &lt;Line10&gt;       &lt;Color value=&quot;#DC0A0A&quot;/&gt;      &lt;/Line10&gt;      &lt;Line11&gt;       &lt;Color value=&quot;#78A22F&quot;/&gt;      &lt;/Line11&gt;      &lt;Line12&gt;       &lt;Color value=&quot;#BABABA&quot;/&gt;      &lt;/Line12&gt;      &lt;Line13&gt;       &lt;Color value=&quot;#666666&quot;/&gt;      &lt;/Line13&gt;      &lt;Line14&gt;       &lt;Color value=&quot;#FF8000&quot;/&gt;      &lt;/Line14&gt;     &lt;/AnalysisLines&gt;     &lt;TrendLines lineStyle=&quot;solid&quot; lineWidth=&quot;1&quot;&gt;      &lt;Line1 lineStyle=&quot;solid&quot; lineWidth=&quot;1&quot;&gt;       &lt;Color value=&quot;#000099&quot;/&gt;      &lt;/Line1&gt;      &lt;Line2 lineStyle=&quot;solid&quot; lineWidth=&quot;1&quot;&gt;       &lt;Color value=&quot;#787878&quot;/&gt;      &lt;/Line2&gt;     &lt;/TrendLines&gt;     &lt;InsertMarker&gt;      &lt;Color value=&quot;#C0C0C0&quot;/&gt;      &lt;BackColor value=&quot;#FFFFE1&quot;/&gt;     &lt;/InsertMarker&gt;     &lt;Focus lineStyle=&quot;solid&quot; lineWidth=&quot;1&quot;&gt;      &lt;Color value=&quot;#FF8000&quot;/&gt;     &lt;/Focus&gt;    &lt;/Chart&gt;   &lt;/Scheme&gt;   &lt;SubChart ID=&quot;{B4C16EDC-A851-4FBE-8FA4-72C62C962385}&quot; Weighting=&quot;1.38571428571429&quot; GridVisible=&quot;true&quot; PosXPercent=&quot;2&quot; PosYPercent=&quot;2&quot;&gt;    &lt;RightYAxis ID=&quot;{31CC14CB-20DE-43E1-B532-C3D05C711CF8}&quot; LogarithmicScale=&quot;false&quot; Visible=&quot;true&quot; Inverted=&quot;false&quot; TypeVisible=&quot;true&quot; CurrencyVisible=&quot;true&quot; UnitVisible=&quot;true&quot; DisplayUnitVisible=&quot;true&quot; Mode=&quot;Default&quot;&gt;     &lt;Analysis ID=&quot;{8A50890C-A1A4-4910-9607-855357DA1645}&quot; LineDisplayType=&quot;Default&quot; Original=&quot;&quot; Displacement=&quot;0&quot; LineSymbol=&quot;None&quot; Visible=&quot;true&quot; ShowDividends=&quot;false&quot; ShowEarnings=&quot;false&quot; ShowCapitalChanges=&quot;false&quot; ShowEarningsEndDate=&quot;false&quot; ShowDividendsExDate=&quot;false&quot; ColoringMode=&quot;Simple&quot;&gt;      &lt;AnalysisViewNode AnalysisInfo=&quot;{134AE740-33A6-11D7-912A-0008740FF073}&quot;&gt;       &lt;Input Type=&quot;Instrument&quot; Symbol=&quot;CTFc1&quot; FeedID=&quot;&quot; Field=&quot;TRDPRC_1&quot; Expression=&quot;&quot; YieldType=&quot;Realtime&quot; YieldDate=&quot;41863.380462963&quot; YieldRollingDays=&quot;0&quot; YieldRollingWeeks=&quot;0&quot; YieldRollingMonths=&quot;0&quot; YieldRollingTimeOfDay=&quot;0&quot; Linked=&quot;false&quot; Contracts=&quot;-1&quot; Action=&quot;Default&quot;&gt;        &lt;YieldRollingTimeZone Name=&quot;&quot;/&gt;        &lt;Dataset Value=&quot;&quot;/&gt;       &lt;/Input&gt;      &lt;/AnalysisViewNode&gt;      &lt;LevelLineFill ShowFill=&quot;0&quot; FillType=&quot;0&quot;&gt;       &lt;TopMost value=&quot;#00FF00&quot;/&gt;       &lt;BottomMost value=&quot;#FF0000&quot;/&gt;      &lt;/LevelLineFill&gt;      &lt;DisplaySetting Name=&quot;DisplayType&quot; Index=&quot;0&quot; SchemeEntry=&quot;Chart.AnalysisLines.Line1&quot;/&gt;     &lt;/Analysis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RightYAxis&gt;    &lt;LeftYAxis ID=&quot;{1F6C1964-35DD-45F5-AE12-2C4B42CFAC80}&quot; LogarithmicScale=&quot;false&quot; Visible=&quot;true&quot; Inverted=&quot;false&quot; TypeVisible=&quot;true&quot; CurrencyVisible=&quot;true&quot; UnitVisible=&quot;true&quot; DisplayUnitVisible=&quot;true&quot; Mode=&quot;Default&quot;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LeftYAxis&gt;   &lt;/SubChart&gt;   &lt;SubChart ID=&quot;{D090C534-ADC5-44B3-B0B0-C40C3948B459}&quot; Weighting=&quot;0.614285714285714&quot; GridVisible=&quot;true&quot; PosXPercent=&quot;2&quot; PosYPercent=&quot;2&quot;&gt;    &lt;RightYAxis ID=&quot;{0D1EE687-1188-4DB0-9001-728393D738E5}&quot; LogarithmicScale=&quot;false&quot; Visible=&quot;true&quot; Inverted=&quot;false&quot; TypeVisible=&quot;true&quot; CurrencyVisible=&quot;true&quot; UnitVisible=&quot;true&quot; DisplayUnitVisible=&quot;true&quot; Mode=&quot;Default&quot;&gt;     &lt;Analysis ID=&quot;{B819D07B-4976-43A0-9A8A-B06B81A8359D}&quot; LineDisplayType=&quot;Forest&quot; Original=&quot;&quot; Displacement=&quot;0&quot; LineSymbol=&quot;None&quot; Visible=&quot;true&quot; ShowDividends=&quot;false&quot; ShowEarnings=&quot;false&quot; ShowCapitalChanges=&quot;false&quot; ShowEarningsEndDate=&quot;false&quot; ShowDividendsExDate=&quot;false&quot; ColoringMode=&quot;Simple&quot;&gt;      &lt;AnalysisViewNode AnalysisInfo=&quot;{134AE740-33A6-11D7-912A-0008740FF073}&quot;&gt;       &lt;Input Type=&quot;Instrument&quot; Symbol=&quot;CTFc1&quot; FeedID=&quot;&quot; Field=&quot;Default&quot; Expression=&quot;&quot; YieldType=&quot;Realtime&quot; YieldDate=&quot;41863.3796875&quot; YieldRollingDays=&quot;0&quot; YieldRollingWeeks=&quot;0&quot; YieldRollingMonths=&quot;0&quot; YieldRollingTimeOfDay=&quot;0&quot; Linked=&quot;false&quot; Contracts=&quot;-1&quot; Action=&quot;Volume&quot;&gt;        &lt;YieldRollingTimeZone Name=&quot;&quot;/&gt;        &lt;Dataset Value=&quot;&quot;/&gt;       &lt;/Input&gt;      &lt;/AnalysisViewNode&gt;      &lt;LevelLineFill ShowFill=&quot;0&quot; FillType=&quot;0&quot;&gt;       &lt;TopMost value=&quot;#00FF00&quot;/&gt;       &lt;BottomMost value=&quot;#FF0000&quot;/&gt;      &lt;/LevelLineFill&gt;      &lt;DisplaySetting Name=&quot;DisplayType&quot; Index=&quot;0&quot; SchemeEntry=&quot;Chart.AnalysisLines.Line2&quot;/&gt;     &lt;/Analysis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RightYAxis&gt;    &lt;LeftYAxis ID=&quot;{3196C466-84AA-46D0-B5E3-7B5208045AE0}&quot; LogarithmicScale=&quot;false&quot; Visible=&quot;true&quot; Inverted=&quot;false&quot; TypeVisible=&quot;true&quot; CurrencyVisible=&quot;true&quot; UnitVisible=&quot;true&quot; DisplayUnitVisible=&quot;true&quot; Mode=&quot;Default&quot;&gt;     &lt;Currency Name=&quot;Default&quot;/&gt;     &lt;Unit Name=&quot;Default&quot;/&gt;     &lt;DisplayUnit Type=&quot;Auto&quot; Precision=&quot;0&quot;/&gt;     &lt;DisplaySetting Name=&quot;LabelForeColor&quot; Index=&quot;0&quot;&gt;      &lt;Color value=&quot;#000000&quot;/&gt;     &lt;/DisplaySetting&gt;    &lt;/LeftYAxis&gt;   &lt;/SubChart&gt;   &lt;DecorationHistories/&gt;   &lt;SymbolList DisplayName=&quot;D:\neil.wang\百度云同步盘\Recent Works\Small APPs\国债期货计算器\Chinese Treasury Monitor V1.08.xlsx!Chart!R1C1&quot; Linked=&quot;true&quot;/&gt;   &lt;SymbolList DisplayName=&quot;D:\neil.wang\百度云同步盘\Recent Works\Small APPs\国债期货计算器\Chinese Treasury Monitor V1.08.xlsx!Chart!R1C1&quot; Linked=&quot;true&quot;/&gt;   &lt;XAxis ID=&quot;{BC2ED649-7E19-466E-93C4-AF5888ABA77E}&quot; Mode=&quot;Session&quot; Session=&quot;Day&quot; ZoomToFitData=&quot;true&quot; XAxisYieldMode=&quot;Compressed&quot; PercentYAxisMargin=&quot;5&quot;/&gt;   &lt;Title ID=&quot;{34BC9DE5-0995-47C2-9DD9-92695C8CF68C}&quot; IntervalVisible=&quot;true&quot; CaptionCustomized=&quot;false&quot; CustomizedCaptionText=&quot;&quot; AnalysisVisible=&quot;false&quot; CaptionVisible=&quot;true&quot; RangeVisible=&quot;true&quot; TitleAlignment=&quot;1&quot;/&gt;   &lt;DisplaySetting Name=&quot;Trademark&quot; Index=&quot;0&quot;&gt;    &lt;Font faceName=&quot;Arial&quot; size=&quot;8.25&quot; bold=&quot;true&quot; italic=&quot;false&quot; underline=&quot;false&quot; strike=&quot;false&quot; charset=&quot;0&quot;/&gt;   &lt;/DisplaySetting&gt;  &lt;/Chart&gt;  "/>
  <ax:ocxPr ax:name="WIDTH" ax:value="628"/>
  <ax:ocxPr ax:name="HEIGHT" ax:value="498"/>
</ax:ocx>
</file>

<file path=xl/ctrlProps/ctrlProp1.xml><?xml version="1.0" encoding="utf-8"?>
<formControlPr xmlns="http://schemas.microsoft.com/office/spreadsheetml/2009/9/main" objectType="Drop" dropStyle="combo" dx="16" fmlaLink="Data!$H$10" fmlaRange="Data!$V$3:$V$8" noThreeD="1" val="0"/>
</file>

<file path=xl/ctrlProps/ctrlProp2.xml><?xml version="1.0" encoding="utf-8"?>
<formControlPr xmlns="http://schemas.microsoft.com/office/spreadsheetml/2009/9/main" objectType="Drop" dropStyle="combo" dx="16" fmlaLink="Data!$A$20" fmlaRange="Data!$A$3:$A$10" noThreeD="1" sel="5" val="0"/>
</file>

<file path=xl/ctrlProps/ctrlProp3.xml><?xml version="1.0" encoding="utf-8"?>
<formControlPr xmlns="http://schemas.microsoft.com/office/spreadsheetml/2009/9/main" objectType="Drop" dropStyle="combo" dx="16" fmlaLink="Data!$I$12" fmlaRange="Data!$H$13:$H$14" noThreeD="1" sel="2" val="0"/>
</file>

<file path=xl/ctrlProps/ctrlProp4.xml><?xml version="1.0" encoding="utf-8"?>
<formControlPr xmlns="http://schemas.microsoft.com/office/spreadsheetml/2009/9/main" objectType="Drop" dropStyle="combo" dx="16" fmlaLink="Data!$L$12" fmlaRange="Data!$K$13:$K$17" noThreeD="1" sel="4" val="0"/>
</file>

<file path=xl/ctrlProps/ctrlProp5.xml><?xml version="1.0" encoding="utf-8"?>
<formControlPr xmlns="http://schemas.microsoft.com/office/spreadsheetml/2009/9/main" objectType="Drop" dropStyle="combo" dx="16" fmlaLink="Data!$A$59" fmlaRange="Data!$AI$22:$AI$51" noThreeD="1" val="0"/>
</file>

<file path=xl/ctrlProps/ctrlProp6.xml><?xml version="1.0" encoding="utf-8"?>
<formControlPr xmlns="http://schemas.microsoft.com/office/spreadsheetml/2009/9/main" objectType="Drop" dropStyle="combo" dx="16" fmlaLink="Data!$V$12" fmlaRange="Data!$T$12:$T$14" noThreeD="1" sel="2" val="0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514350</xdr:colOff>
          <xdr:row>29</xdr:row>
          <xdr:rowOff>66675</xdr:rowOff>
        </xdr:to>
        <xdr:sp macro="" textlink="">
          <xdr:nvSpPr>
            <xdr:cNvPr id="5121" name="PLMSO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19</xdr:col>
          <xdr:colOff>457200</xdr:colOff>
          <xdr:row>29</xdr:row>
          <xdr:rowOff>9525</xdr:rowOff>
        </xdr:to>
        <xdr:sp macro="" textlink="">
          <xdr:nvSpPr>
            <xdr:cNvPr id="5122" name="PLMSO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66675</xdr:colOff>
          <xdr:row>2</xdr:row>
          <xdr:rowOff>38100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1</xdr:row>
          <xdr:rowOff>0</xdr:rowOff>
        </xdr:from>
        <xdr:to>
          <xdr:col>6</xdr:col>
          <xdr:colOff>933450</xdr:colOff>
          <xdr:row>2</xdr:row>
          <xdr:rowOff>47625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1</xdr:row>
          <xdr:rowOff>0</xdr:rowOff>
        </xdr:from>
        <xdr:to>
          <xdr:col>9</xdr:col>
          <xdr:colOff>295275</xdr:colOff>
          <xdr:row>2</xdr:row>
          <xdr:rowOff>38100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1</xdr:row>
          <xdr:rowOff>0</xdr:rowOff>
        </xdr:from>
        <xdr:to>
          <xdr:col>12</xdr:col>
          <xdr:colOff>361950</xdr:colOff>
          <xdr:row>2</xdr:row>
          <xdr:rowOff>38100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0</xdr:row>
          <xdr:rowOff>66675</xdr:rowOff>
        </xdr:from>
        <xdr:to>
          <xdr:col>16</xdr:col>
          <xdr:colOff>161925</xdr:colOff>
          <xdr:row>2</xdr:row>
          <xdr:rowOff>19050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285750</xdr:colOff>
          <xdr:row>0</xdr:row>
          <xdr:rowOff>66675</xdr:rowOff>
        </xdr:from>
        <xdr:to>
          <xdr:col>18</xdr:col>
          <xdr:colOff>76200</xdr:colOff>
          <xdr:row>2</xdr:row>
          <xdr:rowOff>19050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pane xSplit="20" ySplit="30" topLeftCell="U31" activePane="bottomRight" state="frozen"/>
      <selection pane="topRight" activeCell="U1" sqref="U1"/>
      <selection pane="bottomLeft" activeCell="A31" sqref="A31"/>
      <selection pane="bottomRight" activeCell="A14" sqref="A14"/>
    </sheetView>
  </sheetViews>
  <sheetFormatPr defaultRowHeight="12.75" x14ac:dyDescent="0.2"/>
  <sheetData>
    <row r="1" spans="1:1" x14ac:dyDescent="0.2">
      <c r="A1" t="str">
        <f>INDEX(Data!H3:H5,Data!H10)</f>
        <v>CTFc1</v>
      </c>
    </row>
  </sheetData>
  <phoneticPr fontId="3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2" r:id="rId3" name="PLMSO2">
          <controlPr defaultSize="0" autoLine="0" r:id="rId4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19</xdr:col>
                <xdr:colOff>457200</xdr:colOff>
                <xdr:row>29</xdr:row>
                <xdr:rowOff>9525</xdr:rowOff>
              </to>
            </anchor>
          </controlPr>
        </control>
      </mc:Choice>
      <mc:Fallback>
        <control shapeId="5122" r:id="rId3" name="PLMSO2"/>
      </mc:Fallback>
    </mc:AlternateContent>
    <mc:AlternateContent xmlns:mc="http://schemas.openxmlformats.org/markup-compatibility/2006">
      <mc:Choice Requires="x14">
        <control shapeId="5121" r:id="rId5" name="PLMSO1">
          <controlPr defaultSize="0" autoLine="0" autoPict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514350</xdr:colOff>
                <xdr:row>29</xdr:row>
                <xdr:rowOff>66675</xdr:rowOff>
              </to>
            </anchor>
          </controlPr>
        </control>
      </mc:Choice>
      <mc:Fallback>
        <control shapeId="5121" r:id="rId5" name="PLMSO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6"/>
  <sheetViews>
    <sheetView showGridLines="0" tabSelected="1" workbookViewId="0">
      <pane xSplit="2" ySplit="26" topLeftCell="C27" activePane="bottomRight" state="frozen"/>
      <selection pane="topRight" activeCell="C1" sqref="C1"/>
      <selection pane="bottomLeft" activeCell="A24" sqref="A24"/>
      <selection pane="bottomRight" activeCell="K19" sqref="K19"/>
    </sheetView>
  </sheetViews>
  <sheetFormatPr defaultRowHeight="12.75" x14ac:dyDescent="0.2"/>
  <cols>
    <col min="1" max="1" width="6.42578125" customWidth="1"/>
    <col min="2" max="2" width="3.28515625" customWidth="1"/>
    <col min="3" max="3" width="15.85546875" customWidth="1"/>
    <col min="4" max="4" width="13.28515625" customWidth="1"/>
    <col min="5" max="5" width="10.140625" customWidth="1"/>
    <col min="6" max="6" width="12.42578125" customWidth="1"/>
    <col min="7" max="7" width="18.28515625" customWidth="1"/>
    <col min="8" max="8" width="11.5703125" customWidth="1"/>
    <col min="9" max="9" width="11.7109375" customWidth="1"/>
    <col min="11" max="11" width="10.5703125" customWidth="1"/>
    <col min="12" max="12" width="11.5703125" customWidth="1"/>
    <col min="13" max="13" width="9.85546875" customWidth="1"/>
    <col min="14" max="14" width="8.28515625" customWidth="1"/>
    <col min="15" max="15" width="8.7109375" customWidth="1"/>
    <col min="16" max="17" width="7.85546875" customWidth="1"/>
  </cols>
  <sheetData>
    <row r="1" spans="1:18" ht="6.75" customHeight="1" x14ac:dyDescent="0.2"/>
    <row r="2" spans="1:18" x14ac:dyDescent="0.2">
      <c r="C2" s="4" t="s">
        <v>65</v>
      </c>
      <c r="D2">
        <v>3</v>
      </c>
      <c r="F2" s="4" t="s">
        <v>66</v>
      </c>
      <c r="H2" s="4" t="s">
        <v>67</v>
      </c>
      <c r="K2" s="4" t="s">
        <v>68</v>
      </c>
      <c r="N2" s="4" t="s">
        <v>69</v>
      </c>
    </row>
    <row r="3" spans="1:18" ht="6.75" customHeight="1" x14ac:dyDescent="0.2">
      <c r="C3" s="1"/>
      <c r="F3" s="1"/>
      <c r="I3" s="1"/>
      <c r="L3" s="1"/>
    </row>
    <row r="4" spans="1:18" x14ac:dyDescent="0.2">
      <c r="C4" s="15" t="s">
        <v>12</v>
      </c>
      <c r="D4" s="15" t="s">
        <v>3</v>
      </c>
      <c r="E4" s="15" t="s">
        <v>4</v>
      </c>
      <c r="F4" s="15" t="s">
        <v>7</v>
      </c>
      <c r="G4" s="15" t="s">
        <v>0</v>
      </c>
      <c r="H4" s="15" t="s">
        <v>1</v>
      </c>
      <c r="I4" s="15" t="s">
        <v>5</v>
      </c>
      <c r="J4" s="15" t="s">
        <v>11</v>
      </c>
      <c r="K4" s="15" t="s">
        <v>6</v>
      </c>
      <c r="L4" s="15" t="str">
        <f>INDEX(Data!T12:T14,Data!V12)</f>
        <v>算至配对缴款日</v>
      </c>
      <c r="M4" s="15" t="s">
        <v>85</v>
      </c>
      <c r="N4" s="15" t="s">
        <v>87</v>
      </c>
      <c r="O4" s="46" t="s">
        <v>89</v>
      </c>
      <c r="P4" s="47"/>
      <c r="Q4" s="48">
        <v>100</v>
      </c>
    </row>
    <row r="5" spans="1:18" x14ac:dyDescent="0.2">
      <c r="A5" s="5">
        <v>1</v>
      </c>
      <c r="C5" s="16" t="str">
        <f>Data!I3</f>
        <v xml:space="preserve">      TF1506</v>
      </c>
      <c r="D5" s="37">
        <f>Data!J3</f>
        <v>97.94</v>
      </c>
      <c r="E5" s="37">
        <f>Data!K3</f>
        <v>97.95</v>
      </c>
      <c r="F5" s="37">
        <f>Data!L3</f>
        <v>97.95</v>
      </c>
      <c r="G5" s="17">
        <f>Data!M3</f>
        <v>0.5805555555555556</v>
      </c>
      <c r="H5" s="18">
        <f>Data!N3</f>
        <v>42082</v>
      </c>
      <c r="I5" s="18">
        <f>Data!O3</f>
        <v>42167</v>
      </c>
      <c r="J5" s="19">
        <f>Data!P3</f>
        <v>6980</v>
      </c>
      <c r="K5" s="19">
        <f>Data!Q3</f>
        <v>37590</v>
      </c>
      <c r="L5" s="18">
        <f>Data!U3</f>
        <v>42171</v>
      </c>
      <c r="M5" s="37">
        <f>Data!R3</f>
        <v>0</v>
      </c>
      <c r="N5" s="37">
        <f>Data!S3</f>
        <v>97.945000000000007</v>
      </c>
      <c r="P5" s="47"/>
      <c r="Q5" s="48">
        <v>100</v>
      </c>
    </row>
    <row r="6" spans="1:18" x14ac:dyDescent="0.2">
      <c r="A6" s="5">
        <v>2</v>
      </c>
      <c r="C6" s="16" t="str">
        <f>Data!I4</f>
        <v xml:space="preserve">      TF1509</v>
      </c>
      <c r="D6" s="37">
        <f>Data!J4</f>
        <v>98.31</v>
      </c>
      <c r="E6" s="37">
        <f>Data!K4</f>
        <v>98.33</v>
      </c>
      <c r="F6" s="37">
        <f>Data!L4</f>
        <v>98.314999999999998</v>
      </c>
      <c r="G6" s="17">
        <f>Data!M4</f>
        <v>0.5805555555555556</v>
      </c>
      <c r="H6" s="18">
        <f>Data!N4</f>
        <v>42082</v>
      </c>
      <c r="I6" s="18">
        <f>Data!O4</f>
        <v>42258</v>
      </c>
      <c r="J6" s="19">
        <f>Data!P4</f>
        <v>334</v>
      </c>
      <c r="K6" s="19">
        <f>Data!Q4</f>
        <v>4504</v>
      </c>
      <c r="L6" s="18">
        <f>Data!U4</f>
        <v>42262</v>
      </c>
      <c r="M6" s="37">
        <f>Data!R4</f>
        <v>0</v>
      </c>
      <c r="N6" s="37">
        <f>Data!S4</f>
        <v>98.33</v>
      </c>
      <c r="P6" s="47"/>
      <c r="Q6" s="48"/>
    </row>
    <row r="7" spans="1:18" x14ac:dyDescent="0.2">
      <c r="A7" s="5">
        <v>3</v>
      </c>
      <c r="C7" s="16" t="str">
        <f>Data!I5</f>
        <v xml:space="preserve">      TF1512</v>
      </c>
      <c r="D7" s="37">
        <f>Data!J5</f>
        <v>98.850000000000009</v>
      </c>
      <c r="E7" s="37">
        <f>Data!K5</f>
        <v>98.885000000000005</v>
      </c>
      <c r="F7" s="37">
        <f>Data!L5</f>
        <v>98.875</v>
      </c>
      <c r="G7" s="17">
        <f>Data!M5</f>
        <v>0.57708333333333328</v>
      </c>
      <c r="H7" s="18">
        <f>Data!N5</f>
        <v>42082</v>
      </c>
      <c r="I7" s="18">
        <f>Data!O5</f>
        <v>42349</v>
      </c>
      <c r="J7" s="19">
        <f>Data!P5</f>
        <v>25</v>
      </c>
      <c r="K7" s="19">
        <f>Data!Q5</f>
        <v>152</v>
      </c>
      <c r="L7" s="18">
        <f>Data!U5</f>
        <v>42353</v>
      </c>
      <c r="M7" s="37">
        <f>Data!R5</f>
        <v>0</v>
      </c>
      <c r="N7" s="37">
        <f>Data!S5</f>
        <v>98.835000000000008</v>
      </c>
      <c r="P7" s="47"/>
      <c r="Q7" s="48"/>
    </row>
    <row r="8" spans="1:18" x14ac:dyDescent="0.2">
      <c r="A8" s="5">
        <v>4</v>
      </c>
      <c r="C8" s="16" t="str">
        <f>Data!I6</f>
        <v xml:space="preserve">       T1509</v>
      </c>
      <c r="D8" s="37">
        <f>Data!J6</f>
        <v>0</v>
      </c>
      <c r="E8" s="37">
        <f>Data!K6</f>
        <v>0</v>
      </c>
      <c r="F8" s="37">
        <f>Data!L6</f>
        <v>0</v>
      </c>
      <c r="G8" s="17" t="str">
        <f>Data!M6</f>
        <v xml:space="preserve">  :  </v>
      </c>
      <c r="H8" s="18" t="str">
        <f>Data!N6</f>
        <v/>
      </c>
      <c r="I8" s="18">
        <f>Data!O6</f>
        <v>42258</v>
      </c>
      <c r="J8" s="19">
        <f>Data!P6</f>
        <v>0</v>
      </c>
      <c r="K8" s="19">
        <f>Data!Q6</f>
        <v>0</v>
      </c>
      <c r="L8" s="18">
        <f>Data!U6</f>
        <v>42262</v>
      </c>
      <c r="M8" s="37">
        <f>Data!R6</f>
        <v>0</v>
      </c>
      <c r="N8" s="37">
        <f>Data!S6</f>
        <v>0</v>
      </c>
      <c r="P8" s="55"/>
      <c r="Q8" s="56"/>
    </row>
    <row r="9" spans="1:18" x14ac:dyDescent="0.2">
      <c r="A9" s="5">
        <v>5</v>
      </c>
      <c r="C9" s="16" t="str">
        <f>Data!I7</f>
        <v xml:space="preserve">       T1512</v>
      </c>
      <c r="D9" s="37">
        <f>Data!J7</f>
        <v>0</v>
      </c>
      <c r="E9" s="37">
        <f>Data!K7</f>
        <v>0</v>
      </c>
      <c r="F9" s="37">
        <f>Data!L7</f>
        <v>0</v>
      </c>
      <c r="G9" s="17" t="str">
        <f>Data!M7</f>
        <v xml:space="preserve">  :  </v>
      </c>
      <c r="H9" s="18" t="str">
        <f>Data!N7</f>
        <v/>
      </c>
      <c r="I9" s="18">
        <f>Data!O7</f>
        <v>42349</v>
      </c>
      <c r="J9" s="19">
        <f>Data!P7</f>
        <v>0</v>
      </c>
      <c r="K9" s="19">
        <f>Data!Q7</f>
        <v>0</v>
      </c>
      <c r="L9" s="18">
        <f>Data!U7</f>
        <v>42353</v>
      </c>
      <c r="M9" s="37">
        <f>Data!R7</f>
        <v>0</v>
      </c>
      <c r="N9" s="37">
        <f>Data!S7</f>
        <v>0</v>
      </c>
      <c r="P9" s="55"/>
      <c r="Q9" s="56"/>
    </row>
    <row r="10" spans="1:18" x14ac:dyDescent="0.2">
      <c r="A10" s="5">
        <v>6</v>
      </c>
      <c r="C10" s="16" t="str">
        <f>Data!I8</f>
        <v xml:space="preserve">       T1603</v>
      </c>
      <c r="D10" s="37">
        <f>Data!J8</f>
        <v>0</v>
      </c>
      <c r="E10" s="37">
        <f>Data!K8</f>
        <v>0</v>
      </c>
      <c r="F10" s="37">
        <f>Data!L8</f>
        <v>0</v>
      </c>
      <c r="G10" s="17" t="str">
        <f>Data!M8</f>
        <v xml:space="preserve">  :  </v>
      </c>
      <c r="H10" s="18" t="str">
        <f>Data!N8</f>
        <v/>
      </c>
      <c r="I10" s="18">
        <f>Data!O8</f>
        <v>42440</v>
      </c>
      <c r="J10" s="19">
        <f>Data!P8</f>
        <v>0</v>
      </c>
      <c r="K10" s="19">
        <f>Data!Q8</f>
        <v>0</v>
      </c>
      <c r="L10" s="18">
        <f>Data!U8</f>
        <v>42444</v>
      </c>
      <c r="M10" s="37">
        <f>Data!R8</f>
        <v>0</v>
      </c>
      <c r="N10" s="37">
        <f>Data!S8</f>
        <v>0</v>
      </c>
      <c r="P10" s="55"/>
      <c r="Q10" s="56"/>
    </row>
    <row r="11" spans="1:18" ht="6" customHeight="1" x14ac:dyDescent="0.2"/>
    <row r="12" spans="1:18" ht="15" x14ac:dyDescent="0.2">
      <c r="A12" s="54" t="s">
        <v>71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x14ac:dyDescent="0.2">
      <c r="A13" s="14" t="s">
        <v>64</v>
      </c>
      <c r="B13" s="14"/>
      <c r="C13" s="32" t="s">
        <v>33</v>
      </c>
      <c r="D13" s="34" t="s">
        <v>77</v>
      </c>
      <c r="E13" s="34" t="s">
        <v>81</v>
      </c>
      <c r="F13" s="34" t="s">
        <v>76</v>
      </c>
      <c r="G13" s="34" t="s">
        <v>88</v>
      </c>
      <c r="H13" s="32" t="s">
        <v>52</v>
      </c>
      <c r="I13" s="32" t="s">
        <v>118</v>
      </c>
      <c r="J13" s="34" t="s">
        <v>75</v>
      </c>
      <c r="K13" s="34" t="s">
        <v>74</v>
      </c>
      <c r="L13" s="34" t="s">
        <v>73</v>
      </c>
      <c r="M13" s="34" t="s">
        <v>84</v>
      </c>
      <c r="N13" s="34" t="s">
        <v>72</v>
      </c>
      <c r="O13" s="34" t="s">
        <v>78</v>
      </c>
      <c r="P13" s="33" t="s">
        <v>79</v>
      </c>
      <c r="Q13" s="35" t="s">
        <v>80</v>
      </c>
      <c r="R13" s="35" t="s">
        <v>83</v>
      </c>
    </row>
    <row r="14" spans="1:18" x14ac:dyDescent="0.2">
      <c r="A14" s="11" t="str">
        <f>Data!A3</f>
        <v>国债公司估值</v>
      </c>
      <c r="B14" s="10"/>
      <c r="C14" s="51" t="str">
        <f ca="1">HYPERLINK("reuters://REALTIME/verb=FullQuote/ric="&amp;Data!C59,Data!C59)</f>
        <v>CN150003=CDCT</v>
      </c>
      <c r="D14" s="20" t="str">
        <f ca="1">Data!E59</f>
        <v>15附息国债03</v>
      </c>
      <c r="E14" s="21">
        <f ca="1">Data!J59</f>
        <v>99.883800000000008</v>
      </c>
      <c r="F14" s="38">
        <f ca="1">Data!L59+Data!K59</f>
        <v>42081.7655787037</v>
      </c>
      <c r="G14" s="45">
        <f ca="1">Data!G59</f>
        <v>43866</v>
      </c>
      <c r="H14" s="22">
        <f ca="1">Data!V59</f>
        <v>3.3348999999999997E-2</v>
      </c>
      <c r="I14" s="22">
        <f ca="1">Data!W59</f>
        <v>3.4799999999999998E-2</v>
      </c>
      <c r="J14" s="23">
        <f ca="1">Data!N59</f>
        <v>0.64085999999998933</v>
      </c>
      <c r="K14" s="23">
        <f ca="1">Data!AB59</f>
        <v>1.0757875848827518</v>
      </c>
      <c r="L14" s="22">
        <f ca="1">Data!T59</f>
        <v>6.5010786090036188E-3</v>
      </c>
      <c r="M14" s="22">
        <f>Data!$Z$21</f>
        <v>5.1000000000001877E-2</v>
      </c>
      <c r="N14" s="21">
        <f ca="1">Data!Z59</f>
        <v>99.011772191949035</v>
      </c>
      <c r="O14" s="21">
        <f>Data!$N$21</f>
        <v>97.95</v>
      </c>
      <c r="P14" s="21">
        <f t="shared" ref="P14:P21" ca="1" si="0">O14-N14</f>
        <v>-1.0617721919490322</v>
      </c>
      <c r="Q14" s="20" t="str">
        <f ca="1">Data!M59</f>
        <v>CCDC-INT VAL</v>
      </c>
      <c r="R14" s="21">
        <f ca="1">Data!I59</f>
        <v>1.0132000000000001</v>
      </c>
    </row>
    <row r="15" spans="1:18" hidden="1" x14ac:dyDescent="0.2">
      <c r="A15" s="11" t="str">
        <f>Data!A4</f>
        <v>国债公司结算价</v>
      </c>
      <c r="B15" s="10"/>
      <c r="C15" s="51" t="str">
        <f ca="1">HYPERLINK("reuters://REALTIME/verb=FullQuote/ric="&amp;Data!C60,Data!C60)</f>
        <v>CN150003=CDC</v>
      </c>
      <c r="D15" s="20" t="str">
        <f ca="1">Data!E60</f>
        <v>15附息国债03</v>
      </c>
      <c r="E15" s="21">
        <f ca="1">Data!J60</f>
        <v>99.906000000000006</v>
      </c>
      <c r="F15" s="38">
        <f ca="1">Data!L60+Data!K60</f>
        <v>42082.421805555554</v>
      </c>
      <c r="G15" s="45">
        <f ca="1">Data!G60</f>
        <v>43866</v>
      </c>
      <c r="H15" s="22">
        <f ca="1">Data!V60</f>
        <v>3.3298999999999995E-2</v>
      </c>
      <c r="I15" s="22">
        <f ca="1">Data!W60</f>
        <v>3.4799999999999998E-2</v>
      </c>
      <c r="J15" s="23">
        <f ca="1">Data!N60</f>
        <v>0.66305999999998733</v>
      </c>
      <c r="K15" s="23">
        <f ca="1">Data!AB60</f>
        <v>1.0982605536498731</v>
      </c>
      <c r="L15" s="22">
        <f ca="1">Data!T60</f>
        <v>5.581561182743628E-3</v>
      </c>
      <c r="M15" s="22">
        <f>Data!$Z$21</f>
        <v>5.1000000000001877E-2</v>
      </c>
      <c r="N15" s="21">
        <f ca="1">Data!Z60</f>
        <v>99.033952382204788</v>
      </c>
      <c r="O15" s="21">
        <f>Data!$N$21</f>
        <v>97.95</v>
      </c>
      <c r="P15" s="21">
        <f t="shared" ca="1" si="0"/>
        <v>-1.0839523822047852</v>
      </c>
      <c r="Q15" s="20" t="str">
        <f ca="1">Data!M60</f>
        <v xml:space="preserve">CCDC-SETTLE </v>
      </c>
      <c r="R15" s="21">
        <f ca="1">Data!I60</f>
        <v>1.0132000000000001</v>
      </c>
    </row>
    <row r="16" spans="1:18" hidden="1" x14ac:dyDescent="0.2">
      <c r="A16" s="11" t="str">
        <f>Data!A5</f>
        <v>国债公司上海估值</v>
      </c>
      <c r="B16" s="10"/>
      <c r="C16" s="51" t="str">
        <f ca="1">HYPERLINK("reuters://REALTIME/verb=FullQuote/ric="&amp;Data!C61,Data!C61)</f>
        <v>CN150003=CDCS</v>
      </c>
      <c r="D16" s="20" t="str">
        <f ca="1">Data!E61</f>
        <v>15附息国债03</v>
      </c>
      <c r="E16" s="21">
        <f ca="1">Data!J61</f>
        <v>99.884799999999998</v>
      </c>
      <c r="F16" s="38">
        <f ca="1">Data!L61+Data!K61</f>
        <v>42081.7655787037</v>
      </c>
      <c r="G16" s="45">
        <f ca="1">Data!G61</f>
        <v>43866</v>
      </c>
      <c r="H16" s="22">
        <f ca="1">Data!V61</f>
        <v>3.3347000000000002E-2</v>
      </c>
      <c r="I16" s="22">
        <f ca="1">Data!W61</f>
        <v>3.4799999999999998E-2</v>
      </c>
      <c r="J16" s="23">
        <f ca="1">Data!N61</f>
        <v>0.64185999999997989</v>
      </c>
      <c r="K16" s="23">
        <f ca="1">Data!AB61</f>
        <v>1.0767998807731531</v>
      </c>
      <c r="L16" s="22">
        <f ca="1">Data!T61</f>
        <v>6.4596501482001223E-3</v>
      </c>
      <c r="M16" s="22">
        <f>Data!$Z$21</f>
        <v>5.1000000000001877E-2</v>
      </c>
      <c r="N16" s="21">
        <f ca="1">Data!Z61</f>
        <v>99.012771299618194</v>
      </c>
      <c r="O16" s="21">
        <f>Data!$N$21</f>
        <v>97.95</v>
      </c>
      <c r="P16" s="21">
        <f t="shared" ca="1" si="0"/>
        <v>-1.0627712996181913</v>
      </c>
      <c r="Q16" s="20" t="str">
        <f ca="1">Data!M61</f>
        <v>CCDC-SSE VAL</v>
      </c>
      <c r="R16" s="21">
        <f ca="1">Data!I61</f>
        <v>1.0132000000000001</v>
      </c>
    </row>
    <row r="17" spans="1:38" hidden="1" x14ac:dyDescent="0.2">
      <c r="A17" s="11" t="str">
        <f>Data!A6</f>
        <v>国债公司深圳估值</v>
      </c>
      <c r="B17" s="10"/>
      <c r="C17" s="51" t="str">
        <f ca="1">HYPERLINK("reuters://REALTIME/verb=FullQuote/ric="&amp;Data!C62,Data!C62)</f>
        <v>CN150003=CDCZ</v>
      </c>
      <c r="D17" s="20" t="str">
        <f ca="1">Data!E62</f>
        <v>15附息国债03</v>
      </c>
      <c r="E17" s="21">
        <f ca="1">Data!J62</f>
        <v>99.884799999999998</v>
      </c>
      <c r="F17" s="38">
        <f ca="1">Data!L62+Data!K62</f>
        <v>42081.7655787037</v>
      </c>
      <c r="G17" s="45">
        <f ca="1">Data!G62</f>
        <v>43866</v>
      </c>
      <c r="H17" s="22">
        <f ca="1">Data!V62</f>
        <v>3.3347000000000002E-2</v>
      </c>
      <c r="I17" s="22">
        <f ca="1">Data!W62</f>
        <v>3.4799999999999998E-2</v>
      </c>
      <c r="J17" s="23">
        <f ca="1">Data!N62</f>
        <v>0.64185999999997989</v>
      </c>
      <c r="K17" s="23">
        <f ca="1">Data!AB62</f>
        <v>1.0767998807731531</v>
      </c>
      <c r="L17" s="22">
        <f ca="1">Data!T62</f>
        <v>6.4596501482001223E-3</v>
      </c>
      <c r="M17" s="22">
        <f>Data!$Z$21</f>
        <v>5.1000000000001877E-2</v>
      </c>
      <c r="N17" s="21">
        <f ca="1">Data!Z62</f>
        <v>99.012771299618194</v>
      </c>
      <c r="O17" s="21">
        <f>Data!$N$21</f>
        <v>97.95</v>
      </c>
      <c r="P17" s="21">
        <f t="shared" ca="1" si="0"/>
        <v>-1.0627712996181913</v>
      </c>
      <c r="Q17" s="20" t="str">
        <f ca="1">Data!M62</f>
        <v>CCDC-SZE VAL</v>
      </c>
      <c r="R17" s="21">
        <f ca="1">Data!I62</f>
        <v>1.0132000000000001</v>
      </c>
    </row>
    <row r="18" spans="1:38" x14ac:dyDescent="0.2">
      <c r="A18" s="11" t="str">
        <f>Data!A7</f>
        <v>银行间报价</v>
      </c>
      <c r="B18" s="10"/>
      <c r="C18" s="51" t="str">
        <f ca="1">HYPERLINK("reuters://REALTIME/verb=FullQuote/ric="&amp;Data!C63,Data!C63)</f>
        <v>CN150003=CFXM</v>
      </c>
      <c r="D18" s="20" t="str">
        <f ca="1">Data!E63</f>
        <v>15附息国债03</v>
      </c>
      <c r="E18" s="21">
        <f ca="1">Data!J63</f>
        <v>99.95</v>
      </c>
      <c r="F18" s="38">
        <f ca="1">Data!L63+Data!K63</f>
        <v>42082.578055555554</v>
      </c>
      <c r="G18" s="45">
        <f ca="1">Data!G63</f>
        <v>43866</v>
      </c>
      <c r="H18" s="22">
        <f ca="1">Data!V63</f>
        <v>3.32E-2</v>
      </c>
      <c r="I18" s="22">
        <f ca="1">Data!W63</f>
        <v>3.4799999999999998E-2</v>
      </c>
      <c r="J18" s="23">
        <f ca="1">Data!N63</f>
        <v>0.70705999999998426</v>
      </c>
      <c r="K18" s="23">
        <f ca="1">Data!AB63</f>
        <v>1.1428015728279524</v>
      </c>
      <c r="L18" s="22">
        <f ca="1">Data!T63</f>
        <v>3.7602965974603427E-3</v>
      </c>
      <c r="M18" s="22">
        <f>Data!$Z$21</f>
        <v>5.1000000000001877E-2</v>
      </c>
      <c r="N18" s="21">
        <f ca="1">Data!Z63</f>
        <v>99.077913119648599</v>
      </c>
      <c r="O18" s="21">
        <f>Data!$N$21</f>
        <v>97.95</v>
      </c>
      <c r="P18" s="21">
        <f t="shared" ca="1" si="0"/>
        <v>-1.1279131196485963</v>
      </c>
      <c r="Q18" s="20" t="str">
        <f ca="1">Data!M63</f>
        <v xml:space="preserve">江苏银行        </v>
      </c>
      <c r="R18" s="21">
        <f ca="1">Data!I63</f>
        <v>1.0132000000000001</v>
      </c>
    </row>
    <row r="19" spans="1:38" x14ac:dyDescent="0.2">
      <c r="A19" s="11" t="str">
        <f>Data!A8</f>
        <v>银行间成交</v>
      </c>
      <c r="B19" s="10"/>
      <c r="C19" s="51" t="str">
        <f ca="1">HYPERLINK("reuters://REALTIME/verb=FullQuote/ric="&amp;Data!C64,Data!C64)</f>
        <v>CN150003=CFXS</v>
      </c>
      <c r="D19" s="20" t="str">
        <f ca="1">Data!E64</f>
        <v>15附息国债03</v>
      </c>
      <c r="E19" s="21">
        <f ca="1">Data!J64</f>
        <v>99.816900000000004</v>
      </c>
      <c r="F19" s="38">
        <f ca="1">Data!L64+Data!K64</f>
        <v>42082.577719907407</v>
      </c>
      <c r="G19" s="45">
        <f ca="1">Data!G64</f>
        <v>43866</v>
      </c>
      <c r="H19" s="22">
        <f ca="1">Data!V64</f>
        <v>3.3499999999999995E-2</v>
      </c>
      <c r="I19" s="22">
        <f ca="1">Data!W64</f>
        <v>3.4799999999999998E-2</v>
      </c>
      <c r="J19" s="23">
        <f ca="1">Data!N64</f>
        <v>0.57395999999998537</v>
      </c>
      <c r="K19" s="23">
        <f ca="1">Data!AB64</f>
        <v>1.0080649898142546</v>
      </c>
      <c r="L19" s="22">
        <f ca="1">Data!T64</f>
        <v>9.2745206441710078E-3</v>
      </c>
      <c r="M19" s="22">
        <f>Data!$Z$21</f>
        <v>5.1000000000001877E-2</v>
      </c>
      <c r="N19" s="21">
        <f ca="1">Data!Z64</f>
        <v>98.944931888881044</v>
      </c>
      <c r="O19" s="21">
        <f>Data!$N$21</f>
        <v>97.95</v>
      </c>
      <c r="P19" s="21">
        <f t="shared" ca="1" si="0"/>
        <v>-0.994931888881041</v>
      </c>
      <c r="Q19" s="20" t="str">
        <f ca="1">Data!M64</f>
        <v>中国外汇交易中心</v>
      </c>
      <c r="R19" s="21">
        <f ca="1">Data!I64</f>
        <v>1.0132000000000001</v>
      </c>
    </row>
    <row r="20" spans="1:38" hidden="1" x14ac:dyDescent="0.2">
      <c r="A20" s="11" t="str">
        <f>Data!A9</f>
        <v>路透估值</v>
      </c>
      <c r="B20" s="10"/>
      <c r="C20" s="51" t="str">
        <f ca="1">HYPERLINK("reuters://REALTIME/verb=FullQuote/ric="&amp;Data!C65,Data!C65)</f>
        <v>CN150003=RRPS</v>
      </c>
      <c r="D20" s="20" t="str">
        <f ca="1">Data!E65</f>
        <v>15附息国债03</v>
      </c>
      <c r="E20" s="21">
        <f ca="1">Data!J65</f>
        <v>100.26600000000001</v>
      </c>
      <c r="F20" s="38">
        <f ca="1">Data!L65+Data!K65</f>
        <v>42082.532789351855</v>
      </c>
      <c r="G20" s="45">
        <f ca="1">Data!G65</f>
        <v>43866</v>
      </c>
      <c r="H20" s="22">
        <f ca="1">Data!V65</f>
        <v>3.2489999999999998E-2</v>
      </c>
      <c r="I20" s="22">
        <f ca="1">Data!W65</f>
        <v>3.4799999999999998E-2</v>
      </c>
      <c r="J20" s="23">
        <f ca="1">Data!N65</f>
        <v>1.0230599999999868</v>
      </c>
      <c r="K20" s="23">
        <f ca="1">Data!AB65</f>
        <v>1.462687074197818</v>
      </c>
      <c r="L20" s="22">
        <f ca="1">Data!T65</f>
        <v>-9.2729134054718252E-3</v>
      </c>
      <c r="M20" s="22">
        <f>Data!$Z$21</f>
        <v>5.1000000000001877E-2</v>
      </c>
      <c r="N20" s="21">
        <f ca="1">Data!Z65</f>
        <v>99.393631143108792</v>
      </c>
      <c r="O20" s="21">
        <f>Data!$N$21</f>
        <v>97.95</v>
      </c>
      <c r="P20" s="21">
        <f t="shared" ca="1" si="0"/>
        <v>-1.4436311431087887</v>
      </c>
      <c r="Q20" s="20" t="str">
        <f ca="1">Data!M65</f>
        <v xml:space="preserve">TR PRICING  </v>
      </c>
      <c r="R20" s="21">
        <f ca="1">Data!I65</f>
        <v>1.0132000000000001</v>
      </c>
    </row>
    <row r="21" spans="1:38" x14ac:dyDescent="0.2">
      <c r="A21" s="11" t="str">
        <f>Data!A10</f>
        <v>路透综合价</v>
      </c>
      <c r="B21" s="10"/>
      <c r="C21" s="51" t="str">
        <f ca="1">HYPERLINK("reuters://REALTIME/verb=FullQuote/ric="&amp;Data!C66,Data!C66)</f>
        <v>CN150003=</v>
      </c>
      <c r="D21" s="20" t="str">
        <f ca="1">Data!E66</f>
        <v>15附息国债03</v>
      </c>
      <c r="E21" s="21">
        <f ca="1">Data!J66</f>
        <v>99.994</v>
      </c>
      <c r="F21" s="38">
        <f ca="1">Data!L66+Data!K66</f>
        <v>42082.580266203702</v>
      </c>
      <c r="G21" s="45">
        <f ca="1">Data!G66</f>
        <v>43866</v>
      </c>
      <c r="H21" s="22">
        <f ca="1">Data!V66</f>
        <v>3.3100999999999998E-2</v>
      </c>
      <c r="I21" s="22">
        <f ca="1">Data!W66</f>
        <v>3.4799999999999998E-2</v>
      </c>
      <c r="J21" s="23">
        <f ca="1">Data!N66</f>
        <v>0.75105999999998119</v>
      </c>
      <c r="K21" s="23">
        <f ca="1">Data!AB66</f>
        <v>1.1873425920060314</v>
      </c>
      <c r="L21" s="22">
        <f ca="1">Data!T66</f>
        <v>1.9406285950084035E-3</v>
      </c>
      <c r="M21" s="22">
        <f>Data!$Z$21</f>
        <v>5.1000000000001877E-2</v>
      </c>
      <c r="N21" s="21">
        <f ca="1">Data!Z66</f>
        <v>99.121873857092424</v>
      </c>
      <c r="O21" s="21">
        <f>Data!$N$21</f>
        <v>97.95</v>
      </c>
      <c r="P21" s="21">
        <f t="shared" ca="1" si="0"/>
        <v>-1.1718738570924216</v>
      </c>
      <c r="Q21" s="20" t="str">
        <f ca="1">Data!M66</f>
        <v>TR COMPOSITE</v>
      </c>
      <c r="R21" s="21">
        <f ca="1">Data!I66</f>
        <v>1.0132000000000001</v>
      </c>
    </row>
    <row r="22" spans="1:38" ht="15" x14ac:dyDescent="0.2">
      <c r="A22" s="53" t="s">
        <v>70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38" x14ac:dyDescent="0.2">
      <c r="A23" s="12">
        <v>1</v>
      </c>
      <c r="B23" s="12">
        <f ca="1">MATCH(A23,Data!$AE$22:$AE$55,0)</f>
        <v>1</v>
      </c>
      <c r="C23" s="50" t="str">
        <f ca="1">HYPERLINK("reuters://REALTIME/verb=FullQuote/ric="&amp;INDEX(Data!$C$22:$C$55,B23),INDEX(Data!$C$22:$C$55,B23))</f>
        <v>CN150002=CFXM</v>
      </c>
      <c r="D23" s="24" t="str">
        <f ca="1">INDEX(Data!$E$22:$E$55,B23)</f>
        <v>15附息国债02</v>
      </c>
      <c r="E23" s="25">
        <f ca="1">INDEX(Data!$J$22:$J$55,B23)</f>
        <v>99.661900000000003</v>
      </c>
      <c r="F23" s="39">
        <f ca="1">INDEX(Data!$K$22:$K$55,B23)+INDEX(Data!$L$22:$L$55,B23)</f>
        <v>42082.561192129629</v>
      </c>
      <c r="G23" s="43" t="str">
        <f ca="1">IF(MONTH(INDEX(Data!$G$22:$G$55,B23))-MONTH(TODAY())=0,(YEAR(INDEX(Data!$G$22:$G$55,B23))-YEAR(TODAY()))&amp;"Y    ",IF(MONTH(INDEX(Data!$G$22:$G$55,B23))-MONTH(TODAY())&gt;0,(YEAR(INDEX(Data!$G$22:$G$55,B23))-YEAR(TODAY()))&amp;"Y"&amp;(MONTH(INDEX(Data!$G$22:$G$55,B23))-MONTH(TODAY()))&amp;"M",(YEAR(INDEX(Data!$G$22:$G$55,B23))-YEAR(TODAY())-1)&amp;"Y"&amp;(MONTH(INDEX(Data!$G$22:$G$55,B23))-MONTH(TODAY())+12)&amp;"M"))&amp;TEXT(INDEX(Data!$G$22:$G$55,B23)," yyyy-mm-dd")</f>
        <v>6Y10M 2022-01-22</v>
      </c>
      <c r="H23" s="26">
        <f ca="1">INDEX(Data!$V$22:$V$55,B23)</f>
        <v>3.415E-2</v>
      </c>
      <c r="I23" s="26">
        <f ca="1">Data!W22</f>
        <v>3.356E-2</v>
      </c>
      <c r="J23" s="27">
        <f ca="1">INDEX(Data!$N$22:$N$55,B23)</f>
        <v>-0.3548449999999832</v>
      </c>
      <c r="K23" s="27">
        <f ca="1">INDEX(Data!$AB$22:$AB$55,B23)</f>
        <v>6.6956414058985114E-2</v>
      </c>
      <c r="L23" s="36">
        <f ca="1">INDEX(Data!$T$22:$T$55,B23)</f>
        <v>4.8228003440570245E-2</v>
      </c>
      <c r="M23" s="26">
        <f>Data!$Z$21</f>
        <v>5.1000000000001877E-2</v>
      </c>
      <c r="N23" s="25">
        <f ca="1">INDEX(Data!$Z$22:$Z$55,B23)</f>
        <v>98.015572827400817</v>
      </c>
      <c r="O23" s="25">
        <f>Data!$N$21</f>
        <v>97.95</v>
      </c>
      <c r="P23" s="25">
        <f t="shared" ref="P23:P25" ca="1" si="1">O23-N23</f>
        <v>-6.5572827400814049E-2</v>
      </c>
      <c r="Q23" s="24" t="str">
        <f ca="1">INDEX(Data!$M$22:$M$55,B23)</f>
        <v xml:space="preserve">东方证券        </v>
      </c>
      <c r="R23" s="25">
        <f ca="1">INDEX(Data!$I$22:$I$55,B23)</f>
        <v>1.0210999999999999</v>
      </c>
      <c r="Z23" s="41"/>
      <c r="AL23" s="42"/>
    </row>
    <row r="24" spans="1:38" x14ac:dyDescent="0.2">
      <c r="A24" s="13">
        <v>2</v>
      </c>
      <c r="B24" s="12">
        <f ca="1">MATCH(A24,Data!$AE$22:$AE$55,0)</f>
        <v>2</v>
      </c>
      <c r="C24" s="50" t="str">
        <f ca="1">HYPERLINK("reuters://REALTIME/verb=FullQuote/ric="&amp;INDEX(Data!$C$22:$C$55,B24),INDEX(Data!$C$22:$C$55,B24))</f>
        <v>CN140024=CFXM</v>
      </c>
      <c r="D24" s="28" t="str">
        <f ca="1">INDEX(Data!$E$22:$E$55,B24)</f>
        <v>14附息国债24</v>
      </c>
      <c r="E24" s="29">
        <f ca="1">INDEX(Data!$J$22:$J$55,B24)</f>
        <v>101.55460000000001</v>
      </c>
      <c r="F24" s="40">
        <f ca="1">INDEX(Data!$K$22:$K$55,B24)+INDEX(Data!$L$22:$L$55,B24)</f>
        <v>42082.567662037036</v>
      </c>
      <c r="G24" s="44" t="str">
        <f ca="1">IF(MONTH(INDEX(Data!$G$22:$G$55,B24))-MONTH(TODAY())=0,(YEAR(INDEX(Data!$G$22:$G$55,B24))-YEAR(TODAY()))&amp;"Y    ",IF(MONTH(INDEX(Data!$G$22:$G$55,B24))-MONTH(TODAY())&gt;0,(YEAR(INDEX(Data!$G$22:$G$55,B24))-YEAR(TODAY()))&amp;"Y"&amp;(MONTH(INDEX(Data!$G$22:$G$55,B24))-MONTH(TODAY()))&amp;"M",(YEAR(INDEX(Data!$G$22:$G$55,B24))-YEAR(TODAY())-1)&amp;"Y"&amp;(MONTH(INDEX(Data!$G$22:$G$55,B24))-MONTH(TODAY())+12)&amp;"M"))&amp;TEXT(INDEX(Data!$G$22:$G$55,B24)," yyyy-mm-dd")</f>
        <v>6Y7M 2021-10-23</v>
      </c>
      <c r="H24" s="30">
        <f ca="1">INDEX(Data!$V$22:$V$55,B24)</f>
        <v>3.4299999999999997E-2</v>
      </c>
      <c r="I24" s="30">
        <f ca="1">Data!W23</f>
        <v>3.3817E-2</v>
      </c>
      <c r="J24" s="31">
        <f ca="1">INDEX(Data!$N$22:$N$55,B24)</f>
        <v>-0.28401499999999658</v>
      </c>
      <c r="K24" s="31">
        <f ca="1">INDEX(Data!$AB$22:$AB$55,B24)</f>
        <v>9.1081642161806364E-2</v>
      </c>
      <c r="L24" s="30">
        <f ca="1">INDEX(Data!$T$22:$T$55,B24)</f>
        <v>4.7334168422353953E-2</v>
      </c>
      <c r="M24" s="30">
        <f>Data!$Z$21</f>
        <v>5.1000000000001877E-2</v>
      </c>
      <c r="N24" s="29">
        <f ca="1">INDEX(Data!$Z$22:$Z$55,B24)</f>
        <v>98.037603772397617</v>
      </c>
      <c r="O24" s="29">
        <f>Data!$N$21</f>
        <v>97.95</v>
      </c>
      <c r="P24" s="29">
        <f t="shared" ca="1" si="1"/>
        <v>-8.7603772397613966E-2</v>
      </c>
      <c r="Q24" s="28" t="str">
        <f ca="1">INDEX(Data!$M$22:$M$55,B24)</f>
        <v xml:space="preserve">西南证券        </v>
      </c>
      <c r="R24" s="29">
        <f ca="1">INDEX(Data!$I$22:$I$55,B24)</f>
        <v>1.0397000000000001</v>
      </c>
      <c r="Z24" s="41"/>
      <c r="AL24" s="42"/>
    </row>
    <row r="25" spans="1:38" x14ac:dyDescent="0.2">
      <c r="A25" s="13">
        <v>3</v>
      </c>
      <c r="B25" s="12">
        <f ca="1">MATCH(A25,Data!$AE$22:$AE$55,0)</f>
        <v>3</v>
      </c>
      <c r="C25" s="50" t="str">
        <f ca="1">HYPERLINK("reuters://REALTIME/verb=FullQuote/ric="&amp;INDEX(Data!$C$22:$C$55,B25),INDEX(Data!$C$22:$C$55,B25))</f>
        <v>CN150003=CFXM</v>
      </c>
      <c r="D25" s="28" t="str">
        <f ca="1">INDEX(Data!$E$22:$E$55,B25)</f>
        <v>15附息国债03</v>
      </c>
      <c r="E25" s="29">
        <f ca="1">INDEX(Data!$J$22:$J$55,B25)</f>
        <v>99.95</v>
      </c>
      <c r="F25" s="40">
        <f ca="1">INDEX(Data!$K$22:$K$55,B25)+INDEX(Data!$L$22:$L$55,B25)</f>
        <v>42082.578055555554</v>
      </c>
      <c r="G25" s="44" t="str">
        <f ca="1">IF(MONTH(INDEX(Data!$G$22:$G$55,B25))-MONTH(TODAY())=0,(YEAR(INDEX(Data!$G$22:$G$55,B25))-YEAR(TODAY()))&amp;"Y    ",IF(MONTH(INDEX(Data!$G$22:$G$55,B25))-MONTH(TODAY())&gt;0,(YEAR(INDEX(Data!$G$22:$G$55,B25))-YEAR(TODAY()))&amp;"Y"&amp;(MONTH(INDEX(Data!$G$22:$G$55,B25))-MONTH(TODAY()))&amp;"M",(YEAR(INDEX(Data!$G$22:$G$55,B25))-YEAR(TODAY())-1)&amp;"Y"&amp;(MONTH(INDEX(Data!$G$22:$G$55,B25))-MONTH(TODAY())+12)&amp;"M"))&amp;TEXT(INDEX(Data!$G$22:$G$55,B25)," yyyy-mm-dd")</f>
        <v>4Y11M 2020-02-05</v>
      </c>
      <c r="H25" s="30">
        <f ca="1">INDEX(Data!$V$22:$V$55,B25)</f>
        <v>3.32E-2</v>
      </c>
      <c r="I25" s="30">
        <f ca="1">Data!W24</f>
        <v>3.4799999999999998E-2</v>
      </c>
      <c r="J25" s="31">
        <f ca="1">INDEX(Data!$N$22:$N$55,B25)</f>
        <v>0.70705999999998426</v>
      </c>
      <c r="K25" s="31">
        <f ca="1">INDEX(Data!$AB$22:$AB$55,B25)</f>
        <v>1.1428015728279524</v>
      </c>
      <c r="L25" s="30">
        <f ca="1">INDEX(Data!$T$22:$T$55,B25)</f>
        <v>3.7602965974603427E-3</v>
      </c>
      <c r="M25" s="30">
        <f>Data!$Z$21</f>
        <v>5.1000000000001877E-2</v>
      </c>
      <c r="N25" s="29">
        <f ca="1">INDEX(Data!$Z$22:$Z$55,B25)</f>
        <v>99.077913119648599</v>
      </c>
      <c r="O25" s="29">
        <f>Data!$N$21</f>
        <v>97.95</v>
      </c>
      <c r="P25" s="29">
        <f t="shared" ca="1" si="1"/>
        <v>-1.1279131196485963</v>
      </c>
      <c r="Q25" s="28" t="str">
        <f ca="1">INDEX(Data!$M$22:$M$55,B25)</f>
        <v xml:space="preserve">江苏银行        </v>
      </c>
      <c r="R25" s="29">
        <f ca="1">INDEX(Data!$I$22:$I$55,B25)</f>
        <v>1.0132000000000001</v>
      </c>
      <c r="Z25" s="41"/>
      <c r="AL25" s="42"/>
    </row>
    <row r="26" spans="1:38" x14ac:dyDescent="0.2">
      <c r="A26" s="13">
        <v>4</v>
      </c>
      <c r="B26" s="12">
        <f ca="1">MATCH(A26,Data!$AE$22:$AE$55,0)</f>
        <v>4</v>
      </c>
      <c r="C26" s="50" t="str">
        <f ca="1">HYPERLINK("reuters://REALTIME/verb=FullQuote/ric="&amp;INDEX(Data!$C$22:$C$55,B26),INDEX(Data!$C$22:$C$55,B26))</f>
        <v>CN130003=CFXM</v>
      </c>
      <c r="D26" s="28" t="str">
        <f ca="1">INDEX(Data!$E$22:$E$55,B26)</f>
        <v>13附息国债03</v>
      </c>
      <c r="E26" s="29">
        <f ca="1">INDEX(Data!$J$22:$J$55,B26)</f>
        <v>100.52260000000001</v>
      </c>
      <c r="F26" s="40">
        <f ca="1">INDEX(Data!$K$22:$K$55,B26)+INDEX(Data!$L$22:$L$55,B26)</f>
        <v>42082.377708333333</v>
      </c>
      <c r="G26" s="44" t="str">
        <f ca="1">IF(MONTH(INDEX(Data!$G$22:$G$55,B26))-MONTH(TODAY())=0,(YEAR(INDEX(Data!$G$22:$G$55,B26))-YEAR(TODAY()))&amp;"Y    ",IF(MONTH(INDEX(Data!$G$22:$G$55,B26))-MONTH(TODAY())&gt;0,(YEAR(INDEX(Data!$G$22:$G$55,B26))-YEAR(TODAY()))&amp;"Y"&amp;(MONTH(INDEX(Data!$G$22:$G$55,B26))-MONTH(TODAY()))&amp;"M",(YEAR(INDEX(Data!$G$22:$G$55,B26))-YEAR(TODAY())-1)&amp;"Y"&amp;(MONTH(INDEX(Data!$G$22:$G$55,B26))-MONTH(TODAY())+12)&amp;"M"))&amp;TEXT(INDEX(Data!$G$22:$G$55,B26)," yyyy-mm-dd")</f>
        <v>4Y10M 2020-01-24</v>
      </c>
      <c r="H26" s="30">
        <f ca="1">INDEX(Data!$V$22:$V$55,B26)</f>
        <v>3.3000000000000002E-2</v>
      </c>
      <c r="I26" s="30">
        <f ca="1">Data!W25</f>
        <v>3.4925999999999999E-2</v>
      </c>
      <c r="J26" s="31">
        <f ca="1">INDEX(Data!$N$22:$N$55,B26)</f>
        <v>0.84868000000000166</v>
      </c>
      <c r="K26" s="31">
        <f ca="1">INDEX(Data!$AB$22:$AB$55,B26)</f>
        <v>1.2664835227022428</v>
      </c>
      <c r="L26" s="30">
        <f ca="1">INDEX(Data!$T$22:$T$55,B26)</f>
        <v>-9.9064944688571411E-4</v>
      </c>
      <c r="M26" s="30">
        <f>Data!$Z$21</f>
        <v>5.1000000000001877E-2</v>
      </c>
      <c r="N26" s="29">
        <f ca="1">INDEX(Data!$Z$22:$Z$55,B26)</f>
        <v>99.194578933473124</v>
      </c>
      <c r="O26" s="29">
        <f>Data!$N$21</f>
        <v>97.95</v>
      </c>
      <c r="P26" s="29">
        <f t="shared" ref="P26:P52" ca="1" si="2">O26-N26</f>
        <v>-1.2445789334731217</v>
      </c>
      <c r="Q26" s="28" t="str">
        <f ca="1">INDEX(Data!$M$22:$M$55,B26)</f>
        <v xml:space="preserve">中金公司        </v>
      </c>
      <c r="R26" s="29">
        <f ca="1">INDEX(Data!$I$22:$I$55,B26)</f>
        <v>1.0176000000000001</v>
      </c>
      <c r="Z26" s="41"/>
      <c r="AL26" s="42"/>
    </row>
    <row r="27" spans="1:38" x14ac:dyDescent="0.2">
      <c r="A27" s="13">
        <v>5</v>
      </c>
      <c r="B27" s="12">
        <f ca="1">MATCH(A27,Data!$AE$22:$AE$55,0)</f>
        <v>5</v>
      </c>
      <c r="C27" s="50" t="str">
        <f ca="1">HYPERLINK("reuters://REALTIME/verb=FullQuote/ric="&amp;INDEX(Data!$C$22:$C$55,B27),INDEX(Data!$C$22:$C$55,B27))</f>
        <v>CN140026=CFXM</v>
      </c>
      <c r="D27" s="28" t="str">
        <f ca="1">INDEX(Data!$E$22:$E$55,B27)</f>
        <v>14附息国债26</v>
      </c>
      <c r="E27" s="29">
        <f ca="1">INDEX(Data!$J$22:$J$55,B27)</f>
        <v>100.956</v>
      </c>
      <c r="F27" s="40">
        <f ca="1">INDEX(Data!$K$22:$K$55,B27)+INDEX(Data!$L$22:$L$55,B27)</f>
        <v>42082.48810185185</v>
      </c>
      <c r="G27" s="44" t="str">
        <f ca="1">IF(MONTH(INDEX(Data!$G$22:$G$55,B27))-MONTH(TODAY())=0,(YEAR(INDEX(Data!$G$22:$G$55,B27))-YEAR(TODAY()))&amp;"Y    ",IF(MONTH(INDEX(Data!$G$22:$G$55,B27))-MONTH(TODAY())&gt;0,(YEAR(INDEX(Data!$G$22:$G$55,B27))-YEAR(TODAY()))&amp;"Y"&amp;(MONTH(INDEX(Data!$G$22:$G$55,B27))-MONTH(TODAY()))&amp;"M",(YEAR(INDEX(Data!$G$22:$G$55,B27))-YEAR(TODAY())-1)&amp;"Y"&amp;(MONTH(INDEX(Data!$G$22:$G$55,B27))-MONTH(TODAY())+12)&amp;"M"))&amp;TEXT(INDEX(Data!$G$22:$G$55,B27)," yyyy-mm-dd")</f>
        <v>4Y7M 2019-10-30</v>
      </c>
      <c r="H27" s="30">
        <f ca="1">INDEX(Data!$V$22:$V$55,B27)</f>
        <v>3.3000000000000002E-2</v>
      </c>
      <c r="I27" s="30">
        <f ca="1">Data!W26</f>
        <v>3.5226E-2</v>
      </c>
      <c r="J27" s="31">
        <f ca="1">INDEX(Data!$N$22:$N$55,B27)</f>
        <v>0.93925500000001705</v>
      </c>
      <c r="K27" s="31">
        <f ca="1">INDEX(Data!$AB$22:$AB$55,B27)</f>
        <v>1.3462976343404649</v>
      </c>
      <c r="L27" s="30">
        <f ca="1">INDEX(Data!$T$22:$T$55,B27)</f>
        <v>-3.5748128691027495E-3</v>
      </c>
      <c r="M27" s="30">
        <f>Data!$Z$21</f>
        <v>5.1000000000001877E-2</v>
      </c>
      <c r="N27" s="29">
        <f ca="1">INDEX(Data!$Z$22:$Z$55,B27)</f>
        <v>99.268477753736633</v>
      </c>
      <c r="O27" s="29">
        <f>Data!$N$21</f>
        <v>97.95</v>
      </c>
      <c r="P27" s="29">
        <f t="shared" ca="1" si="2"/>
        <v>-1.3184777537366301</v>
      </c>
      <c r="Q27" s="28" t="str">
        <f ca="1">INDEX(Data!$M$22:$M$55,B27)</f>
        <v xml:space="preserve">青岛银行        </v>
      </c>
      <c r="R27" s="29">
        <f ca="1">INDEX(Data!$I$22:$I$55,B27)</f>
        <v>1.0210999999999999</v>
      </c>
      <c r="Z27" s="41"/>
      <c r="AL27" s="42"/>
    </row>
    <row r="28" spans="1:38" x14ac:dyDescent="0.2">
      <c r="A28" s="13">
        <v>6</v>
      </c>
      <c r="B28" s="12">
        <f ca="1">MATCH(A28,Data!$AE$22:$AE$55,0)</f>
        <v>6</v>
      </c>
      <c r="C28" s="50" t="str">
        <f ca="1">HYPERLINK("reuters://REALTIME/verb=FullQuote/ric="&amp;INDEX(Data!$C$22:$C$55,B28),INDEX(Data!$C$22:$C$55,B28))</f>
        <v>CN120016=CFXM</v>
      </c>
      <c r="D28" s="28" t="str">
        <f ca="1">INDEX(Data!$E$22:$E$55,B28)</f>
        <v>12附息国债16</v>
      </c>
      <c r="E28" s="29">
        <f ca="1">INDEX(Data!$J$22:$J$55,B28)</f>
        <v>99.905100000000004</v>
      </c>
      <c r="F28" s="40">
        <f ca="1">INDEX(Data!$K$22:$K$55,B28)+INDEX(Data!$L$22:$L$55,B28)</f>
        <v>42082.388310185182</v>
      </c>
      <c r="G28" s="44" t="str">
        <f ca="1">IF(MONTH(INDEX(Data!$G$22:$G$55,B28))-MONTH(TODAY())=0,(YEAR(INDEX(Data!$G$22:$G$55,B28))-YEAR(TODAY()))&amp;"Y    ",IF(MONTH(INDEX(Data!$G$22:$G$55,B28))-MONTH(TODAY())&gt;0,(YEAR(INDEX(Data!$G$22:$G$55,B28))-YEAR(TODAY()))&amp;"Y"&amp;(MONTH(INDEX(Data!$G$22:$G$55,B28))-MONTH(TODAY()))&amp;"M",(YEAR(INDEX(Data!$G$22:$G$55,B28))-YEAR(TODAY())-1)&amp;"Y"&amp;(MONTH(INDEX(Data!$G$22:$G$55,B28))-MONTH(TODAY())+12)&amp;"M"))&amp;TEXT(INDEX(Data!$G$22:$G$55,B28)," yyyy-mm-dd")</f>
        <v>4Y6M 2019-09-06</v>
      </c>
      <c r="H28" s="30">
        <f ca="1">INDEX(Data!$V$22:$V$55,B28)</f>
        <v>3.27E-2</v>
      </c>
      <c r="I28" s="30">
        <f ca="1">Data!W27</f>
        <v>3.517E-2</v>
      </c>
      <c r="J28" s="31">
        <f ca="1">INDEX(Data!$N$22:$N$55,B28)</f>
        <v>1.0049849999999907</v>
      </c>
      <c r="K28" s="31">
        <f ca="1">INDEX(Data!$AB$22:$AB$55,B28)</f>
        <v>1.4711948886245443</v>
      </c>
      <c r="L28" s="30">
        <f ca="1">INDEX(Data!$T$22:$T$55,B28)</f>
        <v>-9.0357244272912304E-3</v>
      </c>
      <c r="M28" s="30">
        <f>Data!$Z$21</f>
        <v>5.1000000000001877E-2</v>
      </c>
      <c r="N28" s="29">
        <f ca="1">INDEX(Data!$Z$22:$Z$55,B28)</f>
        <v>99.407061393111377</v>
      </c>
      <c r="O28" s="29">
        <f>Data!$N$21</f>
        <v>97.95</v>
      </c>
      <c r="P28" s="29">
        <f t="shared" ca="1" si="2"/>
        <v>-1.4570613931113741</v>
      </c>
      <c r="Q28" s="28" t="str">
        <f ca="1">INDEX(Data!$M$22:$M$55,B28)</f>
        <v xml:space="preserve">杭州银行        </v>
      </c>
      <c r="R28" s="29">
        <f ca="1">INDEX(Data!$I$22:$I$55,B28)</f>
        <v>1.0097</v>
      </c>
      <c r="Z28" s="41"/>
      <c r="AL28" s="42"/>
    </row>
    <row r="29" spans="1:38" x14ac:dyDescent="0.2">
      <c r="A29" s="13">
        <v>7</v>
      </c>
      <c r="B29" s="12">
        <f ca="1">MATCH(A29,Data!$AE$22:$AE$55,0)</f>
        <v>7</v>
      </c>
      <c r="C29" s="50" t="str">
        <f ca="1">HYPERLINK("reuters://REALTIME/verb=FullQuote/ric="&amp;INDEX(Data!$C$22:$C$55,B29),INDEX(Data!$C$22:$C$55,B29))</f>
        <v>CN140006=CFXM</v>
      </c>
      <c r="D29" s="28" t="str">
        <f ca="1">INDEX(Data!$E$22:$E$55,B29)</f>
        <v>14附息国债06</v>
      </c>
      <c r="E29" s="29">
        <f ca="1">INDEX(Data!$J$22:$J$55,B29)</f>
        <v>106.11380000000001</v>
      </c>
      <c r="F29" s="40">
        <f ca="1">INDEX(Data!$K$22:$K$55,B29)+INDEX(Data!$L$22:$L$55,B29)</f>
        <v>42082.466249999998</v>
      </c>
      <c r="G29" s="44" t="str">
        <f ca="1">IF(MONTH(INDEX(Data!$G$22:$G$55,B29))-MONTH(TODAY())=0,(YEAR(INDEX(Data!$G$22:$G$55,B29))-YEAR(TODAY()))&amp;"Y    ",IF(MONTH(INDEX(Data!$G$22:$G$55,B29))-MONTH(TODAY())&gt;0,(YEAR(INDEX(Data!$G$22:$G$55,B29))-YEAR(TODAY()))&amp;"Y"&amp;(MONTH(INDEX(Data!$G$22:$G$55,B29))-MONTH(TODAY()))&amp;"M",(YEAR(INDEX(Data!$G$22:$G$55,B29))-YEAR(TODAY())-1)&amp;"Y"&amp;(MONTH(INDEX(Data!$G$22:$G$55,B29))-MONTH(TODAY())+12)&amp;"M"))&amp;TEXT(INDEX(Data!$G$22:$G$55,B29)," yyyy-mm-dd")</f>
        <v>6Y1M 2021-04-03</v>
      </c>
      <c r="H29" s="30">
        <f ca="1">INDEX(Data!$V$22:$V$55,B29)</f>
        <v>3.2000000000000001E-2</v>
      </c>
      <c r="I29" s="30">
        <f ca="1">Data!W28</f>
        <v>3.4327999999999997E-2</v>
      </c>
      <c r="J29" s="31">
        <f ca="1">INDEX(Data!$N$22:$N$55,B29)</f>
        <v>1.297505000000001</v>
      </c>
      <c r="K29" s="31">
        <f ca="1">INDEX(Data!$AB$22:$AB$55,B29)</f>
        <v>1.6119210602854268</v>
      </c>
      <c r="L29" s="30">
        <f ca="1">INDEX(Data!$T$22:$T$55,B29)</f>
        <v>-9.95573301983344E-3</v>
      </c>
      <c r="M29" s="30">
        <f>Data!$Z$21</f>
        <v>5.1000000000001877E-2</v>
      </c>
      <c r="N29" s="29">
        <f ca="1">INDEX(Data!$Z$22:$Z$55,B29)</f>
        <v>99.414489343600408</v>
      </c>
      <c r="O29" s="29">
        <f>Data!$N$21</f>
        <v>97.95</v>
      </c>
      <c r="P29" s="29">
        <f t="shared" ca="1" si="2"/>
        <v>-1.4644893436004054</v>
      </c>
      <c r="Q29" s="28" t="str">
        <f ca="1">INDEX(Data!$M$22:$M$55,B29)</f>
        <v xml:space="preserve">农业银行        </v>
      </c>
      <c r="R29" s="29">
        <f ca="1">INDEX(Data!$I$22:$I$55,B29)</f>
        <v>1.0701000000000001</v>
      </c>
      <c r="Z29" s="41"/>
      <c r="AL29" s="42"/>
    </row>
    <row r="30" spans="1:38" x14ac:dyDescent="0.2">
      <c r="A30" s="13">
        <v>8</v>
      </c>
      <c r="B30" s="12">
        <f ca="1">MATCH(A30,Data!$AE$22:$AE$55,0)</f>
        <v>8</v>
      </c>
      <c r="C30" s="50" t="str">
        <f ca="1">HYPERLINK("reuters://REALTIME/verb=FullQuote/ric="&amp;INDEX(Data!$C$22:$C$55,B30),INDEX(Data!$C$22:$C$55,B30))</f>
        <v>CN140003=CFXM</v>
      </c>
      <c r="D30" s="28" t="str">
        <f ca="1">INDEX(Data!$E$22:$E$55,B30)</f>
        <v>14附息国债03</v>
      </c>
      <c r="E30" s="29">
        <f ca="1">INDEX(Data!$J$22:$J$55,B30)</f>
        <v>106.48820000000001</v>
      </c>
      <c r="F30" s="40">
        <f ca="1">INDEX(Data!$K$22:$K$55,B30)+INDEX(Data!$L$22:$L$55,B30)</f>
        <v>42082.388680555552</v>
      </c>
      <c r="G30" s="44" t="str">
        <f ca="1">IF(MONTH(INDEX(Data!$G$22:$G$55,B30))-MONTH(TODAY())=0,(YEAR(INDEX(Data!$G$22:$G$55,B30))-YEAR(TODAY()))&amp;"Y    ",IF(MONTH(INDEX(Data!$G$22:$G$55,B30))-MONTH(TODAY())&gt;0,(YEAR(INDEX(Data!$G$22:$G$55,B30))-YEAR(TODAY()))&amp;"Y"&amp;(MONTH(INDEX(Data!$G$22:$G$55,B30))-MONTH(TODAY()))&amp;"M",(YEAR(INDEX(Data!$G$22:$G$55,B30))-YEAR(TODAY())-1)&amp;"Y"&amp;(MONTH(INDEX(Data!$G$22:$G$55,B30))-MONTH(TODAY())+12)&amp;"M"))&amp;TEXT(INDEX(Data!$G$22:$G$55,B30)," yyyy-mm-dd")</f>
        <v>5Y10M 2021-01-16</v>
      </c>
      <c r="H30" s="30">
        <f ca="1">INDEX(Data!$V$22:$V$55,B30)</f>
        <v>3.2000000000000001E-2</v>
      </c>
      <c r="I30" s="30">
        <f ca="1">Data!W29</f>
        <v>3.4583999999999997E-2</v>
      </c>
      <c r="J30" s="31">
        <f ca="1">INDEX(Data!$N$22:$N$55,B30)</f>
        <v>1.3976450000000114</v>
      </c>
      <c r="K30" s="31">
        <f ca="1">INDEX(Data!$AB$22:$AB$55,B30)</f>
        <v>1.6459695152486995</v>
      </c>
      <c r="L30" s="30">
        <f ca="1">INDEX(Data!$T$22:$T$55,B30)</f>
        <v>-1.2652611997303539E-2</v>
      </c>
      <c r="M30" s="30">
        <f>Data!$Z$21</f>
        <v>5.1000000000001877E-2</v>
      </c>
      <c r="N30" s="29">
        <f ca="1">INDEX(Data!$Z$22:$Z$55,B30)</f>
        <v>99.484131340524456</v>
      </c>
      <c r="O30" s="29">
        <f>Data!$N$21</f>
        <v>97.95</v>
      </c>
      <c r="P30" s="29">
        <f t="shared" ca="1" si="2"/>
        <v>-1.5341313405244534</v>
      </c>
      <c r="Q30" s="28" t="str">
        <f ca="1">INDEX(Data!$M$22:$M$55,B30)</f>
        <v xml:space="preserve">农业银行        </v>
      </c>
      <c r="R30" s="29">
        <f ca="1">INDEX(Data!$I$22:$I$55,B30)</f>
        <v>1.0729</v>
      </c>
      <c r="Z30" s="41"/>
      <c r="AL30" s="42"/>
    </row>
    <row r="31" spans="1:38" x14ac:dyDescent="0.2">
      <c r="A31" s="13">
        <v>9</v>
      </c>
      <c r="B31" s="12">
        <f ca="1">MATCH(A31,Data!$AE$22:$AE$55,0)</f>
        <v>9</v>
      </c>
      <c r="C31" s="50" t="str">
        <f ca="1">HYPERLINK("reuters://REALTIME/verb=FullQuote/ric="&amp;INDEX(Data!$C$22:$C$55,B31),INDEX(Data!$C$22:$C$55,B31))</f>
        <v>CN130008=CFXM</v>
      </c>
      <c r="D31" s="28" t="str">
        <f ca="1">INDEX(Data!$E$22:$E$55,B31)</f>
        <v>13附息国债08</v>
      </c>
      <c r="E31" s="29">
        <f ca="1">INDEX(Data!$J$22:$J$55,B31)</f>
        <v>100.41200000000001</v>
      </c>
      <c r="F31" s="40">
        <f ca="1">INDEX(Data!$K$22:$K$55,B31)+INDEX(Data!$L$22:$L$55,B31)</f>
        <v>42082.391365740739</v>
      </c>
      <c r="G31" s="44" t="str">
        <f ca="1">IF(MONTH(INDEX(Data!$G$22:$G$55,B31))-MONTH(TODAY())=0,(YEAR(INDEX(Data!$G$22:$G$55,B31))-YEAR(TODAY()))&amp;"Y    ",IF(MONTH(INDEX(Data!$G$22:$G$55,B31))-MONTH(TODAY())&gt;0,(YEAR(INDEX(Data!$G$22:$G$55,B31))-YEAR(TODAY()))&amp;"Y"&amp;(MONTH(INDEX(Data!$G$22:$G$55,B31))-MONTH(TODAY()))&amp;"M",(YEAR(INDEX(Data!$G$22:$G$55,B31))-YEAR(TODAY())-1)&amp;"Y"&amp;(MONTH(INDEX(Data!$G$22:$G$55,B31))-MONTH(TODAY())+12)&amp;"M"))&amp;TEXT(INDEX(Data!$G$22:$G$55,B31)," yyyy-mm-dd")</f>
        <v>5Y1M 2020-04-18</v>
      </c>
      <c r="H31" s="30">
        <f ca="1">INDEX(Data!$V$22:$V$55,B31)</f>
        <v>3.2000000000000001E-2</v>
      </c>
      <c r="I31" s="30">
        <f ca="1">Data!W30</f>
        <v>3.4626999999999998E-2</v>
      </c>
      <c r="J31" s="31">
        <f ca="1">INDEX(Data!$N$22:$N$55,B31)</f>
        <v>1.2082400000000177</v>
      </c>
      <c r="K31" s="31">
        <f ca="1">INDEX(Data!$AB$22:$AB$55,B31)</f>
        <v>1.688381863800468</v>
      </c>
      <c r="L31" s="30">
        <f ca="1">INDEX(Data!$T$22:$T$55,B31)</f>
        <v>-1.7064059386913497E-2</v>
      </c>
      <c r="M31" s="30">
        <f>Data!$Z$21</f>
        <v>5.1000000000001877E-2</v>
      </c>
      <c r="N31" s="29">
        <f ca="1">INDEX(Data!$Z$22:$Z$55,B31)</f>
        <v>99.590264262067905</v>
      </c>
      <c r="O31" s="29">
        <f>Data!$N$21</f>
        <v>97.95</v>
      </c>
      <c r="P31" s="29">
        <f t="shared" ca="1" si="2"/>
        <v>-1.6402642620679018</v>
      </c>
      <c r="Q31" s="28" t="str">
        <f ca="1">INDEX(Data!$M$22:$M$55,B31)</f>
        <v xml:space="preserve">郑州银行        </v>
      </c>
      <c r="R31" s="29">
        <f ca="1">INDEX(Data!$I$22:$I$55,B31)</f>
        <v>1.0127999999999999</v>
      </c>
      <c r="Z31" s="41"/>
      <c r="AL31" s="42"/>
    </row>
    <row r="32" spans="1:38" x14ac:dyDescent="0.2">
      <c r="A32" s="13">
        <v>10</v>
      </c>
      <c r="B32" s="12">
        <f ca="1">MATCH(A32,Data!$AE$22:$AE$55,0)</f>
        <v>10</v>
      </c>
      <c r="C32" s="50" t="str">
        <f ca="1">HYPERLINK("reuters://REALTIME/verb=FullQuote/ric="&amp;INDEX(Data!$C$22:$C$55,B32),INDEX(Data!$C$22:$C$55,B32))</f>
        <v>CN130015=CFXM</v>
      </c>
      <c r="D32" s="28" t="str">
        <f ca="1">INDEX(Data!$E$22:$E$55,B32)</f>
        <v>13附息国债15</v>
      </c>
      <c r="E32" s="29">
        <f ca="1">INDEX(Data!$J$22:$J$55,B32)</f>
        <v>101.7265</v>
      </c>
      <c r="F32" s="40">
        <f ca="1">INDEX(Data!$K$22:$K$55,B32)+INDEX(Data!$L$22:$L$55,B32)</f>
        <v>42082.386030092595</v>
      </c>
      <c r="G32" s="44" t="str">
        <f ca="1">IF(MONTH(INDEX(Data!$G$22:$G$55,B32))-MONTH(TODAY())=0,(YEAR(INDEX(Data!$G$22:$G$55,B32))-YEAR(TODAY()))&amp;"Y    ",IF(MONTH(INDEX(Data!$G$22:$G$55,B32))-MONTH(TODAY())&gt;0,(YEAR(INDEX(Data!$G$22:$G$55,B32))-YEAR(TODAY()))&amp;"Y"&amp;(MONTH(INDEX(Data!$G$22:$G$55,B32))-MONTH(TODAY()))&amp;"M",(YEAR(INDEX(Data!$G$22:$G$55,B32))-YEAR(TODAY())-1)&amp;"Y"&amp;(MONTH(INDEX(Data!$G$22:$G$55,B32))-MONTH(TODAY())+12)&amp;"M"))&amp;TEXT(INDEX(Data!$G$22:$G$55,B32)," yyyy-mm-dd")</f>
        <v>5Y4M 2020-07-11</v>
      </c>
      <c r="H32" s="30">
        <f ca="1">INDEX(Data!$V$22:$V$55,B32)</f>
        <v>3.1E-2</v>
      </c>
      <c r="I32" s="30">
        <f ca="1">Data!W31</f>
        <v>3.4477000000000001E-2</v>
      </c>
      <c r="J32" s="31">
        <f ca="1">INDEX(Data!$N$22:$N$55,B32)</f>
        <v>1.6803699999999964</v>
      </c>
      <c r="K32" s="31">
        <f ca="1">INDEX(Data!$AB$22:$AB$55,B32)</f>
        <v>2.1263688075812035</v>
      </c>
      <c r="L32" s="30">
        <f ca="1">INDEX(Data!$T$22:$T$55,B32)</f>
        <v>-3.3709894111870913E-2</v>
      </c>
      <c r="M32" s="30">
        <f>Data!$Z$21</f>
        <v>5.1000000000001877E-2</v>
      </c>
      <c r="N32" s="29">
        <f ca="1">INDEX(Data!$Z$22:$Z$55,B32)</f>
        <v>100.03181790442646</v>
      </c>
      <c r="O32" s="29">
        <f>Data!$N$21</f>
        <v>97.95</v>
      </c>
      <c r="P32" s="29">
        <f t="shared" ca="1" si="2"/>
        <v>-2.0818179044264582</v>
      </c>
      <c r="Q32" s="28" t="str">
        <f ca="1">INDEX(Data!$M$22:$M$55,B32)</f>
        <v xml:space="preserve">西南证券        </v>
      </c>
      <c r="R32" s="29">
        <f ca="1">INDEX(Data!$I$22:$I$55,B32)</f>
        <v>1.0214000000000001</v>
      </c>
      <c r="Z32" s="41"/>
      <c r="AL32" s="42"/>
    </row>
    <row r="33" spans="1:38" x14ac:dyDescent="0.2">
      <c r="A33" s="13">
        <v>11</v>
      </c>
      <c r="B33" s="12">
        <f ca="1">MATCH(A33,Data!$AE$22:$AE$55,0)</f>
        <v>11</v>
      </c>
      <c r="C33" s="50" t="str">
        <f ca="1">HYPERLINK("reuters://REALTIME/verb=FullQuote/ric="&amp;INDEX(Data!$C$22:$C$55,B33),INDEX(Data!$C$22:$C$55,B33))</f>
        <v>CN130020=CFXM</v>
      </c>
      <c r="D33" s="28" t="str">
        <f ca="1">INDEX(Data!$E$22:$E$55,B33)</f>
        <v>13附息国债20</v>
      </c>
      <c r="E33" s="29">
        <f ca="1">INDEX(Data!$J$22:$J$55,B33)</f>
        <v>104.8844</v>
      </c>
      <c r="F33" s="40">
        <f ca="1">INDEX(Data!$K$22:$K$55,B33)+INDEX(Data!$L$22:$L$55,B33)</f>
        <v>42082.413657407407</v>
      </c>
      <c r="G33" s="44" t="str">
        <f ca="1">IF(MONTH(INDEX(Data!$G$22:$G$55,B33))-MONTH(TODAY())=0,(YEAR(INDEX(Data!$G$22:$G$55,B33))-YEAR(TODAY()))&amp;"Y    ",IF(MONTH(INDEX(Data!$G$22:$G$55,B33))-MONTH(TODAY())&gt;0,(YEAR(INDEX(Data!$G$22:$G$55,B33))-YEAR(TODAY()))&amp;"Y"&amp;(MONTH(INDEX(Data!$G$22:$G$55,B33))-MONTH(TODAY()))&amp;"M",(YEAR(INDEX(Data!$G$22:$G$55,B33))-YEAR(TODAY())-1)&amp;"Y"&amp;(MONTH(INDEX(Data!$G$22:$G$55,B33))-MONTH(TODAY())+12)&amp;"M"))&amp;TEXT(INDEX(Data!$G$22:$G$55,B33)," yyyy-mm-dd")</f>
        <v>5Y7M 2020-10-17</v>
      </c>
      <c r="H33" s="30">
        <f ca="1">INDEX(Data!$V$22:$V$55,B33)</f>
        <v>3.1E-2</v>
      </c>
      <c r="I33" s="30">
        <f ca="1">Data!W32</f>
        <v>3.4592999999999999E-2</v>
      </c>
      <c r="J33" s="31">
        <f ca="1">INDEX(Data!$N$22:$N$55,B33)</f>
        <v>1.8507949999999909</v>
      </c>
      <c r="K33" s="31">
        <f ca="1">INDEX(Data!$AB$22:$AB$55,B33)</f>
        <v>2.1802963846350547</v>
      </c>
      <c r="L33" s="30">
        <f ca="1">INDEX(Data!$T$22:$T$55,B33)</f>
        <v>-3.3832444469350867E-2</v>
      </c>
      <c r="M33" s="30">
        <f>Data!$Z$21</f>
        <v>5.1000000000001877E-2</v>
      </c>
      <c r="N33" s="29">
        <f ca="1">INDEX(Data!$Z$22:$Z$55,B33)</f>
        <v>100.02272210726784</v>
      </c>
      <c r="O33" s="29">
        <f>Data!$N$21</f>
        <v>97.95</v>
      </c>
      <c r="P33" s="29">
        <f t="shared" ca="1" si="2"/>
        <v>-2.0727221072678361</v>
      </c>
      <c r="Q33" s="28" t="str">
        <f ca="1">INDEX(Data!$M$22:$M$55,B33)</f>
        <v xml:space="preserve">中信建投证券    </v>
      </c>
      <c r="R33" s="29">
        <f ca="1">INDEX(Data!$I$22:$I$55,B33)</f>
        <v>1.0519000000000001</v>
      </c>
      <c r="Z33" s="41"/>
      <c r="AL33" s="42"/>
    </row>
    <row r="34" spans="1:38" x14ac:dyDescent="0.2">
      <c r="A34" s="13">
        <v>12</v>
      </c>
      <c r="B34" s="12">
        <f ca="1">MATCH(A34,Data!$AE$22:$AE$55,0)</f>
        <v>12</v>
      </c>
      <c r="C34" s="50" t="str">
        <f ca="1">HYPERLINK("reuters://REALTIME/verb=FullQuote/ric="&amp;INDEX(Data!$C$22:$C$55,B34),INDEX(Data!$C$22:$C$55,B34))</f>
        <v>CN120009=CFXM</v>
      </c>
      <c r="D34" s="28" t="str">
        <f ca="1">INDEX(Data!$E$22:$E$55,B34)</f>
        <v>12附息国债09</v>
      </c>
      <c r="E34" s="29">
        <f ca="1">INDEX(Data!$J$22:$J$55,B34)</f>
        <v>101.9824</v>
      </c>
      <c r="F34" s="40">
        <f ca="1">INDEX(Data!$K$22:$K$55,B34)+INDEX(Data!$L$22:$L$55,B34)</f>
        <v>42082.380324074074</v>
      </c>
      <c r="G34" s="44" t="str">
        <f ca="1">IF(MONTH(INDEX(Data!$G$22:$G$55,B34))-MONTH(TODAY())=0,(YEAR(INDEX(Data!$G$22:$G$55,B34))-YEAR(TODAY()))&amp;"Y    ",IF(MONTH(INDEX(Data!$G$22:$G$55,B34))-MONTH(TODAY())&gt;0,(YEAR(INDEX(Data!$G$22:$G$55,B34))-YEAR(TODAY()))&amp;"Y"&amp;(MONTH(INDEX(Data!$G$22:$G$55,B34))-MONTH(TODAY()))&amp;"M",(YEAR(INDEX(Data!$G$22:$G$55,B34))-YEAR(TODAY())-1)&amp;"Y"&amp;(MONTH(INDEX(Data!$G$22:$G$55,B34))-MONTH(TODAY())+12)&amp;"M"))&amp;TEXT(INDEX(Data!$G$22:$G$55,B34)," yyyy-mm-dd")</f>
        <v>7Y2M 2022-05-24</v>
      </c>
      <c r="H34" s="30">
        <f ca="1">INDEX(Data!$V$22:$V$55,B34)</f>
        <v>3.0499999999999999E-2</v>
      </c>
      <c r="I34" s="30">
        <f ca="1">Data!W33</f>
        <v>3.3382999999999996E-2</v>
      </c>
      <c r="J34" s="31">
        <f ca="1">INDEX(Data!$N$22:$N$55,B34)</f>
        <v>1.8481149999999928</v>
      </c>
      <c r="K34" s="31">
        <f ca="1">INDEX(Data!$AB$22:$AB$55,B34)</f>
        <v>2.3020032989056629</v>
      </c>
      <c r="L34" s="30">
        <f ca="1">INDEX(Data!$T$22:$T$55,B34)</f>
        <v>-4.1824875942635974E-2</v>
      </c>
      <c r="M34" s="30">
        <f>Data!$Z$21</f>
        <v>5.1000000000001877E-2</v>
      </c>
      <c r="N34" s="29">
        <f ca="1">INDEX(Data!$Z$22:$Z$55,B34)</f>
        <v>100.19650717520008</v>
      </c>
      <c r="O34" s="29">
        <f>Data!$N$21</f>
        <v>97.95</v>
      </c>
      <c r="P34" s="29">
        <f t="shared" ca="1" si="2"/>
        <v>-2.2465071752000796</v>
      </c>
      <c r="Q34" s="28" t="str">
        <f ca="1">INDEX(Data!$M$22:$M$55,B34)</f>
        <v xml:space="preserve">东海证券        </v>
      </c>
      <c r="R34" s="29">
        <f ca="1">INDEX(Data!$I$22:$I$55,B34)</f>
        <v>1.0223</v>
      </c>
      <c r="Z34" s="41"/>
      <c r="AL34" s="42"/>
    </row>
    <row r="35" spans="1:38" x14ac:dyDescent="0.2">
      <c r="A35" s="13">
        <v>13</v>
      </c>
      <c r="B35" s="12">
        <f ca="1">MATCH(A35,Data!$AE$22:$AE$55,0)</f>
        <v>14</v>
      </c>
      <c r="C35" s="50" t="str">
        <f ca="1">HYPERLINK("reuters://REALTIME/verb=FullQuote/ric="&amp;INDEX(Data!$C$22:$C$55,B35),INDEX(Data!$C$22:$C$55,B35))</f>
        <v>CN060019=CFXM</v>
      </c>
      <c r="D35" s="28" t="str">
        <f ca="1">INDEX(Data!$E$22:$E$55,B35)</f>
        <v>06国债19</v>
      </c>
      <c r="E35" s="29">
        <f ca="1">INDEX(Data!$J$22:$J$55,B35)</f>
        <v>101.3133</v>
      </c>
      <c r="F35" s="40">
        <f ca="1">INDEX(Data!$K$22:$K$55,B35)+INDEX(Data!$L$22:$L$55,B35)</f>
        <v>42082.380324074074</v>
      </c>
      <c r="G35" s="44" t="str">
        <f ca="1">IF(MONTH(INDEX(Data!$G$22:$G$55,B35))-MONTH(TODAY())=0,(YEAR(INDEX(Data!$G$22:$G$55,B35))-YEAR(TODAY()))&amp;"Y    ",IF(MONTH(INDEX(Data!$G$22:$G$55,B35))-MONTH(TODAY())&gt;0,(YEAR(INDEX(Data!$G$22:$G$55,B35))-YEAR(TODAY()))&amp;"Y"&amp;(MONTH(INDEX(Data!$G$22:$G$55,B35))-MONTH(TODAY()))&amp;"M",(YEAR(INDEX(Data!$G$22:$G$55,B35))-YEAR(TODAY())-1)&amp;"Y"&amp;(MONTH(INDEX(Data!$G$22:$G$55,B35))-MONTH(TODAY())+12)&amp;"M"))&amp;TEXT(INDEX(Data!$G$22:$G$55,B35)," yyyy-mm-dd")</f>
        <v>6Y8M 2021-11-15</v>
      </c>
      <c r="H35" s="30">
        <f ca="1">INDEX(Data!$V$22:$V$55,B35)</f>
        <v>3.0499999999999999E-2</v>
      </c>
      <c r="I35" s="30">
        <f ca="1">Data!W34</f>
        <v>3.3576000000000002E-2</v>
      </c>
      <c r="J35" s="31">
        <f ca="1">INDEX(Data!$N$22:$N$55,B35)</f>
        <v>1.8352799999999831</v>
      </c>
      <c r="K35" s="31">
        <f ca="1">INDEX(Data!$AB$22:$AB$55,B35)</f>
        <v>2.3046968808289892</v>
      </c>
      <c r="L35" s="30">
        <f ca="1">INDEX(Data!$T$22:$T$55,B35)</f>
        <v>-4.2560421559716323E-2</v>
      </c>
      <c r="M35" s="30">
        <f>Data!$Z$21</f>
        <v>5.1000000000001877E-2</v>
      </c>
      <c r="N35" s="29">
        <f ca="1">INDEX(Data!$Z$22:$Z$55,B35)</f>
        <v>100.21209769109448</v>
      </c>
      <c r="O35" s="29">
        <f>Data!$N$21</f>
        <v>97.95</v>
      </c>
      <c r="P35" s="29">
        <f t="shared" ca="1" si="2"/>
        <v>-2.2620976910944819</v>
      </c>
      <c r="Q35" s="28" t="str">
        <f ca="1">INDEX(Data!$M$22:$M$55,B35)</f>
        <v xml:space="preserve">东海证券        </v>
      </c>
      <c r="R35" s="29">
        <f ca="1">INDEX(Data!$I$22:$I$55,B35)</f>
        <v>1.0156000000000001</v>
      </c>
      <c r="Z35" s="41"/>
      <c r="AL35" s="42"/>
    </row>
    <row r="36" spans="1:38" x14ac:dyDescent="0.2">
      <c r="A36" s="13">
        <v>14</v>
      </c>
      <c r="B36" s="12">
        <f ca="1">MATCH(A36,Data!$AE$22:$AE$55,0)</f>
        <v>13</v>
      </c>
      <c r="C36" s="50" t="str">
        <f ca="1">HYPERLINK("reuters://REALTIME/verb=FullQuote/ric="&amp;INDEX(Data!$C$22:$C$55,B36),INDEX(Data!$C$22:$C$55,B36))</f>
        <v>CN110024=CFXM</v>
      </c>
      <c r="D36" s="28" t="str">
        <f ca="1">INDEX(Data!$E$22:$E$55,B36)</f>
        <v>11附息国债24</v>
      </c>
      <c r="E36" s="29">
        <f ca="1">INDEX(Data!$J$22:$J$55,B36)</f>
        <v>103.10990000000001</v>
      </c>
      <c r="F36" s="40">
        <f ca="1">INDEX(Data!$K$22:$K$55,B36)+INDEX(Data!$L$22:$L$55,B36)</f>
        <v>42082.380324074074</v>
      </c>
      <c r="G36" s="44" t="str">
        <f ca="1">IF(MONTH(INDEX(Data!$G$22:$G$55,B36))-MONTH(TODAY())=0,(YEAR(INDEX(Data!$G$22:$G$55,B36))-YEAR(TODAY()))&amp;"Y    ",IF(MONTH(INDEX(Data!$G$22:$G$55,B36))-MONTH(TODAY())&gt;0,(YEAR(INDEX(Data!$G$22:$G$55,B36))-YEAR(TODAY()))&amp;"Y"&amp;(MONTH(INDEX(Data!$G$22:$G$55,B36))-MONTH(TODAY()))&amp;"M",(YEAR(INDEX(Data!$G$22:$G$55,B36))-YEAR(TODAY())-1)&amp;"Y"&amp;(MONTH(INDEX(Data!$G$22:$G$55,B36))-MONTH(TODAY())+12)&amp;"M"))&amp;TEXT(INDEX(Data!$G$22:$G$55,B36)," yyyy-mm-dd")</f>
        <v>6Y8M 2021-11-17</v>
      </c>
      <c r="H36" s="30">
        <f ca="1">INDEX(Data!$V$22:$V$55,B36)</f>
        <v>3.039E-2</v>
      </c>
      <c r="I36" s="30">
        <f ca="1">Data!W35</f>
        <v>3.3577000000000003E-2</v>
      </c>
      <c r="J36" s="31">
        <f ca="1">INDEX(Data!$N$22:$N$55,B36)</f>
        <v>1.9275500000000108</v>
      </c>
      <c r="K36" s="31">
        <f ca="1">INDEX(Data!$AB$22:$AB$55,B36)</f>
        <v>2.3472715226477798</v>
      </c>
      <c r="L36" s="30">
        <f ca="1">INDEX(Data!$T$22:$T$55,B36)</f>
        <v>-4.2572431066350058E-2</v>
      </c>
      <c r="M36" s="30">
        <f>Data!$Z$21</f>
        <v>5.1000000000001877E-2</v>
      </c>
      <c r="N36" s="29">
        <f ca="1">INDEX(Data!$Z$22:$Z$55,B36)</f>
        <v>100.21504278207227</v>
      </c>
      <c r="O36" s="29">
        <f>Data!$N$21</f>
        <v>97.95</v>
      </c>
      <c r="P36" s="29">
        <f t="shared" ca="1" si="2"/>
        <v>-2.2650427820722712</v>
      </c>
      <c r="Q36" s="28" t="str">
        <f ca="1">INDEX(Data!$M$22:$M$55,B36)</f>
        <v xml:space="preserve">东海证券        </v>
      </c>
      <c r="R36" s="29">
        <f ca="1">INDEX(Data!$I$22:$I$55,B36)</f>
        <v>1.0329999999999999</v>
      </c>
      <c r="Z36" s="41"/>
      <c r="AL36" s="42"/>
    </row>
    <row r="37" spans="1:38" x14ac:dyDescent="0.2">
      <c r="A37" s="13">
        <v>15</v>
      </c>
      <c r="B37" s="12">
        <f ca="1">MATCH(A37,Data!$AE$22:$AE$55,0)</f>
        <v>15</v>
      </c>
      <c r="C37" s="50" t="str">
        <f ca="1">HYPERLINK("reuters://REALTIME/verb=FullQuote/ric="&amp;INDEX(Data!$C$22:$C$55,B37),INDEX(Data!$C$22:$C$55,B37))</f>
        <v>CN120004=CFXM</v>
      </c>
      <c r="D37" s="28" t="str">
        <f ca="1">INDEX(Data!$E$22:$E$55,B37)</f>
        <v>12附息国债04</v>
      </c>
      <c r="E37" s="29">
        <f ca="1">INDEX(Data!$J$22:$J$55,B37)</f>
        <v>0</v>
      </c>
      <c r="F37" s="40" t="e">
        <f ca="1">INDEX(Data!$K$22:$K$55,B37)+INDEX(Data!$L$22:$L$55,B37)</f>
        <v>#VALUE!</v>
      </c>
      <c r="G37" s="44" t="str">
        <f ca="1">IF(MONTH(INDEX(Data!$G$22:$G$55,B37))-MONTH(TODAY())=0,(YEAR(INDEX(Data!$G$22:$G$55,B37))-YEAR(TODAY()))&amp;"Y    ",IF(MONTH(INDEX(Data!$G$22:$G$55,B37))-MONTH(TODAY())&gt;0,(YEAR(INDEX(Data!$G$22:$G$55,B37))-YEAR(TODAY()))&amp;"Y"&amp;(MONTH(INDEX(Data!$G$22:$G$55,B37))-MONTH(TODAY()))&amp;"M",(YEAR(INDEX(Data!$G$22:$G$55,B37))-YEAR(TODAY())-1)&amp;"Y"&amp;(MONTH(INDEX(Data!$G$22:$G$55,B37))-MONTH(TODAY())+12)&amp;"M"))&amp;TEXT(INDEX(Data!$G$22:$G$55,B37)," yyyy-mm-dd")</f>
        <v>6Y11M 2022-02-23</v>
      </c>
      <c r="H37" s="30" t="str">
        <f ca="1">INDEX(Data!$V$22:$V$55,B37)</f>
        <v>ERROR 2613 - Invalid calculation request.</v>
      </c>
      <c r="I37" s="30">
        <f ca="1">Data!W36</f>
        <v>3.3554E-2</v>
      </c>
      <c r="J37" s="31">
        <f ca="1">INDEX(Data!$N$22:$N$55,B37)</f>
        <v>-100.94727</v>
      </c>
      <c r="K37" s="31">
        <f ca="1">INDEX(Data!$AB$22:$AB$55,B37)</f>
        <v>-101.79754910391281</v>
      </c>
      <c r="L37" s="30">
        <f ca="1">INDEX(Data!$T$22:$T$55,B37)</f>
        <v>-3.6</v>
      </c>
      <c r="M37" s="30">
        <f>Data!$Z$21</f>
        <v>5.1000000000001877E-2</v>
      </c>
      <c r="N37" s="29">
        <f ca="1">INDEX(Data!$Z$22:$Z$55,B37)</f>
        <v>-0.82503309131846791</v>
      </c>
      <c r="O37" s="29">
        <f>Data!$N$21</f>
        <v>97.95</v>
      </c>
      <c r="P37" s="29">
        <f t="shared" ca="1" si="2"/>
        <v>98.775033091318477</v>
      </c>
      <c r="Q37" s="28" t="str">
        <f ca="1">INDEX(Data!$M$22:$M$55,B37)</f>
        <v xml:space="preserve">                      </v>
      </c>
      <c r="R37" s="29">
        <f ca="1">INDEX(Data!$I$22:$I$55,B37)</f>
        <v>1.0306</v>
      </c>
      <c r="Z37" s="41"/>
      <c r="AL37" s="42"/>
    </row>
    <row r="38" spans="1:38" x14ac:dyDescent="0.2">
      <c r="A38" s="13">
        <v>16</v>
      </c>
      <c r="B38" s="12">
        <f ca="1">MATCH(A38,Data!$AE$22:$AE$55,0)</f>
        <v>16</v>
      </c>
      <c r="C38" s="50" t="str">
        <f ca="1">HYPERLINK("reuters://REALTIME/verb=FullQuote/ric="&amp;INDEX(Data!$C$22:$C$55,B38),INDEX(Data!$C$22:$C$55,B38))</f>
        <v>CN110019=CFXM</v>
      </c>
      <c r="D38" s="28" t="str">
        <f ca="1">INDEX(Data!$E$22:$E$55,B38)</f>
        <v>11附息国债19</v>
      </c>
      <c r="E38" s="29">
        <f ca="1">INDEX(Data!$J$22:$J$55,B38)</f>
        <v>0</v>
      </c>
      <c r="F38" s="40" t="e">
        <f ca="1">INDEX(Data!$K$22:$K$55,B38)+INDEX(Data!$L$22:$L$55,B38)</f>
        <v>#VALUE!</v>
      </c>
      <c r="G38" s="44" t="str">
        <f ca="1">IF(MONTH(INDEX(Data!$G$22:$G$55,B38))-MONTH(TODAY())=0,(YEAR(INDEX(Data!$G$22:$G$55,B38))-YEAR(TODAY()))&amp;"Y    ",IF(MONTH(INDEX(Data!$G$22:$G$55,B38))-MONTH(TODAY())&gt;0,(YEAR(INDEX(Data!$G$22:$G$55,B38))-YEAR(TODAY()))&amp;"Y"&amp;(MONTH(INDEX(Data!$G$22:$G$55,B38))-MONTH(TODAY()))&amp;"M",(YEAR(INDEX(Data!$G$22:$G$55,B38))-YEAR(TODAY())-1)&amp;"Y"&amp;(MONTH(INDEX(Data!$G$22:$G$55,B38))-MONTH(TODAY())+12)&amp;"M"))&amp;TEXT(INDEX(Data!$G$22:$G$55,B38)," yyyy-mm-dd")</f>
        <v>6Y5M 2021-08-18</v>
      </c>
      <c r="H38" s="30" t="str">
        <f ca="1">INDEX(Data!$V$22:$V$55,B38)</f>
        <v>ERROR 2613 - Invalid calculation request.</v>
      </c>
      <c r="I38" s="30">
        <f ca="1">Data!W37</f>
        <v>3.3978000000000001E-2</v>
      </c>
      <c r="J38" s="31">
        <f ca="1">INDEX(Data!$N$22:$N$55,B38)</f>
        <v>-103.04340000000001</v>
      </c>
      <c r="K38" s="31">
        <f ca="1">INDEX(Data!$AB$22:$AB$55,B38)</f>
        <v>-103.99475446000152</v>
      </c>
      <c r="L38" s="30">
        <f ca="1">INDEX(Data!$T$22:$T$55,B38)</f>
        <v>-3.7</v>
      </c>
      <c r="M38" s="30">
        <f>Data!$Z$21</f>
        <v>5.1000000000001877E-2</v>
      </c>
      <c r="N38" s="29">
        <f ca="1">INDEX(Data!$Z$22:$Z$55,B38)</f>
        <v>-0.90432933460219922</v>
      </c>
      <c r="O38" s="29">
        <f>Data!$N$21</f>
        <v>97.95</v>
      </c>
      <c r="P38" s="29">
        <f t="shared" ca="1" si="2"/>
        <v>98.854329334602198</v>
      </c>
      <c r="Q38" s="28" t="str">
        <f ca="1">INDEX(Data!$M$22:$M$55,B38)</f>
        <v xml:space="preserve">                      </v>
      </c>
      <c r="R38" s="29">
        <f ca="1">INDEX(Data!$I$22:$I$55,B38)</f>
        <v>1.052</v>
      </c>
      <c r="Z38" s="41"/>
      <c r="AL38" s="42"/>
    </row>
    <row r="39" spans="1:38" x14ac:dyDescent="0.2">
      <c r="A39" s="13">
        <v>17</v>
      </c>
      <c r="B39" s="12">
        <f ca="1">MATCH(A39,Data!$AE$22:$AE$55,0)</f>
        <v>17</v>
      </c>
      <c r="C39" s="50" t="str">
        <f ca="1">HYPERLINK("reuters://REALTIME/verb=FullQuote/ric="&amp;INDEX(Data!$C$22:$C$55,B39),INDEX(Data!$C$22:$C$55,B39))</f>
        <v>CN110008=CFXM</v>
      </c>
      <c r="D39" s="28" t="str">
        <f ca="1">INDEX(Data!$E$22:$E$55,B39)</f>
        <v>11附息国债08</v>
      </c>
      <c r="E39" s="29">
        <f ca="1">INDEX(Data!$J$22:$J$55,B39)</f>
        <v>0</v>
      </c>
      <c r="F39" s="40" t="e">
        <f ca="1">INDEX(Data!$K$22:$K$55,B39)+INDEX(Data!$L$22:$L$55,B39)</f>
        <v>#VALUE!</v>
      </c>
      <c r="G39" s="44" t="str">
        <f ca="1">IF(MONTH(INDEX(Data!$G$22:$G$55,B39))-MONTH(TODAY())=0,(YEAR(INDEX(Data!$G$22:$G$55,B39))-YEAR(TODAY()))&amp;"Y    ",IF(MONTH(INDEX(Data!$G$22:$G$55,B39))-MONTH(TODAY())&gt;0,(YEAR(INDEX(Data!$G$22:$G$55,B39))-YEAR(TODAY()))&amp;"Y"&amp;(MONTH(INDEX(Data!$G$22:$G$55,B39))-MONTH(TODAY()))&amp;"M",(YEAR(INDEX(Data!$G$22:$G$55,B39))-YEAR(TODAY())-1)&amp;"Y"&amp;(MONTH(INDEX(Data!$G$22:$G$55,B39))-MONTH(TODAY())+12)&amp;"M"))&amp;TEXT(INDEX(Data!$G$22:$G$55,B39)," yyyy-mm-dd")</f>
        <v>6Y     2021-03-17</v>
      </c>
      <c r="H39" s="30" t="str">
        <f ca="1">INDEX(Data!$V$22:$V$55,B39)</f>
        <v>ERROR 2613 - Invalid calculation request.</v>
      </c>
      <c r="I39" s="30">
        <f ca="1">Data!W38</f>
        <v>3.4187999999999996E-2</v>
      </c>
      <c r="J39" s="31">
        <f ca="1">INDEX(Data!$N$22:$N$55,B39)</f>
        <v>-102.21082500000001</v>
      </c>
      <c r="K39" s="31">
        <f ca="1">INDEX(Data!$AB$22:$AB$55,B39)</f>
        <v>-103.12631065276952</v>
      </c>
      <c r="L39" s="30">
        <f ca="1">INDEX(Data!$T$22:$T$55,B39)</f>
        <v>-3.8</v>
      </c>
      <c r="M39" s="30">
        <f>Data!$Z$21</f>
        <v>5.1000000000001877E-2</v>
      </c>
      <c r="N39" s="29">
        <f ca="1">INDEX(Data!$Z$22:$Z$55,B39)</f>
        <v>-0.87732213969286577</v>
      </c>
      <c r="O39" s="29">
        <f>Data!$N$21</f>
        <v>97.95</v>
      </c>
      <c r="P39" s="29">
        <f t="shared" ca="1" si="2"/>
        <v>98.827322139692868</v>
      </c>
      <c r="Q39" s="28" t="str">
        <f ca="1">INDEX(Data!$M$22:$M$55,B39)</f>
        <v xml:space="preserve">                      </v>
      </c>
      <c r="R39" s="29">
        <f ca="1">INDEX(Data!$I$22:$I$55,B39)</f>
        <v>1.0435000000000001</v>
      </c>
      <c r="Z39" s="41"/>
      <c r="AL39" s="42"/>
    </row>
    <row r="40" spans="1:38" x14ac:dyDescent="0.2">
      <c r="A40" s="13">
        <v>18</v>
      </c>
      <c r="B40" s="12">
        <f ca="1">MATCH(A40,Data!$AE$22:$AE$55,0)</f>
        <v>18</v>
      </c>
      <c r="C40" s="50" t="str">
        <f ca="1">HYPERLINK("reuters://REALTIME/verb=FullQuote/ric="&amp;INDEX(Data!$C$22:$C$55,B40),INDEX(Data!$C$22:$C$55,B40))</f>
        <v>CN110002=CFXM</v>
      </c>
      <c r="D40" s="28" t="str">
        <f ca="1">INDEX(Data!$E$22:$E$55,B40)</f>
        <v>11附息国债02</v>
      </c>
      <c r="E40" s="29">
        <f ca="1">INDEX(Data!$J$22:$J$55,B40)</f>
        <v>0</v>
      </c>
      <c r="F40" s="40" t="e">
        <f ca="1">INDEX(Data!$K$22:$K$55,B40)+INDEX(Data!$L$22:$L$55,B40)</f>
        <v>#VALUE!</v>
      </c>
      <c r="G40" s="44" t="str">
        <f ca="1">IF(MONTH(INDEX(Data!$G$22:$G$55,B40))-MONTH(TODAY())=0,(YEAR(INDEX(Data!$G$22:$G$55,B40))-YEAR(TODAY()))&amp;"Y    ",IF(MONTH(INDEX(Data!$G$22:$G$55,B40))-MONTH(TODAY())&gt;0,(YEAR(INDEX(Data!$G$22:$G$55,B40))-YEAR(TODAY()))&amp;"Y"&amp;(MONTH(INDEX(Data!$G$22:$G$55,B40))-MONTH(TODAY()))&amp;"M",(YEAR(INDEX(Data!$G$22:$G$55,B40))-YEAR(TODAY())-1)&amp;"Y"&amp;(MONTH(INDEX(Data!$G$22:$G$55,B40))-MONTH(TODAY())+12)&amp;"M"))&amp;TEXT(INDEX(Data!$G$22:$G$55,B40)," yyyy-mm-dd")</f>
        <v>5Y10M 2021-01-20</v>
      </c>
      <c r="H40" s="30" t="str">
        <f ca="1">INDEX(Data!$V$22:$V$55,B40)</f>
        <v>ERROR 2613 - Invalid calculation request.</v>
      </c>
      <c r="I40" s="30">
        <f ca="1">Data!W39</f>
        <v>3.4340999999999997E-2</v>
      </c>
      <c r="J40" s="31">
        <f ca="1">INDEX(Data!$N$22:$N$55,B40)</f>
        <v>-102.6516</v>
      </c>
      <c r="K40" s="31">
        <f ca="1">INDEX(Data!$AB$22:$AB$55,B40)</f>
        <v>-103.6014941914781</v>
      </c>
      <c r="L40" s="30">
        <f ca="1">INDEX(Data!$T$22:$T$55,B40)</f>
        <v>-3.9</v>
      </c>
      <c r="M40" s="30">
        <f>Data!$Z$21</f>
        <v>5.1000000000001877E-2</v>
      </c>
      <c r="N40" s="29">
        <f ca="1">INDEX(Data!$Z$22:$Z$55,B40)</f>
        <v>-0.9063875872882533</v>
      </c>
      <c r="O40" s="29">
        <f>Data!$N$21</f>
        <v>97.95</v>
      </c>
      <c r="P40" s="29">
        <f t="shared" ca="1" si="2"/>
        <v>98.856387587288253</v>
      </c>
      <c r="Q40" s="28" t="str">
        <f ca="1">INDEX(Data!$M$22:$M$55,B40)</f>
        <v xml:space="preserve">                      </v>
      </c>
      <c r="R40" s="29">
        <f ca="1">INDEX(Data!$I$22:$I$55,B40)</f>
        <v>1.048</v>
      </c>
      <c r="Z40" s="41"/>
      <c r="AL40" s="42"/>
    </row>
    <row r="41" spans="1:38" x14ac:dyDescent="0.2">
      <c r="A41" s="13">
        <v>19</v>
      </c>
      <c r="B41" s="12">
        <f ca="1">MATCH(A41,Data!$AE$22:$AE$55,0)</f>
        <v>19</v>
      </c>
      <c r="C41" s="50" t="str">
        <f ca="1">HYPERLINK("reuters://REALTIME/verb=FullQuote/ric="&amp;INDEX(Data!$C$22:$C$55,B41),INDEX(Data!$C$22:$C$55,B41))</f>
        <v>CN050012=CFXM</v>
      </c>
      <c r="D41" s="28" t="str">
        <f ca="1">INDEX(Data!$E$22:$E$55,B41)</f>
        <v>05国债12</v>
      </c>
      <c r="E41" s="29">
        <f ca="1">INDEX(Data!$J$22:$J$55,B41)</f>
        <v>0</v>
      </c>
      <c r="F41" s="40" t="e">
        <f ca="1">INDEX(Data!$K$22:$K$55,B41)+INDEX(Data!$L$22:$L$55,B41)</f>
        <v>#VALUE!</v>
      </c>
      <c r="G41" s="44" t="str">
        <f ca="1">IF(MONTH(INDEX(Data!$G$22:$G$55,B41))-MONTH(TODAY())=0,(YEAR(INDEX(Data!$G$22:$G$55,B41))-YEAR(TODAY()))&amp;"Y    ",IF(MONTH(INDEX(Data!$G$22:$G$55,B41))-MONTH(TODAY())&gt;0,(YEAR(INDEX(Data!$G$22:$G$55,B41))-YEAR(TODAY()))&amp;"Y"&amp;(MONTH(INDEX(Data!$G$22:$G$55,B41))-MONTH(TODAY()))&amp;"M",(YEAR(INDEX(Data!$G$22:$G$55,B41))-YEAR(TODAY())-1)&amp;"Y"&amp;(MONTH(INDEX(Data!$G$22:$G$55,B41))-MONTH(TODAY())+12)&amp;"M"))&amp;TEXT(INDEX(Data!$G$22:$G$55,B41)," yyyy-mm-dd")</f>
        <v>5Y8M 2020-11-15</v>
      </c>
      <c r="H41" s="30" t="str">
        <f ca="1">INDEX(Data!$V$22:$V$55,B41)</f>
        <v>ERROR 2613 - Invalid calculation request.</v>
      </c>
      <c r="I41" s="30">
        <f ca="1">Data!W40</f>
        <v>3.431E-2</v>
      </c>
      <c r="J41" s="31">
        <f ca="1">INDEX(Data!$N$22:$N$55,B41)</f>
        <v>-101.11378500000001</v>
      </c>
      <c r="K41" s="31">
        <f ca="1">INDEX(Data!$AB$22:$AB$55,B41)</f>
        <v>-101.98031995075667</v>
      </c>
      <c r="L41" s="30">
        <f ca="1">INDEX(Data!$T$22:$T$55,B41)</f>
        <v>-4</v>
      </c>
      <c r="M41" s="30">
        <f>Data!$Z$21</f>
        <v>5.1000000000001877E-2</v>
      </c>
      <c r="N41" s="29">
        <f ca="1">INDEX(Data!$Z$22:$Z$55,B41)</f>
        <v>-0.84732631091413879</v>
      </c>
      <c r="O41" s="29">
        <f>Data!$N$21</f>
        <v>97.95</v>
      </c>
      <c r="P41" s="29">
        <f t="shared" ca="1" si="2"/>
        <v>98.797326310914144</v>
      </c>
      <c r="Q41" s="28" t="str">
        <f ca="1">INDEX(Data!$M$22:$M$55,B41)</f>
        <v xml:space="preserve">                      </v>
      </c>
      <c r="R41" s="29">
        <f ca="1">INDEX(Data!$I$22:$I$55,B41)</f>
        <v>1.0323</v>
      </c>
      <c r="Z41" s="41"/>
      <c r="AL41" s="42"/>
    </row>
    <row r="42" spans="1:38" x14ac:dyDescent="0.2">
      <c r="A42" s="13">
        <v>20</v>
      </c>
      <c r="B42" s="12">
        <f ca="1">MATCH(A42,Data!$AE$22:$AE$55,0)</f>
        <v>20</v>
      </c>
      <c r="C42" s="50" t="str">
        <f ca="1">HYPERLINK("reuters://REALTIME/verb=FullQuote/ric="&amp;INDEX(Data!$C$22:$C$55,B42),INDEX(Data!$C$22:$C$55,B42))</f>
        <v>CN100034=CFXM</v>
      </c>
      <c r="D42" s="28" t="str">
        <f ca="1">INDEX(Data!$E$22:$E$55,B42)</f>
        <v>10附息国债34</v>
      </c>
      <c r="E42" s="29">
        <f ca="1">INDEX(Data!$J$22:$J$55,B42)</f>
        <v>0</v>
      </c>
      <c r="F42" s="40" t="e">
        <f ca="1">INDEX(Data!$K$22:$K$55,B42)+INDEX(Data!$L$22:$L$55,B42)</f>
        <v>#VALUE!</v>
      </c>
      <c r="G42" s="44" t="str">
        <f ca="1">IF(MONTH(INDEX(Data!$G$22:$G$55,B42))-MONTH(TODAY())=0,(YEAR(INDEX(Data!$G$22:$G$55,B42))-YEAR(TODAY()))&amp;"Y    ",IF(MONTH(INDEX(Data!$G$22:$G$55,B42))-MONTH(TODAY())&gt;0,(YEAR(INDEX(Data!$G$22:$G$55,B42))-YEAR(TODAY()))&amp;"Y"&amp;(MONTH(INDEX(Data!$G$22:$G$55,B42))-MONTH(TODAY()))&amp;"M",(YEAR(INDEX(Data!$G$22:$G$55,B42))-YEAR(TODAY())-1)&amp;"Y"&amp;(MONTH(INDEX(Data!$G$22:$G$55,B42))-MONTH(TODAY())+12)&amp;"M"))&amp;TEXT(INDEX(Data!$G$22:$G$55,B42)," yyyy-mm-dd")</f>
        <v>5Y7M 2020-10-28</v>
      </c>
      <c r="H42" s="30" t="str">
        <f ca="1">INDEX(Data!$V$22:$V$55,B42)</f>
        <v>ERROR 2613 - Invalid calculation request.</v>
      </c>
      <c r="I42" s="30">
        <f ca="1">Data!W41</f>
        <v>3.4396999999999997E-2</v>
      </c>
      <c r="J42" s="31">
        <f ca="1">INDEX(Data!$N$22:$N$55,B42)</f>
        <v>-101.16275999999999</v>
      </c>
      <c r="K42" s="31">
        <f ca="1">INDEX(Data!$AB$22:$AB$55,B42)</f>
        <v>-102.02958504438953</v>
      </c>
      <c r="L42" s="30">
        <f ca="1">INDEX(Data!$T$22:$T$55,B42)</f>
        <v>-4.0999999999999996</v>
      </c>
      <c r="M42" s="30">
        <f>Data!$Z$21</f>
        <v>5.1000000000001877E-2</v>
      </c>
      <c r="N42" s="29">
        <f ca="1">INDEX(Data!$Z$22:$Z$55,B42)</f>
        <v>-0.85146060238475485</v>
      </c>
      <c r="O42" s="29">
        <f>Data!$N$21</f>
        <v>97.95</v>
      </c>
      <c r="P42" s="29">
        <f t="shared" ca="1" si="2"/>
        <v>98.801460602384765</v>
      </c>
      <c r="Q42" s="28" t="str">
        <f ca="1">INDEX(Data!$M$22:$M$55,B42)</f>
        <v xml:space="preserve">                      </v>
      </c>
      <c r="R42" s="29">
        <f ca="1">INDEX(Data!$I$22:$I$55,B42)</f>
        <v>1.0327999999999999</v>
      </c>
      <c r="Z42" s="41"/>
      <c r="AL42" s="42"/>
    </row>
    <row r="43" spans="1:38" x14ac:dyDescent="0.2">
      <c r="A43" s="13">
        <v>21</v>
      </c>
      <c r="B43" s="12">
        <f ca="1">MATCH(A43,Data!$AE$22:$AE$55,0)</f>
        <v>21</v>
      </c>
      <c r="C43" s="50" t="str">
        <f ca="1">HYPERLINK("reuters://REALTIME/verb=FullQuote/ric="&amp;INDEX(Data!$C$22:$C$55,B43),INDEX(Data!$C$22:$C$55,B43))</f>
        <v>CN100031=CFXM</v>
      </c>
      <c r="D43" s="28" t="str">
        <f ca="1">INDEX(Data!$E$22:$E$55,B43)</f>
        <v>10附息国债31</v>
      </c>
      <c r="E43" s="29">
        <f ca="1">INDEX(Data!$J$22:$J$55,B43)</f>
        <v>0</v>
      </c>
      <c r="F43" s="40" t="e">
        <f ca="1">INDEX(Data!$K$22:$K$55,B43)+INDEX(Data!$L$22:$L$55,B43)</f>
        <v>#VALUE!</v>
      </c>
      <c r="G43" s="44" t="str">
        <f ca="1">IF(MONTH(INDEX(Data!$G$22:$G$55,B43))-MONTH(TODAY())=0,(YEAR(INDEX(Data!$G$22:$G$55,B43))-YEAR(TODAY()))&amp;"Y    ",IF(MONTH(INDEX(Data!$G$22:$G$55,B43))-MONTH(TODAY())&gt;0,(YEAR(INDEX(Data!$G$22:$G$55,B43))-YEAR(TODAY()))&amp;"Y"&amp;(MONTH(INDEX(Data!$G$22:$G$55,B43))-MONTH(TODAY()))&amp;"M",(YEAR(INDEX(Data!$G$22:$G$55,B43))-YEAR(TODAY())-1)&amp;"Y"&amp;(MONTH(INDEX(Data!$G$22:$G$55,B43))-MONTH(TODAY())+12)&amp;"M"))&amp;TEXT(INDEX(Data!$G$22:$G$55,B43)," yyyy-mm-dd")</f>
        <v>5Y6M 2020-09-16</v>
      </c>
      <c r="H43" s="30" t="str">
        <f ca="1">INDEX(Data!$V$22:$V$55,B43)</f>
        <v>ERROR 2613 - Invalid calculation request.</v>
      </c>
      <c r="I43" s="30">
        <f ca="1">Data!W42</f>
        <v>3.4265999999999998E-2</v>
      </c>
      <c r="J43" s="31">
        <f ca="1">INDEX(Data!$N$22:$N$55,B43)</f>
        <v>-99.321300000000008</v>
      </c>
      <c r="K43" s="31">
        <f ca="1">INDEX(Data!$AB$22:$AB$55,B43)</f>
        <v>-100.10759941870161</v>
      </c>
      <c r="L43" s="30">
        <f ca="1">INDEX(Data!$T$22:$T$55,B43)</f>
        <v>-4.2</v>
      </c>
      <c r="M43" s="30">
        <f>Data!$Z$21</f>
        <v>5.1000000000001877E-2</v>
      </c>
      <c r="N43" s="29">
        <f ca="1">INDEX(Data!$Z$22:$Z$55,B43)</f>
        <v>-0.77544321370967273</v>
      </c>
      <c r="O43" s="29">
        <f>Data!$N$21</f>
        <v>97.95</v>
      </c>
      <c r="P43" s="29">
        <f t="shared" ca="1" si="2"/>
        <v>98.725443213709681</v>
      </c>
      <c r="Q43" s="28" t="str">
        <f ca="1">INDEX(Data!$M$22:$M$55,B43)</f>
        <v xml:space="preserve">                      </v>
      </c>
      <c r="R43" s="29">
        <f ca="1">INDEX(Data!$I$22:$I$55,B43)</f>
        <v>1.014</v>
      </c>
      <c r="Z43" s="41"/>
      <c r="AL43" s="42"/>
    </row>
    <row r="44" spans="1:38" x14ac:dyDescent="0.2">
      <c r="A44" s="13">
        <v>22</v>
      </c>
      <c r="B44" s="12">
        <f ca="1">MATCH(A44,Data!$AE$22:$AE$55,0)</f>
        <v>22</v>
      </c>
      <c r="C44" s="50" t="str">
        <f ca="1">HYPERLINK("reuters://REALTIME/verb=FullQuote/ric="&amp;INDEX(Data!$C$22:$C$55,B44),INDEX(Data!$C$22:$C$55,B44))</f>
        <v>CN100024=CFXM</v>
      </c>
      <c r="D44" s="28" t="str">
        <f ca="1">INDEX(Data!$E$22:$E$55,B44)</f>
        <v>10附息国债24</v>
      </c>
      <c r="E44" s="29">
        <f ca="1">INDEX(Data!$J$22:$J$55,B44)</f>
        <v>0</v>
      </c>
      <c r="F44" s="40" t="e">
        <f ca="1">INDEX(Data!$K$22:$K$55,B44)+INDEX(Data!$L$22:$L$55,B44)</f>
        <v>#VALUE!</v>
      </c>
      <c r="G44" s="44" t="str">
        <f ca="1">IF(MONTH(INDEX(Data!$G$22:$G$55,B44))-MONTH(TODAY())=0,(YEAR(INDEX(Data!$G$22:$G$55,B44))-YEAR(TODAY()))&amp;"Y    ",IF(MONTH(INDEX(Data!$G$22:$G$55,B44))-MONTH(TODAY())&gt;0,(YEAR(INDEX(Data!$G$22:$G$55,B44))-YEAR(TODAY()))&amp;"Y"&amp;(MONTH(INDEX(Data!$G$22:$G$55,B44))-MONTH(TODAY()))&amp;"M",(YEAR(INDEX(Data!$G$22:$G$55,B44))-YEAR(TODAY())-1)&amp;"Y"&amp;(MONTH(INDEX(Data!$G$22:$G$55,B44))-MONTH(TODAY())+12)&amp;"M"))&amp;TEXT(INDEX(Data!$G$22:$G$55,B44)," yyyy-mm-dd")</f>
        <v>5Y5M 2020-08-05</v>
      </c>
      <c r="H44" s="30" t="str">
        <f ca="1">INDEX(Data!$V$22:$V$55,B44)</f>
        <v>ERROR 2613 - Invalid calculation request.</v>
      </c>
      <c r="I44" s="30">
        <f ca="1">Data!W43</f>
        <v>3.4327999999999997E-2</v>
      </c>
      <c r="J44" s="31">
        <f ca="1">INDEX(Data!$N$22:$N$55,B44)</f>
        <v>-99.252735000000015</v>
      </c>
      <c r="K44" s="31">
        <f ca="1">INDEX(Data!$AB$22:$AB$55,B44)</f>
        <v>-100.04529242435481</v>
      </c>
      <c r="L44" s="30">
        <f ca="1">INDEX(Data!$T$22:$T$55,B44)</f>
        <v>-4.3</v>
      </c>
      <c r="M44" s="30">
        <f>Data!$Z$21</f>
        <v>5.1000000000001877E-2</v>
      </c>
      <c r="N44" s="29">
        <f ca="1">INDEX(Data!$Z$22:$Z$55,B44)</f>
        <v>-0.78215476596743505</v>
      </c>
      <c r="O44" s="29">
        <f>Data!$N$21</f>
        <v>97.95</v>
      </c>
      <c r="P44" s="29">
        <f t="shared" ca="1" si="2"/>
        <v>98.732154765967437</v>
      </c>
      <c r="Q44" s="28" t="str">
        <f ca="1">INDEX(Data!$M$22:$M$55,B44)</f>
        <v xml:space="preserve">                      </v>
      </c>
      <c r="R44" s="29">
        <f ca="1">INDEX(Data!$I$22:$I$55,B44)</f>
        <v>1.0133000000000001</v>
      </c>
      <c r="Z44" s="41"/>
      <c r="AL44" s="42"/>
    </row>
    <row r="45" spans="1:38" x14ac:dyDescent="0.2">
      <c r="A45" s="13">
        <v>23</v>
      </c>
      <c r="B45" s="12">
        <f ca="1">MATCH(A45,Data!$AE$22:$AE$55,0)</f>
        <v>23</v>
      </c>
      <c r="C45" s="50" t="str">
        <f ca="1">HYPERLINK("reuters://REALTIME/verb=FullQuote/ric="&amp;INDEX(Data!$C$22:$C$55,B45),INDEX(Data!$C$22:$C$55,B45))</f>
        <v>CN100012=CFXM</v>
      </c>
      <c r="D45" s="28" t="str">
        <f ca="1">INDEX(Data!$E$22:$E$55,B45)</f>
        <v>10附息国债12</v>
      </c>
      <c r="E45" s="29">
        <f ca="1">INDEX(Data!$J$22:$J$55,B45)</f>
        <v>0</v>
      </c>
      <c r="F45" s="40" t="e">
        <f ca="1">INDEX(Data!$K$22:$K$55,B45)+INDEX(Data!$L$22:$L$55,B45)</f>
        <v>#VALUE!</v>
      </c>
      <c r="G45" s="44" t="str">
        <f ca="1">IF(MONTH(INDEX(Data!$G$22:$G$55,B45))-MONTH(TODAY())=0,(YEAR(INDEX(Data!$G$22:$G$55,B45))-YEAR(TODAY()))&amp;"Y    ",IF(MONTH(INDEX(Data!$G$22:$G$55,B45))-MONTH(TODAY())&gt;0,(YEAR(INDEX(Data!$G$22:$G$55,B45))-YEAR(TODAY()))&amp;"Y"&amp;(MONTH(INDEX(Data!$G$22:$G$55,B45))-MONTH(TODAY()))&amp;"M",(YEAR(INDEX(Data!$G$22:$G$55,B45))-YEAR(TODAY())-1)&amp;"Y"&amp;(MONTH(INDEX(Data!$G$22:$G$55,B45))-MONTH(TODAY())+12)&amp;"M"))&amp;TEXT(INDEX(Data!$G$22:$G$55,B45)," yyyy-mm-dd")</f>
        <v>5Y2M 2020-05-13</v>
      </c>
      <c r="H45" s="30" t="str">
        <f ca="1">INDEX(Data!$V$22:$V$55,B45)</f>
        <v>ERROR 2613 - Invalid calculation request.</v>
      </c>
      <c r="I45" s="30">
        <f ca="1">Data!W44</f>
        <v>3.4508999999999998E-2</v>
      </c>
      <c r="J45" s="31">
        <f ca="1">INDEX(Data!$N$22:$N$55,B45)</f>
        <v>-99.056835000000007</v>
      </c>
      <c r="K45" s="31">
        <f ca="1">INDEX(Data!$AB$22:$AB$55,B45)</f>
        <v>-99.827893676237835</v>
      </c>
      <c r="L45" s="30">
        <f ca="1">INDEX(Data!$T$22:$T$55,B45)</f>
        <v>-4.4000000000000004</v>
      </c>
      <c r="M45" s="30">
        <f>Data!$Z$21</f>
        <v>5.1000000000001877E-2</v>
      </c>
      <c r="N45" s="29">
        <f ca="1">INDEX(Data!$Z$22:$Z$55,B45)</f>
        <v>-0.77007667284834125</v>
      </c>
      <c r="O45" s="29">
        <f>Data!$N$21</f>
        <v>97.95</v>
      </c>
      <c r="P45" s="29">
        <f t="shared" ca="1" si="2"/>
        <v>98.72007667284835</v>
      </c>
      <c r="Q45" s="28" t="str">
        <f ca="1">INDEX(Data!$M$22:$M$55,B45)</f>
        <v xml:space="preserve">                      </v>
      </c>
      <c r="R45" s="29">
        <f ca="1">INDEX(Data!$I$22:$I$55,B45)</f>
        <v>1.0113000000000001</v>
      </c>
      <c r="Z45" s="41"/>
      <c r="AL45" s="42"/>
    </row>
    <row r="46" spans="1:38" x14ac:dyDescent="0.2">
      <c r="A46" s="13">
        <v>24</v>
      </c>
      <c r="B46" s="12">
        <f ca="1">MATCH(A46,Data!$AE$22:$AE$55,0)</f>
        <v>24</v>
      </c>
      <c r="C46" s="50" t="str">
        <f ca="1">HYPERLINK("reuters://REALTIME/verb=FullQuote/ric="&amp;INDEX(Data!$C$22:$C$55,B46),INDEX(Data!$C$22:$C$55,B46))</f>
        <v>CN100007=CFXM</v>
      </c>
      <c r="D46" s="28" t="str">
        <f ca="1">INDEX(Data!$E$22:$E$55,B46)</f>
        <v>10附息国债07</v>
      </c>
      <c r="E46" s="29">
        <f ca="1">INDEX(Data!$J$22:$J$55,B46)</f>
        <v>0</v>
      </c>
      <c r="F46" s="40" t="e">
        <f ca="1">INDEX(Data!$K$22:$K$55,B46)+INDEX(Data!$L$22:$L$55,B46)</f>
        <v>#VALUE!</v>
      </c>
      <c r="G46" s="44" t="str">
        <f ca="1">IF(MONTH(INDEX(Data!$G$22:$G$55,B46))-MONTH(TODAY())=0,(YEAR(INDEX(Data!$G$22:$G$55,B46))-YEAR(TODAY()))&amp;"Y    ",IF(MONTH(INDEX(Data!$G$22:$G$55,B46))-MONTH(TODAY())&gt;0,(YEAR(INDEX(Data!$G$22:$G$55,B46))-YEAR(TODAY()))&amp;"Y"&amp;(MONTH(INDEX(Data!$G$22:$G$55,B46))-MONTH(TODAY()))&amp;"M",(YEAR(INDEX(Data!$G$22:$G$55,B46))-YEAR(TODAY())-1)&amp;"Y"&amp;(MONTH(INDEX(Data!$G$22:$G$55,B46))-MONTH(TODAY())+12)&amp;"M"))&amp;TEXT(INDEX(Data!$G$22:$G$55,B46)," yyyy-mm-dd")</f>
        <v>5Y     2020-03-25</v>
      </c>
      <c r="H46" s="30" t="str">
        <f ca="1">INDEX(Data!$V$22:$V$55,B46)</f>
        <v>ERROR 2613 - Invalid calculation request.</v>
      </c>
      <c r="I46" s="30">
        <f ca="1">Data!W45</f>
        <v>3.4699000000000001E-2</v>
      </c>
      <c r="J46" s="31">
        <f ca="1">INDEX(Data!$N$22:$N$55,B46)</f>
        <v>-99.497610000000009</v>
      </c>
      <c r="K46" s="31">
        <f ca="1">INDEX(Data!$AB$22:$AB$55,B46)</f>
        <v>-100.28175846885316</v>
      </c>
      <c r="L46" s="30">
        <f ca="1">INDEX(Data!$T$22:$T$55,B46)</f>
        <v>-4.5</v>
      </c>
      <c r="M46" s="30">
        <f>Data!$Z$21</f>
        <v>5.1000000000001877E-2</v>
      </c>
      <c r="N46" s="29">
        <f ca="1">INDEX(Data!$Z$22:$Z$55,B46)</f>
        <v>-0.79113198081651215</v>
      </c>
      <c r="O46" s="29">
        <f>Data!$N$21</f>
        <v>97.95</v>
      </c>
      <c r="P46" s="29">
        <f t="shared" ca="1" si="2"/>
        <v>98.741131980816519</v>
      </c>
      <c r="Q46" s="28" t="str">
        <f ca="1">INDEX(Data!$M$22:$M$55,B46)</f>
        <v xml:space="preserve">                      </v>
      </c>
      <c r="R46" s="29">
        <f ca="1">INDEX(Data!$I$22:$I$55,B46)</f>
        <v>1.0158</v>
      </c>
      <c r="Z46" s="41"/>
      <c r="AL46" s="42"/>
    </row>
    <row r="47" spans="1:38" x14ac:dyDescent="0.2">
      <c r="A47" s="13">
        <v>25</v>
      </c>
      <c r="B47" s="12">
        <f ca="1">MATCH(A47,Data!$AE$22:$AE$55,0)</f>
        <v>25</v>
      </c>
      <c r="C47" s="50" t="str">
        <f ca="1">HYPERLINK("reuters://REALTIME/verb=FullQuote/ric="&amp;INDEX(Data!$C$22:$C$55,B47),INDEX(Data!$C$22:$C$55,B47))</f>
        <v>CN100002=CFXM</v>
      </c>
      <c r="D47" s="28" t="str">
        <f ca="1">INDEX(Data!$E$22:$E$55,B47)</f>
        <v>10附息国债02</v>
      </c>
      <c r="E47" s="29">
        <f ca="1">INDEX(Data!$J$22:$J$55,B47)</f>
        <v>0</v>
      </c>
      <c r="F47" s="40" t="e">
        <f ca="1">INDEX(Data!$K$22:$K$55,B47)+INDEX(Data!$L$22:$L$55,B47)</f>
        <v>#VALUE!</v>
      </c>
      <c r="G47" s="44" t="str">
        <f ca="1">IF(MONTH(INDEX(Data!$G$22:$G$55,B47))-MONTH(TODAY())=0,(YEAR(INDEX(Data!$G$22:$G$55,B47))-YEAR(TODAY()))&amp;"Y    ",IF(MONTH(INDEX(Data!$G$22:$G$55,B47))-MONTH(TODAY())&gt;0,(YEAR(INDEX(Data!$G$22:$G$55,B47))-YEAR(TODAY()))&amp;"Y"&amp;(MONTH(INDEX(Data!$G$22:$G$55,B47))-MONTH(TODAY()))&amp;"M",(YEAR(INDEX(Data!$G$22:$G$55,B47))-YEAR(TODAY())-1)&amp;"Y"&amp;(MONTH(INDEX(Data!$G$22:$G$55,B47))-MONTH(TODAY())+12)&amp;"M"))&amp;TEXT(INDEX(Data!$G$22:$G$55,B47)," yyyy-mm-dd")</f>
        <v>4Y11M 2020-02-04</v>
      </c>
      <c r="H47" s="30" t="str">
        <f ca="1">INDEX(Data!$V$22:$V$55,B47)</f>
        <v>ERROR 2613 - Invalid calculation request.</v>
      </c>
      <c r="I47" s="30">
        <f ca="1">Data!W46</f>
        <v>3.4805999999999997E-2</v>
      </c>
      <c r="J47" s="31">
        <f ca="1">INDEX(Data!$N$22:$N$55,B47)</f>
        <v>-99.771869999999993</v>
      </c>
      <c r="K47" s="31">
        <f ca="1">INDEX(Data!$AB$22:$AB$55,B47)</f>
        <v>-100.60055592325739</v>
      </c>
      <c r="L47" s="30">
        <f ca="1">INDEX(Data!$T$22:$T$55,B47)</f>
        <v>-4.5999999999999996</v>
      </c>
      <c r="M47" s="30">
        <f>Data!$Z$21</f>
        <v>5.1000000000001877E-2</v>
      </c>
      <c r="N47" s="29">
        <f ca="1">INDEX(Data!$Z$22:$Z$55,B47)</f>
        <v>-0.81355382216512662</v>
      </c>
      <c r="O47" s="29">
        <f>Data!$N$21</f>
        <v>97.95</v>
      </c>
      <c r="P47" s="29">
        <f t="shared" ca="1" si="2"/>
        <v>98.763553822165136</v>
      </c>
      <c r="Q47" s="28" t="str">
        <f ca="1">INDEX(Data!$M$22:$M$55,B47)</f>
        <v xml:space="preserve">                      </v>
      </c>
      <c r="R47" s="29">
        <f ca="1">INDEX(Data!$I$22:$I$55,B47)</f>
        <v>1.0185999999999999</v>
      </c>
      <c r="Z47" s="41"/>
      <c r="AL47" s="42"/>
    </row>
    <row r="48" spans="1:38" x14ac:dyDescent="0.2">
      <c r="A48" s="13">
        <v>26</v>
      </c>
      <c r="B48" s="12">
        <f ca="1">MATCH(A48,Data!$AE$22:$AE$55,0)</f>
        <v>26</v>
      </c>
      <c r="C48" s="50" t="str">
        <f ca="1">HYPERLINK("reuters://REALTIME/verb=FullQuote/ric="&amp;INDEX(Data!$C$22:$C$55,B48),INDEX(Data!$C$22:$C$55,B48))</f>
        <v>CN090027=CFXM</v>
      </c>
      <c r="D48" s="28" t="str">
        <f ca="1">INDEX(Data!$E$22:$E$55,B48)</f>
        <v>09附息国债27</v>
      </c>
      <c r="E48" s="29">
        <f ca="1">INDEX(Data!$J$22:$J$55,B48)</f>
        <v>0</v>
      </c>
      <c r="F48" s="40" t="e">
        <f ca="1">INDEX(Data!$K$22:$K$55,B48)+INDEX(Data!$L$22:$L$55,B48)</f>
        <v>#VALUE!</v>
      </c>
      <c r="G48" s="44" t="str">
        <f ca="1">IF(MONTH(INDEX(Data!$G$22:$G$55,B48))-MONTH(TODAY())=0,(YEAR(INDEX(Data!$G$22:$G$55,B48))-YEAR(TODAY()))&amp;"Y    ",IF(MONTH(INDEX(Data!$G$22:$G$55,B48))-MONTH(TODAY())&gt;0,(YEAR(INDEX(Data!$G$22:$G$55,B48))-YEAR(TODAY()))&amp;"Y"&amp;(MONTH(INDEX(Data!$G$22:$G$55,B48))-MONTH(TODAY()))&amp;"M",(YEAR(INDEX(Data!$G$22:$G$55,B48))-YEAR(TODAY())-1)&amp;"Y"&amp;(MONTH(INDEX(Data!$G$22:$G$55,B48))-MONTH(TODAY())+12)&amp;"M"))&amp;TEXT(INDEX(Data!$G$22:$G$55,B48)," yyyy-mm-dd")</f>
        <v>4Y8M 2019-11-05</v>
      </c>
      <c r="H48" s="30" t="str">
        <f ca="1">INDEX(Data!$V$22:$V$55,B48)</f>
        <v>ERROR 2613 - Invalid calculation request.</v>
      </c>
      <c r="I48" s="30">
        <f ca="1">Data!W47</f>
        <v>3.5180999999999997E-2</v>
      </c>
      <c r="J48" s="31">
        <f ca="1">INDEX(Data!$N$22:$N$55,B48)</f>
        <v>-100.682805</v>
      </c>
      <c r="K48" s="31">
        <f ca="1">INDEX(Data!$AB$22:$AB$55,B48)</f>
        <v>-101.5535547282979</v>
      </c>
      <c r="L48" s="30">
        <f ca="1">INDEX(Data!$T$22:$T$55,B48)</f>
        <v>-4.7</v>
      </c>
      <c r="M48" s="30">
        <f>Data!$Z$21</f>
        <v>5.1000000000001877E-2</v>
      </c>
      <c r="N48" s="29">
        <f ca="1">INDEX(Data!$Z$22:$Z$55,B48)</f>
        <v>-0.85762015341487352</v>
      </c>
      <c r="O48" s="29">
        <f>Data!$N$21</f>
        <v>97.95</v>
      </c>
      <c r="P48" s="29">
        <f t="shared" ca="1" si="2"/>
        <v>98.807620153414874</v>
      </c>
      <c r="Q48" s="28" t="str">
        <f ca="1">INDEX(Data!$M$22:$M$55,B48)</f>
        <v xml:space="preserve">                      </v>
      </c>
      <c r="R48" s="29">
        <f ca="1">INDEX(Data!$I$22:$I$55,B48)</f>
        <v>1.0279</v>
      </c>
      <c r="Z48" s="41"/>
      <c r="AL48" s="42"/>
    </row>
    <row r="49" spans="1:18" x14ac:dyDescent="0.2">
      <c r="A49" s="13">
        <v>27</v>
      </c>
      <c r="B49" s="12">
        <f ca="1">MATCH(A49,Data!$AE$22:$AE$55,0)</f>
        <v>27</v>
      </c>
      <c r="C49" s="50" t="str">
        <f ca="1">HYPERLINK("reuters://REALTIME/verb=FullQuote/ric="&amp;INDEX(Data!$C$22:$C$55,B49),INDEX(Data!$C$22:$C$55,B49))</f>
        <v>CN090023=CFXM</v>
      </c>
      <c r="D49" s="28" t="str">
        <f ca="1">INDEX(Data!$E$22:$E$55,B49)</f>
        <v>09附息国债23</v>
      </c>
      <c r="E49" s="29">
        <f ca="1">INDEX(Data!$J$22:$J$55,B49)</f>
        <v>0</v>
      </c>
      <c r="F49" s="40" t="e">
        <f ca="1">INDEX(Data!$K$22:$K$55,B49)+INDEX(Data!$L$22:$L$55,B49)</f>
        <v>#VALUE!</v>
      </c>
      <c r="G49" s="44" t="str">
        <f ca="1">IF(MONTH(INDEX(Data!$G$22:$G$55,B49))-MONTH(TODAY())=0,(YEAR(INDEX(Data!$G$22:$G$55,B49))-YEAR(TODAY()))&amp;"Y    ",IF(MONTH(INDEX(Data!$G$22:$G$55,B49))-MONTH(TODAY())&gt;0,(YEAR(INDEX(Data!$G$22:$G$55,B49))-YEAR(TODAY()))&amp;"Y"&amp;(MONTH(INDEX(Data!$G$22:$G$55,B49))-MONTH(TODAY()))&amp;"M",(YEAR(INDEX(Data!$G$22:$G$55,B49))-YEAR(TODAY())-1)&amp;"Y"&amp;(MONTH(INDEX(Data!$G$22:$G$55,B49))-MONTH(TODAY())+12)&amp;"M"))&amp;TEXT(INDEX(Data!$G$22:$G$55,B49)," yyyy-mm-dd")</f>
        <v>4Y6M 2019-09-17</v>
      </c>
      <c r="H49" s="30" t="str">
        <f ca="1">INDEX(Data!$V$22:$V$55,B49)</f>
        <v>ERROR 2613 - Invalid calculation request.</v>
      </c>
      <c r="I49" s="30">
        <f ca="1">Data!W48</f>
        <v>3.5237999999999998E-2</v>
      </c>
      <c r="J49" s="31">
        <f ca="1">INDEX(Data!$N$22:$N$55,B49)</f>
        <v>-99.654330000000016</v>
      </c>
      <c r="K49" s="31">
        <f ca="1">INDEX(Data!$AB$22:$AB$55,B49)</f>
        <v>-100.47659387611675</v>
      </c>
      <c r="L49" s="30">
        <f ca="1">INDEX(Data!$T$22:$T$55,B49)</f>
        <v>-4.8</v>
      </c>
      <c r="M49" s="30">
        <f>Data!$Z$21</f>
        <v>5.1000000000001877E-2</v>
      </c>
      <c r="N49" s="29">
        <f ca="1">INDEX(Data!$Z$22:$Z$55,B49)</f>
        <v>-0.80820117566024763</v>
      </c>
      <c r="O49" s="29">
        <f>Data!$N$21</f>
        <v>97.95</v>
      </c>
      <c r="P49" s="29">
        <f t="shared" ca="1" si="2"/>
        <v>98.758201175660247</v>
      </c>
      <c r="Q49" s="28" t="str">
        <f ca="1">INDEX(Data!$M$22:$M$55,B49)</f>
        <v xml:space="preserve">                      </v>
      </c>
      <c r="R49" s="29">
        <f ca="1">INDEX(Data!$I$22:$I$55,B49)</f>
        <v>1.0174000000000001</v>
      </c>
    </row>
    <row r="50" spans="1:18" x14ac:dyDescent="0.2">
      <c r="A50" s="13">
        <v>28</v>
      </c>
      <c r="B50" s="12">
        <f ca="1">MATCH(A50,Data!$AE$22:$AE$55,0)</f>
        <v>28</v>
      </c>
      <c r="C50" s="50" t="str">
        <f ca="1">HYPERLINK("reuters://REALTIME/verb=FullQuote/ric="&amp;INDEX(Data!$C$22:$C$55,B50),INDEX(Data!$C$22:$C$55,B50))</f>
        <v>CN090016=CFXM</v>
      </c>
      <c r="D50" s="28" t="str">
        <f ca="1">INDEX(Data!$E$22:$E$55,B50)</f>
        <v>09附息国债16</v>
      </c>
      <c r="E50" s="29">
        <f ca="1">INDEX(Data!$J$22:$J$55,B50)</f>
        <v>0</v>
      </c>
      <c r="F50" s="40" t="e">
        <f ca="1">INDEX(Data!$K$22:$K$55,B50)+INDEX(Data!$L$22:$L$55,B50)</f>
        <v>#VALUE!</v>
      </c>
      <c r="G50" s="44" t="str">
        <f ca="1">IF(MONTH(INDEX(Data!$G$22:$G$55,B50))-MONTH(TODAY())=0,(YEAR(INDEX(Data!$G$22:$G$55,B50))-YEAR(TODAY()))&amp;"Y    ",IF(MONTH(INDEX(Data!$G$22:$G$55,B50))-MONTH(TODAY())&gt;0,(YEAR(INDEX(Data!$G$22:$G$55,B50))-YEAR(TODAY()))&amp;"Y"&amp;(MONTH(INDEX(Data!$G$22:$G$55,B50))-MONTH(TODAY()))&amp;"M",(YEAR(INDEX(Data!$G$22:$G$55,B50))-YEAR(TODAY())-1)&amp;"Y"&amp;(MONTH(INDEX(Data!$G$22:$G$55,B50))-MONTH(TODAY())+12)&amp;"M"))&amp;TEXT(INDEX(Data!$G$22:$G$55,B50)," yyyy-mm-dd")</f>
        <v>4Y4M 2019-07-23</v>
      </c>
      <c r="H50" s="30" t="str">
        <f ca="1">INDEX(Data!$V$22:$V$55,B50)</f>
        <v>ERROR 2613 - Invalid calculation request.</v>
      </c>
      <c r="I50" s="30">
        <f ca="1">Data!W49</f>
        <v>3.5435999999999995E-2</v>
      </c>
      <c r="J50" s="31">
        <f ca="1">INDEX(Data!$N$22:$N$55,B50)</f>
        <v>-99.742485000000002</v>
      </c>
      <c r="K50" s="31">
        <f ca="1">INDEX(Data!$AB$22:$AB$55,B50)</f>
        <v>-100.58183244993567</v>
      </c>
      <c r="L50" s="30">
        <f ca="1">INDEX(Data!$T$22:$T$55,B50)</f>
        <v>-4.9000000000000004</v>
      </c>
      <c r="M50" s="30">
        <f>Data!$Z$21</f>
        <v>5.1000000000001877E-2</v>
      </c>
      <c r="N50" s="29">
        <f ca="1">INDEX(Data!$Z$22:$Z$55,B50)</f>
        <v>-0.82426342918164497</v>
      </c>
      <c r="O50" s="29">
        <f>Data!$N$21</f>
        <v>97.95</v>
      </c>
      <c r="P50" s="29">
        <f t="shared" ca="1" si="2"/>
        <v>98.774263429181644</v>
      </c>
      <c r="Q50" s="28" t="str">
        <f ca="1">INDEX(Data!$M$22:$M$55,B50)</f>
        <v xml:space="preserve">                      </v>
      </c>
      <c r="R50" s="29">
        <f ca="1">INDEX(Data!$I$22:$I$55,B50)</f>
        <v>1.0183</v>
      </c>
    </row>
    <row r="51" spans="1:18" x14ac:dyDescent="0.2">
      <c r="A51" s="13">
        <v>29</v>
      </c>
      <c r="B51" s="12">
        <f ca="1">MATCH(A51,Data!$AE$22:$AE$55,0)</f>
        <v>29</v>
      </c>
      <c r="C51" s="50" t="str">
        <f ca="1">HYPERLINK("reuters://REALTIME/verb=FullQuote/ric="&amp;INDEX(Data!$C$22:$C$55,B51),INDEX(Data!$C$22:$C$55,B51))</f>
        <v>CFXM</v>
      </c>
      <c r="D51" s="28" t="str">
        <f ca="1">INDEX(Data!$E$22:$E$55,B51)</f>
        <v>*The record could not be found</v>
      </c>
      <c r="E51" s="29" t="str">
        <f ca="1">INDEX(Data!$J$22:$J$55,B51)</f>
        <v>*The record could not be found</v>
      </c>
      <c r="F51" s="40" t="e">
        <f ca="1">INDEX(Data!$K$22:$K$55,B51)+INDEX(Data!$L$22:$L$55,B51)</f>
        <v>#VALUE!</v>
      </c>
      <c r="G51" s="44" t="e">
        <f ca="1">IF(MONTH(INDEX(Data!$G$22:$G$55,B51))-MONTH(TODAY())=0,(YEAR(INDEX(Data!$G$22:$G$55,B51))-YEAR(TODAY()))&amp;"Y    ",IF(MONTH(INDEX(Data!$G$22:$G$55,B51))-MONTH(TODAY())&gt;0,(YEAR(INDEX(Data!$G$22:$G$55,B51))-YEAR(TODAY()))&amp;"Y"&amp;(MONTH(INDEX(Data!$G$22:$G$55,B51))-MONTH(TODAY()))&amp;"M",(YEAR(INDEX(Data!$G$22:$G$55,B51))-YEAR(TODAY())-1)&amp;"Y"&amp;(MONTH(INDEX(Data!$G$22:$G$55,B51))-MONTH(TODAY())+12)&amp;"M"))&amp;TEXT(INDEX(Data!$G$22:$G$55,B51)," yyyy-mm-dd")</f>
        <v>#VALUE!</v>
      </c>
      <c r="H51" s="30" t="e">
        <f ca="1">INDEX(Data!$V$22:$V$55,B51)</f>
        <v>#VALUE!</v>
      </c>
      <c r="I51" s="30" t="e">
        <f ca="1">Data!W50</f>
        <v>#VALUE!</v>
      </c>
      <c r="J51" s="31" t="e">
        <f ca="1">INDEX(Data!$N$22:$N$55,B51)</f>
        <v>#VALUE!</v>
      </c>
      <c r="K51" s="31" t="e">
        <f ca="1">INDEX(Data!$AB$22:$AB$55,B51)</f>
        <v>#VALUE!</v>
      </c>
      <c r="L51" s="30">
        <f ca="1">INDEX(Data!$T$22:$T$55,B51)</f>
        <v>-5</v>
      </c>
      <c r="M51" s="30">
        <f>Data!$Z$21</f>
        <v>5.1000000000001877E-2</v>
      </c>
      <c r="N51" s="29" t="e">
        <f ca="1">INDEX(Data!$Z$22:$Z$55,B51)</f>
        <v>#VALUE!</v>
      </c>
      <c r="O51" s="29">
        <f>Data!$N$21</f>
        <v>97.95</v>
      </c>
      <c r="P51" s="29" t="e">
        <f t="shared" ca="1" si="2"/>
        <v>#VALUE!</v>
      </c>
      <c r="Q51" s="28" t="str">
        <f ca="1">INDEX(Data!$M$22:$M$55,B51)</f>
        <v>*The record could not be found</v>
      </c>
      <c r="R51" s="29" t="e">
        <f ca="1">INDEX(Data!$I$22:$I$55,B51)</f>
        <v>#VALUE!</v>
      </c>
    </row>
    <row r="52" spans="1:18" x14ac:dyDescent="0.2">
      <c r="A52" s="13">
        <v>30</v>
      </c>
      <c r="B52" s="12">
        <f ca="1">MATCH(A52,Data!$AE$22:$AE$55,0)</f>
        <v>30</v>
      </c>
      <c r="C52" s="50" t="str">
        <f ca="1">HYPERLINK("reuters://REALTIME/verb=FullQuote/ric="&amp;INDEX(Data!$C$22:$C$55,B52),INDEX(Data!$C$22:$C$55,B52))</f>
        <v>CFXM</v>
      </c>
      <c r="D52" s="28" t="str">
        <f ca="1">INDEX(Data!$E$22:$E$55,B52)</f>
        <v>*The record could not be found</v>
      </c>
      <c r="E52" s="29" t="str">
        <f ca="1">INDEX(Data!$J$22:$J$55,B52)</f>
        <v>*The record could not be found</v>
      </c>
      <c r="F52" s="40" t="e">
        <f ca="1">INDEX(Data!$K$22:$K$55,B52)+INDEX(Data!$L$22:$L$55,B52)</f>
        <v>#VALUE!</v>
      </c>
      <c r="G52" s="44" t="e">
        <f ca="1">IF(MONTH(INDEX(Data!$G$22:$G$55,B52))-MONTH(TODAY())=0,(YEAR(INDEX(Data!$G$22:$G$55,B52))-YEAR(TODAY()))&amp;"Y    ",IF(MONTH(INDEX(Data!$G$22:$G$55,B52))-MONTH(TODAY())&gt;0,(YEAR(INDEX(Data!$G$22:$G$55,B52))-YEAR(TODAY()))&amp;"Y"&amp;(MONTH(INDEX(Data!$G$22:$G$55,B52))-MONTH(TODAY()))&amp;"M",(YEAR(INDEX(Data!$G$22:$G$55,B52))-YEAR(TODAY())-1)&amp;"Y"&amp;(MONTH(INDEX(Data!$G$22:$G$55,B52))-MONTH(TODAY())+12)&amp;"M"))&amp;TEXT(INDEX(Data!$G$22:$G$55,B52)," yyyy-mm-dd")</f>
        <v>#VALUE!</v>
      </c>
      <c r="H52" s="30" t="e">
        <f ca="1">INDEX(Data!$V$22:$V$55,B52)</f>
        <v>#VALUE!</v>
      </c>
      <c r="I52" s="30" t="e">
        <f ca="1">Data!W51</f>
        <v>#VALUE!</v>
      </c>
      <c r="J52" s="31" t="e">
        <f ca="1">INDEX(Data!$N$22:$N$55,B52)</f>
        <v>#VALUE!</v>
      </c>
      <c r="K52" s="31" t="e">
        <f ca="1">INDEX(Data!$AB$22:$AB$55,B52)</f>
        <v>#VALUE!</v>
      </c>
      <c r="L52" s="30">
        <f ca="1">INDEX(Data!$T$22:$T$55,B52)</f>
        <v>-5.0999999999999996</v>
      </c>
      <c r="M52" s="30">
        <f>Data!$Z$21</f>
        <v>5.1000000000001877E-2</v>
      </c>
      <c r="N52" s="29" t="e">
        <f ca="1">INDEX(Data!$Z$22:$Z$55,B52)</f>
        <v>#VALUE!</v>
      </c>
      <c r="O52" s="29">
        <f>Data!$N$21</f>
        <v>97.95</v>
      </c>
      <c r="P52" s="29" t="e">
        <f t="shared" ca="1" si="2"/>
        <v>#VALUE!</v>
      </c>
      <c r="Q52" s="28" t="str">
        <f ca="1">INDEX(Data!$M$22:$M$55,B52)</f>
        <v>*The record could not be found</v>
      </c>
      <c r="R52" s="29" t="e">
        <f ca="1">INDEX(Data!$I$22:$I$55,B52)</f>
        <v>#VALUE!</v>
      </c>
    </row>
    <row r="53" spans="1:18" x14ac:dyDescent="0.2">
      <c r="A53" s="13">
        <v>31</v>
      </c>
      <c r="B53" s="12">
        <f ca="1">MATCH(A53,Data!$AE$22:$AE$55,0)</f>
        <v>31</v>
      </c>
      <c r="C53" s="50">
        <f ca="1">HYPERLINK("reuters://REALTIME/verb=FullQuote/ric="&amp;INDEX(Data!$C$22:$C$55,B53),INDEX(Data!$C$22:$C$55,B53))</f>
        <v>0</v>
      </c>
      <c r="D53" s="28" t="str">
        <f ca="1">INDEX(Data!$E$22:$E$55,B53)</f>
        <v>*The record could not be found</v>
      </c>
      <c r="E53" s="29">
        <f ca="1">INDEX(Data!$J$22:$J$55,B53)</f>
        <v>0</v>
      </c>
      <c r="F53" s="40">
        <f ca="1">INDEX(Data!$K$22:$K$55,B53)+INDEX(Data!$L$22:$L$55,B53)</f>
        <v>42082</v>
      </c>
      <c r="G53" s="44" t="e">
        <f ca="1">IF(MONTH(INDEX(Data!$G$22:$G$55,B53))-MONTH(TODAY())=0,(YEAR(INDEX(Data!$G$22:$G$55,B53))-YEAR(TODAY()))&amp;"Y    ",IF(MONTH(INDEX(Data!$G$22:$G$55,B53))-MONTH(TODAY())&gt;0,(YEAR(INDEX(Data!$G$22:$G$55,B53))-YEAR(TODAY()))&amp;"Y"&amp;(MONTH(INDEX(Data!$G$22:$G$55,B53))-MONTH(TODAY()))&amp;"M",(YEAR(INDEX(Data!$G$22:$G$55,B53))-YEAR(TODAY())-1)&amp;"Y"&amp;(MONTH(INDEX(Data!$G$22:$G$55,B53))-MONTH(TODAY())+12)&amp;"M"))&amp;TEXT(INDEX(Data!$G$22:$G$55,B53)," yyyy-mm-dd")</f>
        <v>#VALUE!</v>
      </c>
      <c r="H53" s="30" t="e">
        <f ca="1">INDEX(Data!$V$22:$V$55,B53)</f>
        <v>#VALUE!</v>
      </c>
      <c r="I53" s="30" t="e">
        <f ca="1">Data!W52</f>
        <v>#VALUE!</v>
      </c>
      <c r="J53" s="31" t="e">
        <f ca="1">INDEX(Data!$N$22:$N$55,B53)</f>
        <v>#VALUE!</v>
      </c>
      <c r="K53" s="31" t="e">
        <f ca="1">INDEX(Data!$AB$22:$AB$55,B53)</f>
        <v>#VALUE!</v>
      </c>
      <c r="L53" s="30">
        <f ca="1">INDEX(Data!$T$22:$T$55,B53)</f>
        <v>-5.2</v>
      </c>
      <c r="M53" s="30">
        <f>Data!$Z$21</f>
        <v>5.1000000000001877E-2</v>
      </c>
      <c r="N53" s="29" t="e">
        <f ca="1">INDEX(Data!$Z$22:$Z$55,B53)</f>
        <v>#VALUE!</v>
      </c>
      <c r="O53" s="29">
        <f>Data!$N$21</f>
        <v>97.95</v>
      </c>
      <c r="P53" s="29" t="e">
        <f t="shared" ref="P53:P56" ca="1" si="3">O53-N53</f>
        <v>#VALUE!</v>
      </c>
      <c r="Q53" s="28" t="str">
        <f ca="1">INDEX(Data!$M$22:$M$55,B53)</f>
        <v>用户输入</v>
      </c>
      <c r="R53" s="29" t="e">
        <f ca="1">INDEX(Data!$I$22:$I$55,B53)</f>
        <v>#VALUE!</v>
      </c>
    </row>
    <row r="54" spans="1:18" x14ac:dyDescent="0.2">
      <c r="A54" s="13">
        <v>32</v>
      </c>
      <c r="B54" s="12">
        <f ca="1">MATCH(A54,Data!$AE$22:$AE$55,0)</f>
        <v>32</v>
      </c>
      <c r="C54" s="50">
        <f ca="1">HYPERLINK("reuters://REALTIME/verb=FullQuote/ric="&amp;INDEX(Data!$C$22:$C$55,B54),INDEX(Data!$C$22:$C$55,B54))</f>
        <v>0</v>
      </c>
      <c r="D54" s="28" t="str">
        <f ca="1">INDEX(Data!$E$22:$E$55,B54)</f>
        <v>*The record could not be found</v>
      </c>
      <c r="E54" s="29">
        <f ca="1">INDEX(Data!$J$22:$J$55,B54)</f>
        <v>0</v>
      </c>
      <c r="F54" s="40">
        <f ca="1">INDEX(Data!$K$22:$K$55,B54)+INDEX(Data!$L$22:$L$55,B54)</f>
        <v>42082</v>
      </c>
      <c r="G54" s="44" t="e">
        <f ca="1">IF(MONTH(INDEX(Data!$G$22:$G$55,B54))-MONTH(TODAY())=0,(YEAR(INDEX(Data!$G$22:$G$55,B54))-YEAR(TODAY()))&amp;"Y    ",IF(MONTH(INDEX(Data!$G$22:$G$55,B54))-MONTH(TODAY())&gt;0,(YEAR(INDEX(Data!$G$22:$G$55,B54))-YEAR(TODAY()))&amp;"Y"&amp;(MONTH(INDEX(Data!$G$22:$G$55,B54))-MONTH(TODAY()))&amp;"M",(YEAR(INDEX(Data!$G$22:$G$55,B54))-YEAR(TODAY())-1)&amp;"Y"&amp;(MONTH(INDEX(Data!$G$22:$G$55,B54))-MONTH(TODAY())+12)&amp;"M"))&amp;TEXT(INDEX(Data!$G$22:$G$55,B54)," yyyy-mm-dd")</f>
        <v>#VALUE!</v>
      </c>
      <c r="H54" s="30" t="e">
        <f ca="1">INDEX(Data!$V$22:$V$55,B54)</f>
        <v>#VALUE!</v>
      </c>
      <c r="I54" s="30" t="e">
        <f ca="1">Data!W53</f>
        <v>#VALUE!</v>
      </c>
      <c r="J54" s="31" t="e">
        <f ca="1">INDEX(Data!$N$22:$N$55,B54)</f>
        <v>#VALUE!</v>
      </c>
      <c r="K54" s="31" t="e">
        <f ca="1">INDEX(Data!$AB$22:$AB$55,B54)</f>
        <v>#VALUE!</v>
      </c>
      <c r="L54" s="30">
        <f ca="1">INDEX(Data!$T$22:$T$55,B54)</f>
        <v>-5.3</v>
      </c>
      <c r="M54" s="30">
        <f>Data!$Z$21</f>
        <v>5.1000000000001877E-2</v>
      </c>
      <c r="N54" s="29" t="e">
        <f ca="1">INDEX(Data!$Z$22:$Z$55,B54)</f>
        <v>#VALUE!</v>
      </c>
      <c r="O54" s="29">
        <f>Data!$N$21</f>
        <v>97.95</v>
      </c>
      <c r="P54" s="29" t="e">
        <f t="shared" ca="1" si="3"/>
        <v>#VALUE!</v>
      </c>
      <c r="Q54" s="28" t="str">
        <f ca="1">INDEX(Data!$M$22:$M$55,B54)</f>
        <v>用户输入</v>
      </c>
      <c r="R54" s="29" t="e">
        <f ca="1">INDEX(Data!$I$22:$I$55,B54)</f>
        <v>#VALUE!</v>
      </c>
    </row>
    <row r="55" spans="1:18" x14ac:dyDescent="0.2">
      <c r="A55" s="13">
        <v>33</v>
      </c>
      <c r="B55" s="12">
        <f ca="1">MATCH(A55,Data!$AE$22:$AE$55,0)</f>
        <v>33</v>
      </c>
      <c r="C55" s="50">
        <f ca="1">HYPERLINK("reuters://REALTIME/verb=FullQuote/ric="&amp;INDEX(Data!$C$22:$C$55,B55),INDEX(Data!$C$22:$C$55,B55))</f>
        <v>0</v>
      </c>
      <c r="D55" s="28" t="str">
        <f ca="1">INDEX(Data!$E$22:$E$55,B55)</f>
        <v>*The record could not be found</v>
      </c>
      <c r="E55" s="29">
        <f ca="1">INDEX(Data!$J$22:$J$55,B55)</f>
        <v>0</v>
      </c>
      <c r="F55" s="40">
        <f ca="1">INDEX(Data!$K$22:$K$55,B55)+INDEX(Data!$L$22:$L$55,B55)</f>
        <v>42082</v>
      </c>
      <c r="G55" s="44" t="e">
        <f ca="1">IF(MONTH(INDEX(Data!$G$22:$G$55,B55))-MONTH(TODAY())=0,(YEAR(INDEX(Data!$G$22:$G$55,B55))-YEAR(TODAY()))&amp;"Y    ",IF(MONTH(INDEX(Data!$G$22:$G$55,B55))-MONTH(TODAY())&gt;0,(YEAR(INDEX(Data!$G$22:$G$55,B55))-YEAR(TODAY()))&amp;"Y"&amp;(MONTH(INDEX(Data!$G$22:$G$55,B55))-MONTH(TODAY()))&amp;"M",(YEAR(INDEX(Data!$G$22:$G$55,B55))-YEAR(TODAY())-1)&amp;"Y"&amp;(MONTH(INDEX(Data!$G$22:$G$55,B55))-MONTH(TODAY())+12)&amp;"M"))&amp;TEXT(INDEX(Data!$G$22:$G$55,B55)," yyyy-mm-dd")</f>
        <v>#VALUE!</v>
      </c>
      <c r="H55" s="30" t="e">
        <f ca="1">INDEX(Data!$V$22:$V$55,B55)</f>
        <v>#VALUE!</v>
      </c>
      <c r="I55" s="30" t="e">
        <f ca="1">Data!W54</f>
        <v>#VALUE!</v>
      </c>
      <c r="J55" s="31" t="e">
        <f ca="1">INDEX(Data!$N$22:$N$55,B55)</f>
        <v>#VALUE!</v>
      </c>
      <c r="K55" s="31" t="e">
        <f ca="1">INDEX(Data!$AB$22:$AB$55,B55)</f>
        <v>#VALUE!</v>
      </c>
      <c r="L55" s="30">
        <f ca="1">INDEX(Data!$T$22:$T$55,B55)</f>
        <v>-5.4</v>
      </c>
      <c r="M55" s="30">
        <f>Data!$Z$21</f>
        <v>5.1000000000001877E-2</v>
      </c>
      <c r="N55" s="29" t="e">
        <f ca="1">INDEX(Data!$Z$22:$Z$55,B55)</f>
        <v>#VALUE!</v>
      </c>
      <c r="O55" s="29">
        <f>Data!$N$21</f>
        <v>97.95</v>
      </c>
      <c r="P55" s="29" t="e">
        <f t="shared" ca="1" si="3"/>
        <v>#VALUE!</v>
      </c>
      <c r="Q55" s="28" t="str">
        <f ca="1">INDEX(Data!$M$22:$M$55,B55)</f>
        <v>用户输入</v>
      </c>
      <c r="R55" s="29" t="e">
        <f ca="1">INDEX(Data!$I$22:$I$55,B55)</f>
        <v>#VALUE!</v>
      </c>
    </row>
    <row r="56" spans="1:18" x14ac:dyDescent="0.2">
      <c r="A56" s="13">
        <v>34</v>
      </c>
      <c r="B56" s="12">
        <f ca="1">MATCH(A56,Data!$AE$22:$AE$55,0)</f>
        <v>34</v>
      </c>
      <c r="C56" s="50">
        <f ca="1">HYPERLINK("reuters://REALTIME/verb=FullQuote/ric="&amp;INDEX(Data!$C$22:$C$55,B56),INDEX(Data!$C$22:$C$55,B56))</f>
        <v>0</v>
      </c>
      <c r="D56" s="28" t="str">
        <f ca="1">INDEX(Data!$E$22:$E$55,B56)</f>
        <v>*The record could not be found</v>
      </c>
      <c r="E56" s="29">
        <f ca="1">INDEX(Data!$J$22:$J$55,B56)</f>
        <v>0</v>
      </c>
      <c r="F56" s="40">
        <f ca="1">INDEX(Data!$K$22:$K$55,B56)+INDEX(Data!$L$22:$L$55,B56)</f>
        <v>42082</v>
      </c>
      <c r="G56" s="44" t="e">
        <f ca="1">IF(MONTH(INDEX(Data!$G$22:$G$55,B56))-MONTH(TODAY())=0,(YEAR(INDEX(Data!$G$22:$G$55,B56))-YEAR(TODAY()))&amp;"Y    ",IF(MONTH(INDEX(Data!$G$22:$G$55,B56))-MONTH(TODAY())&gt;0,(YEAR(INDEX(Data!$G$22:$G$55,B56))-YEAR(TODAY()))&amp;"Y"&amp;(MONTH(INDEX(Data!$G$22:$G$55,B56))-MONTH(TODAY()))&amp;"M",(YEAR(INDEX(Data!$G$22:$G$55,B56))-YEAR(TODAY())-1)&amp;"Y"&amp;(MONTH(INDEX(Data!$G$22:$G$55,B56))-MONTH(TODAY())+12)&amp;"M"))&amp;TEXT(INDEX(Data!$G$22:$G$55,B56)," yyyy-mm-dd")</f>
        <v>#VALUE!</v>
      </c>
      <c r="H56" s="30" t="e">
        <f ca="1">INDEX(Data!$V$22:$V$55,B56)</f>
        <v>#VALUE!</v>
      </c>
      <c r="I56" s="30" t="e">
        <f ca="1">Data!W55</f>
        <v>#VALUE!</v>
      </c>
      <c r="J56" s="31" t="e">
        <f ca="1">INDEX(Data!$N$22:$N$55,B56)</f>
        <v>#VALUE!</v>
      </c>
      <c r="K56" s="31" t="e">
        <f ca="1">INDEX(Data!$AB$22:$AB$55,B56)</f>
        <v>#VALUE!</v>
      </c>
      <c r="L56" s="30">
        <f ca="1">INDEX(Data!$T$22:$T$55,B56)</f>
        <v>-5.5</v>
      </c>
      <c r="M56" s="30">
        <f>Data!$Z$21</f>
        <v>5.1000000000001877E-2</v>
      </c>
      <c r="N56" s="29" t="e">
        <f ca="1">INDEX(Data!$Z$22:$Z$55,B56)</f>
        <v>#VALUE!</v>
      </c>
      <c r="O56" s="29">
        <f>Data!$N$21</f>
        <v>97.95</v>
      </c>
      <c r="P56" s="29" t="e">
        <f t="shared" ca="1" si="3"/>
        <v>#VALUE!</v>
      </c>
      <c r="Q56" s="28" t="str">
        <f ca="1">INDEX(Data!$M$22:$M$55,B56)</f>
        <v>用户输入</v>
      </c>
      <c r="R56" s="29" t="e">
        <f ca="1">INDEX(Data!$I$22:$I$55,B56)</f>
        <v>#VALUE!</v>
      </c>
    </row>
  </sheetData>
  <mergeCells count="2">
    <mergeCell ref="A22:R22"/>
    <mergeCell ref="A12:R12"/>
  </mergeCells>
  <phoneticPr fontId="3" type="noConversion"/>
  <conditionalFormatting sqref="A23:R56 A14:R21">
    <cfRule type="expression" dxfId="4" priority="7">
      <formula>$E14=0</formula>
    </cfRule>
    <cfRule type="expression" dxfId="3" priority="8">
      <formula>ISERR($F14)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66675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Line="0" autoPict="0">
                <anchor moveWithCells="1">
                  <from>
                    <xdr:col>5</xdr:col>
                    <xdr:colOff>600075</xdr:colOff>
                    <xdr:row>1</xdr:row>
                    <xdr:rowOff>0</xdr:rowOff>
                  </from>
                  <to>
                    <xdr:col>6</xdr:col>
                    <xdr:colOff>933450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8</xdr:col>
                    <xdr:colOff>152400</xdr:colOff>
                    <xdr:row>1</xdr:row>
                    <xdr:rowOff>0</xdr:rowOff>
                  </from>
                  <to>
                    <xdr:col>9</xdr:col>
                    <xdr:colOff>295275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11</xdr:col>
                    <xdr:colOff>104775</xdr:colOff>
                    <xdr:row>1</xdr:row>
                    <xdr:rowOff>0</xdr:rowOff>
                  </from>
                  <to>
                    <xdr:col>12</xdr:col>
                    <xdr:colOff>361950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14</xdr:col>
                    <xdr:colOff>133350</xdr:colOff>
                    <xdr:row>0</xdr:row>
                    <xdr:rowOff>66675</xdr:rowOff>
                  </from>
                  <to>
                    <xdr:col>16</xdr:col>
                    <xdr:colOff>161925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Drop Down 10">
              <controlPr defaultSize="0" autoLine="0" autoPict="0">
                <anchor moveWithCells="1">
                  <from>
                    <xdr:col>16</xdr:col>
                    <xdr:colOff>285750</xdr:colOff>
                    <xdr:row>0</xdr:row>
                    <xdr:rowOff>66675</xdr:rowOff>
                  </from>
                  <to>
                    <xdr:col>18</xdr:col>
                    <xdr:colOff>76200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14A69B8-48DD-4E76-94CF-FB3E281DEBD7}">
            <xm:f>$A5=Data!$H$10</xm:f>
            <x14:dxf>
              <font>
                <b/>
                <i val="0"/>
              </font>
            </x14:dxf>
          </x14:cfRule>
          <xm:sqref>C5:N10</xm:sqref>
        </x14:conditionalFormatting>
        <x14:conditionalFormatting xmlns:xm="http://schemas.microsoft.com/office/excel/2006/main">
          <x14:cfRule type="expression" priority="10" id="{D661DBB0-96D6-420E-A8BB-49D81ADD6FF1}">
            <xm:f>$A5=Data!$H$10</xm:f>
            <x14:dxf>
              <font>
                <color rgb="FFFF0000"/>
              </font>
            </x14:dxf>
          </x14:cfRule>
          <xm:sqref>F5:F10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4"/>
  <sheetViews>
    <sheetView workbookViewId="0">
      <selection activeCell="AF50" sqref="AF50"/>
    </sheetView>
  </sheetViews>
  <sheetFormatPr defaultRowHeight="12.75" x14ac:dyDescent="0.2"/>
  <cols>
    <col min="1" max="1" width="13.140625" bestFit="1" customWidth="1"/>
    <col min="2" max="2" width="15" customWidth="1"/>
    <col min="3" max="3" width="16.5703125" customWidth="1"/>
    <col min="4" max="4" width="16" customWidth="1"/>
    <col min="5" max="5" width="5.7109375" bestFit="1" customWidth="1"/>
    <col min="6" max="6" width="10.140625" bestFit="1" customWidth="1"/>
    <col min="9" max="9" width="11.42578125" bestFit="1" customWidth="1"/>
    <col min="12" max="12" width="10.140625" bestFit="1" customWidth="1"/>
    <col min="14" max="14" width="10.140625" bestFit="1" customWidth="1"/>
    <col min="15" max="15" width="11.42578125" bestFit="1" customWidth="1"/>
    <col min="16" max="16" width="11.28515625" bestFit="1" customWidth="1"/>
    <col min="17" max="17" width="9.7109375" bestFit="1" customWidth="1"/>
    <col min="18" max="18" width="10.42578125" customWidth="1"/>
    <col min="19" max="19" width="11.28515625" bestFit="1" customWidth="1"/>
    <col min="20" max="20" width="14.85546875" customWidth="1"/>
    <col min="21" max="21" width="10.85546875" customWidth="1"/>
  </cols>
  <sheetData>
    <row r="1" spans="1:28" x14ac:dyDescent="0.2">
      <c r="Z1" t="s">
        <v>90</v>
      </c>
      <c r="AA1" t="s">
        <v>91</v>
      </c>
      <c r="AB1" t="s">
        <v>92</v>
      </c>
    </row>
    <row r="2" spans="1:28" x14ac:dyDescent="0.2">
      <c r="A2" t="s">
        <v>25</v>
      </c>
      <c r="B2" t="s">
        <v>20</v>
      </c>
      <c r="C2" t="s">
        <v>21</v>
      </c>
      <c r="D2" t="s">
        <v>23</v>
      </c>
      <c r="E2" t="s">
        <v>22</v>
      </c>
      <c r="F2" t="s">
        <v>24</v>
      </c>
      <c r="H2" t="s">
        <v>33</v>
      </c>
      <c r="I2" s="5">
        <v>78</v>
      </c>
      <c r="J2" s="5">
        <v>436</v>
      </c>
      <c r="K2" s="5">
        <v>441</v>
      </c>
      <c r="L2" s="5">
        <v>6</v>
      </c>
      <c r="M2" s="5">
        <v>18</v>
      </c>
      <c r="N2" s="5">
        <v>16</v>
      </c>
      <c r="O2" s="5">
        <v>67</v>
      </c>
      <c r="P2" s="5">
        <v>32</v>
      </c>
      <c r="Q2" s="5">
        <v>64</v>
      </c>
      <c r="R2" s="5">
        <v>70</v>
      </c>
      <c r="S2" s="5">
        <v>21</v>
      </c>
      <c r="U2" t="str">
        <f>INDEX(U12:U14,V12)</f>
        <v>2WD</v>
      </c>
      <c r="Z2" t="s">
        <v>93</v>
      </c>
      <c r="AA2" t="s">
        <v>94</v>
      </c>
      <c r="AB2">
        <v>1</v>
      </c>
    </row>
    <row r="3" spans="1:28" x14ac:dyDescent="0.2">
      <c r="A3" s="1" t="s">
        <v>26</v>
      </c>
      <c r="B3" t="s">
        <v>13</v>
      </c>
      <c r="C3">
        <v>393</v>
      </c>
      <c r="D3">
        <v>831</v>
      </c>
      <c r="E3">
        <v>393</v>
      </c>
      <c r="F3">
        <v>831</v>
      </c>
      <c r="H3" t="s">
        <v>8</v>
      </c>
      <c r="I3" t="str">
        <f>_xll.RData($H$3:$H$8,I2:R2)</f>
        <v xml:space="preserve">      TF1506</v>
      </c>
      <c r="J3">
        <v>97.94</v>
      </c>
      <c r="K3">
        <v>97.95</v>
      </c>
      <c r="L3">
        <v>97.95</v>
      </c>
      <c r="M3">
        <v>0.5805555555555556</v>
      </c>
      <c r="N3">
        <v>42082</v>
      </c>
      <c r="O3" s="3">
        <v>42167</v>
      </c>
      <c r="P3">
        <v>6980</v>
      </c>
      <c r="Q3">
        <v>37590</v>
      </c>
      <c r="R3">
        <v>0</v>
      </c>
      <c r="S3">
        <v>97.945000000000007</v>
      </c>
      <c r="T3" t="s">
        <v>42</v>
      </c>
      <c r="U3" s="3">
        <f>_xll.DfAddPeriod("CHN",O3,$U$2)</f>
        <v>42171</v>
      </c>
      <c r="V3" t="str">
        <f>TRIM(I3)</f>
        <v>TF1506</v>
      </c>
      <c r="W3" t="str">
        <f>INDEX($AA$2:$AA$13,RIGHT(V3,2)*1)&amp;MID(V3,3,2)</f>
        <v>M15</v>
      </c>
      <c r="Z3" t="s">
        <v>95</v>
      </c>
      <c r="AA3" t="s">
        <v>96</v>
      </c>
      <c r="AB3">
        <v>2</v>
      </c>
    </row>
    <row r="4" spans="1:28" x14ac:dyDescent="0.2">
      <c r="A4" s="1" t="s">
        <v>144</v>
      </c>
      <c r="B4" t="s">
        <v>14</v>
      </c>
      <c r="C4">
        <v>393</v>
      </c>
      <c r="D4">
        <v>831</v>
      </c>
      <c r="E4">
        <v>393</v>
      </c>
      <c r="F4">
        <v>831</v>
      </c>
      <c r="H4" t="s">
        <v>9</v>
      </c>
      <c r="I4" t="s">
        <v>163</v>
      </c>
      <c r="J4">
        <v>98.31</v>
      </c>
      <c r="K4">
        <v>98.33</v>
      </c>
      <c r="L4">
        <v>98.314999999999998</v>
      </c>
      <c r="M4">
        <v>0.5805555555555556</v>
      </c>
      <c r="N4">
        <v>42082</v>
      </c>
      <c r="O4" s="3">
        <v>42258</v>
      </c>
      <c r="P4">
        <v>334</v>
      </c>
      <c r="Q4">
        <v>4504</v>
      </c>
      <c r="R4">
        <v>0</v>
      </c>
      <c r="S4">
        <v>98.33</v>
      </c>
      <c r="T4" t="s">
        <v>42</v>
      </c>
      <c r="U4" s="3">
        <f>_xll.DfAddPeriod("CHN",O4,$U$2)</f>
        <v>42262</v>
      </c>
      <c r="V4" t="str">
        <f t="shared" ref="V4:V8" si="0">TRIM(I4)</f>
        <v>TF1509</v>
      </c>
      <c r="W4" t="str">
        <f t="shared" ref="W4:W8" si="1">INDEX($AA$2:$AA$13,RIGHT(V4,2)*1)&amp;MID(V4,3,2)</f>
        <v>U15</v>
      </c>
      <c r="Z4" t="s">
        <v>97</v>
      </c>
      <c r="AA4" t="s">
        <v>98</v>
      </c>
      <c r="AB4">
        <v>3</v>
      </c>
    </row>
    <row r="5" spans="1:28" x14ac:dyDescent="0.2">
      <c r="A5" s="1" t="s">
        <v>27</v>
      </c>
      <c r="B5" t="s">
        <v>15</v>
      </c>
      <c r="C5">
        <v>393</v>
      </c>
      <c r="D5">
        <v>831</v>
      </c>
      <c r="E5">
        <v>393</v>
      </c>
      <c r="F5">
        <v>831</v>
      </c>
      <c r="H5" t="s">
        <v>10</v>
      </c>
      <c r="I5" t="s">
        <v>164</v>
      </c>
      <c r="J5">
        <v>98.850000000000009</v>
      </c>
      <c r="K5">
        <v>98.885000000000005</v>
      </c>
      <c r="L5">
        <v>98.875</v>
      </c>
      <c r="M5">
        <v>0.57708333333333328</v>
      </c>
      <c r="N5">
        <v>42082</v>
      </c>
      <c r="O5" s="3">
        <v>42349</v>
      </c>
      <c r="P5">
        <v>25</v>
      </c>
      <c r="Q5">
        <v>152</v>
      </c>
      <c r="R5">
        <v>0</v>
      </c>
      <c r="S5">
        <v>98.835000000000008</v>
      </c>
      <c r="T5" t="s">
        <v>42</v>
      </c>
      <c r="U5" s="3">
        <f>_xll.DfAddPeriod("CHN",O5,$U$2)</f>
        <v>42353</v>
      </c>
      <c r="V5" t="str">
        <f t="shared" si="0"/>
        <v>TF1512</v>
      </c>
      <c r="W5" t="str">
        <f t="shared" si="1"/>
        <v>Z15</v>
      </c>
      <c r="Z5" t="s">
        <v>99</v>
      </c>
      <c r="AA5" t="s">
        <v>100</v>
      </c>
      <c r="AB5">
        <v>4</v>
      </c>
    </row>
    <row r="6" spans="1:28" x14ac:dyDescent="0.2">
      <c r="A6" s="1" t="s">
        <v>28</v>
      </c>
      <c r="B6" t="s">
        <v>16</v>
      </c>
      <c r="C6">
        <v>393</v>
      </c>
      <c r="D6">
        <v>831</v>
      </c>
      <c r="E6">
        <v>393</v>
      </c>
      <c r="F6">
        <v>831</v>
      </c>
      <c r="H6" t="s">
        <v>160</v>
      </c>
      <c r="I6" t="s">
        <v>165</v>
      </c>
      <c r="J6">
        <v>0</v>
      </c>
      <c r="K6">
        <v>0</v>
      </c>
      <c r="L6">
        <v>0</v>
      </c>
      <c r="M6" t="s">
        <v>157</v>
      </c>
      <c r="N6" t="s">
        <v>149</v>
      </c>
      <c r="O6">
        <v>42258</v>
      </c>
      <c r="P6">
        <v>0</v>
      </c>
      <c r="Q6">
        <v>0</v>
      </c>
      <c r="R6">
        <v>0</v>
      </c>
      <c r="S6">
        <v>0</v>
      </c>
      <c r="T6" t="s">
        <v>42</v>
      </c>
      <c r="U6" s="3">
        <f>_xll.DfAddPeriod("CHN",O6,$U$2)</f>
        <v>42262</v>
      </c>
      <c r="V6" t="str">
        <f t="shared" si="0"/>
        <v>T1509</v>
      </c>
      <c r="W6" t="str">
        <f>INDEX($AA$2:$AA$13,RIGHT(V6,2)*1)&amp;MID(V6,2,2)</f>
        <v>U15</v>
      </c>
      <c r="Z6" t="s">
        <v>101</v>
      </c>
      <c r="AA6" t="s">
        <v>102</v>
      </c>
      <c r="AB6">
        <v>5</v>
      </c>
    </row>
    <row r="7" spans="1:28" x14ac:dyDescent="0.2">
      <c r="A7" s="1" t="s">
        <v>29</v>
      </c>
      <c r="B7" t="s">
        <v>17</v>
      </c>
      <c r="C7">
        <v>393</v>
      </c>
      <c r="D7">
        <v>831</v>
      </c>
      <c r="E7">
        <v>275</v>
      </c>
      <c r="F7">
        <v>2443</v>
      </c>
      <c r="H7" t="s">
        <v>161</v>
      </c>
      <c r="I7" t="s">
        <v>166</v>
      </c>
      <c r="J7">
        <v>0</v>
      </c>
      <c r="K7">
        <v>0</v>
      </c>
      <c r="L7">
        <v>0</v>
      </c>
      <c r="M7" t="s">
        <v>157</v>
      </c>
      <c r="N7" t="s">
        <v>149</v>
      </c>
      <c r="O7">
        <v>42349</v>
      </c>
      <c r="P7">
        <v>0</v>
      </c>
      <c r="Q7">
        <v>0</v>
      </c>
      <c r="R7">
        <v>0</v>
      </c>
      <c r="S7">
        <v>0</v>
      </c>
      <c r="T7" t="s">
        <v>42</v>
      </c>
      <c r="U7" s="3">
        <f>_xll.DfAddPeriod("CHN",O7,$U$2)</f>
        <v>42353</v>
      </c>
      <c r="V7" t="str">
        <f t="shared" si="0"/>
        <v>T1512</v>
      </c>
      <c r="W7" t="str">
        <f>INDEX($AA$2:$AA$13,RIGHT(V7,2)*1)&amp;MID(V7,2,2)</f>
        <v>Z15</v>
      </c>
      <c r="Z7" t="s">
        <v>103</v>
      </c>
      <c r="AA7" t="s">
        <v>104</v>
      </c>
      <c r="AB7">
        <v>6</v>
      </c>
    </row>
    <row r="8" spans="1:28" x14ac:dyDescent="0.2">
      <c r="A8" s="1" t="s">
        <v>30</v>
      </c>
      <c r="B8" t="s">
        <v>18</v>
      </c>
      <c r="C8">
        <v>393</v>
      </c>
      <c r="D8">
        <v>1709</v>
      </c>
      <c r="E8">
        <v>393</v>
      </c>
      <c r="F8">
        <v>1709</v>
      </c>
      <c r="H8" t="s">
        <v>162</v>
      </c>
      <c r="I8" t="s">
        <v>167</v>
      </c>
      <c r="J8">
        <v>0</v>
      </c>
      <c r="K8">
        <v>0</v>
      </c>
      <c r="L8">
        <v>0</v>
      </c>
      <c r="M8" t="s">
        <v>157</v>
      </c>
      <c r="N8" t="s">
        <v>149</v>
      </c>
      <c r="O8">
        <v>42440</v>
      </c>
      <c r="P8">
        <v>0</v>
      </c>
      <c r="Q8">
        <v>0</v>
      </c>
      <c r="R8">
        <v>0</v>
      </c>
      <c r="S8">
        <v>0</v>
      </c>
      <c r="T8" t="s">
        <v>42</v>
      </c>
      <c r="U8" s="3">
        <f>_xll.DfAddPeriod("CHN",O8,$U$2)</f>
        <v>42444</v>
      </c>
      <c r="V8" t="str">
        <f t="shared" si="0"/>
        <v>T1603</v>
      </c>
      <c r="W8" t="str">
        <f>INDEX($AA$2:$AA$13,RIGHT(V8,2)*1)&amp;MID(V8,2,2)</f>
        <v>H16</v>
      </c>
      <c r="Z8" t="s">
        <v>105</v>
      </c>
      <c r="AA8" t="s">
        <v>106</v>
      </c>
      <c r="AB8">
        <v>7</v>
      </c>
    </row>
    <row r="9" spans="1:28" x14ac:dyDescent="0.2">
      <c r="A9" s="1" t="s">
        <v>31</v>
      </c>
      <c r="B9" t="s">
        <v>19</v>
      </c>
      <c r="C9">
        <v>393</v>
      </c>
      <c r="D9">
        <v>831</v>
      </c>
      <c r="E9">
        <v>275</v>
      </c>
      <c r="F9">
        <v>831</v>
      </c>
      <c r="Z9" t="s">
        <v>107</v>
      </c>
      <c r="AA9" t="s">
        <v>108</v>
      </c>
      <c r="AB9">
        <v>8</v>
      </c>
    </row>
    <row r="10" spans="1:28" x14ac:dyDescent="0.2">
      <c r="A10" s="1" t="s">
        <v>32</v>
      </c>
      <c r="B10" t="str">
        <f>""</f>
        <v/>
      </c>
      <c r="C10">
        <v>393</v>
      </c>
      <c r="D10">
        <v>831</v>
      </c>
      <c r="E10">
        <v>275</v>
      </c>
      <c r="F10">
        <v>831</v>
      </c>
      <c r="H10">
        <v>1</v>
      </c>
      <c r="Z10" t="s">
        <v>109</v>
      </c>
      <c r="AA10" t="s">
        <v>110</v>
      </c>
      <c r="AB10">
        <v>9</v>
      </c>
    </row>
    <row r="11" spans="1:28" x14ac:dyDescent="0.2">
      <c r="Z11" t="s">
        <v>111</v>
      </c>
      <c r="AA11" t="s">
        <v>112</v>
      </c>
      <c r="AB11">
        <v>10</v>
      </c>
    </row>
    <row r="12" spans="1:28" x14ac:dyDescent="0.2">
      <c r="H12" s="1" t="s">
        <v>39</v>
      </c>
      <c r="I12">
        <v>2</v>
      </c>
      <c r="K12" t="s">
        <v>49</v>
      </c>
      <c r="L12">
        <v>4</v>
      </c>
      <c r="P12">
        <v>393</v>
      </c>
      <c r="Q12">
        <v>1010</v>
      </c>
      <c r="R12">
        <v>875</v>
      </c>
      <c r="T12" s="1" t="s">
        <v>128</v>
      </c>
      <c r="U12" t="s">
        <v>131</v>
      </c>
      <c r="V12">
        <v>2</v>
      </c>
      <c r="Z12" t="s">
        <v>113</v>
      </c>
      <c r="AA12" t="s">
        <v>114</v>
      </c>
      <c r="AB12">
        <v>11</v>
      </c>
    </row>
    <row r="13" spans="1:28" x14ac:dyDescent="0.2">
      <c r="A13" s="1"/>
      <c r="H13" s="1" t="s">
        <v>40</v>
      </c>
      <c r="K13" t="s">
        <v>50</v>
      </c>
      <c r="O13" t="s">
        <v>58</v>
      </c>
      <c r="P13">
        <f>_xll.RData(O13:O15,P12:R12)</f>
        <v>4.4800000000000004</v>
      </c>
      <c r="Q13" s="2">
        <v>0.4598726851851852</v>
      </c>
      <c r="R13" s="3">
        <v>42082</v>
      </c>
      <c r="T13" s="1" t="s">
        <v>129</v>
      </c>
      <c r="U13" t="s">
        <v>127</v>
      </c>
      <c r="Z13" t="s">
        <v>115</v>
      </c>
      <c r="AA13" t="s">
        <v>116</v>
      </c>
      <c r="AB13">
        <v>12</v>
      </c>
    </row>
    <row r="14" spans="1:28" x14ac:dyDescent="0.2">
      <c r="A14" s="1" t="s">
        <v>27</v>
      </c>
      <c r="B14" t="s">
        <v>15</v>
      </c>
      <c r="H14" s="1" t="s">
        <v>41</v>
      </c>
      <c r="K14" t="s">
        <v>51</v>
      </c>
      <c r="O14" t="s">
        <v>2</v>
      </c>
      <c r="P14">
        <v>4.28</v>
      </c>
      <c r="Q14" s="2">
        <v>0.5703125</v>
      </c>
      <c r="R14" s="3">
        <v>42082</v>
      </c>
      <c r="T14" s="1" t="s">
        <v>130</v>
      </c>
      <c r="U14" t="s">
        <v>132</v>
      </c>
    </row>
    <row r="15" spans="1:28" x14ac:dyDescent="0.2">
      <c r="A15" s="1" t="s">
        <v>28</v>
      </c>
      <c r="B15" t="s">
        <v>16</v>
      </c>
      <c r="K15" t="s">
        <v>86</v>
      </c>
      <c r="O15" t="s">
        <v>2</v>
      </c>
      <c r="P15">
        <v>4.28</v>
      </c>
      <c r="Q15" s="2">
        <v>0.5703125</v>
      </c>
      <c r="R15" s="3">
        <v>42082</v>
      </c>
    </row>
    <row r="16" spans="1:28" x14ac:dyDescent="0.2">
      <c r="A16" s="1" t="s">
        <v>122</v>
      </c>
      <c r="B16" t="s">
        <v>122</v>
      </c>
      <c r="K16" s="1" t="s">
        <v>140</v>
      </c>
      <c r="N16" s="3">
        <f>INDEX(U3:U8,H10)</f>
        <v>42171</v>
      </c>
      <c r="P16">
        <f>_xll.AdInterp(N16,I74:I84,J74:J84,"IM:LIN ND:DIS")</f>
        <v>5.1000000000001879</v>
      </c>
    </row>
    <row r="17" spans="1:52" x14ac:dyDescent="0.2">
      <c r="K17" s="1" t="s">
        <v>141</v>
      </c>
      <c r="N17" s="3">
        <f>N16</f>
        <v>42171</v>
      </c>
      <c r="P17">
        <f>_xll.AdInterp(N17,I74:I84,K74:K84,"IM:LIN ND:DIS")</f>
        <v>5.0559225806453725</v>
      </c>
    </row>
    <row r="20" spans="1:52" x14ac:dyDescent="0.2">
      <c r="A20">
        <v>5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  <c r="K20" t="s">
        <v>59</v>
      </c>
      <c r="L20" t="s">
        <v>60</v>
      </c>
      <c r="M20" t="s">
        <v>61</v>
      </c>
      <c r="N20" t="s">
        <v>43</v>
      </c>
      <c r="O20" s="7" t="s">
        <v>45</v>
      </c>
      <c r="P20" s="7"/>
      <c r="Q20" s="7"/>
      <c r="R20" s="7" t="s">
        <v>48</v>
      </c>
      <c r="S20" t="s">
        <v>47</v>
      </c>
      <c r="T20" t="s">
        <v>44</v>
      </c>
      <c r="U20" s="7" t="s">
        <v>53</v>
      </c>
      <c r="V20" s="7" t="s">
        <v>52</v>
      </c>
      <c r="W20" s="7" t="s">
        <v>120</v>
      </c>
      <c r="X20" s="7" t="s">
        <v>55</v>
      </c>
      <c r="Y20" s="7" t="s">
        <v>56</v>
      </c>
      <c r="Z20" s="7" t="s">
        <v>57</v>
      </c>
      <c r="AA20" s="7" t="s">
        <v>63</v>
      </c>
      <c r="AB20" s="7" t="s">
        <v>62</v>
      </c>
    </row>
    <row r="21" spans="1:52" x14ac:dyDescent="0.2">
      <c r="B21" s="5">
        <v>967</v>
      </c>
      <c r="C21" t="str">
        <f>INDEX(B3:B10,A20)</f>
        <v>CFXM</v>
      </c>
      <c r="D21" t="s">
        <v>125</v>
      </c>
      <c r="E21">
        <v>1352</v>
      </c>
      <c r="F21">
        <v>69</v>
      </c>
      <c r="G21">
        <v>68</v>
      </c>
      <c r="H21">
        <v>868</v>
      </c>
      <c r="I21">
        <v>995</v>
      </c>
      <c r="J21">
        <f>IF(I12=1,INDEX(C3:C10,A20),INDEX(E3:E10,A20))</f>
        <v>275</v>
      </c>
      <c r="K21">
        <v>1010</v>
      </c>
      <c r="L21">
        <v>875</v>
      </c>
      <c r="M21">
        <f>IF(I12=1,INDEX(D3:D10,A20),INDEX(F3:F10,A20))</f>
        <v>2443</v>
      </c>
      <c r="N21">
        <f>INDEX(L3:L8,H10)</f>
        <v>97.95</v>
      </c>
      <c r="O21" s="7" t="s">
        <v>46</v>
      </c>
      <c r="P21" s="7"/>
      <c r="Q21" s="7"/>
      <c r="U21" t="s">
        <v>54</v>
      </c>
      <c r="Z21">
        <f>INDEX(P13:P17,L12)/100</f>
        <v>5.1000000000001877E-2</v>
      </c>
      <c r="AC21">
        <f ca="1">COUNT(T22:T55)</f>
        <v>34</v>
      </c>
      <c r="AH21">
        <v>1028</v>
      </c>
      <c r="AK21" t="s">
        <v>82</v>
      </c>
      <c r="AL21" t="s">
        <v>82</v>
      </c>
    </row>
    <row r="22" spans="1:52" x14ac:dyDescent="0.2">
      <c r="A22" s="6" t="str">
        <f>INDEX($H$3:$H$8,$H$10)&amp;"=CTD"</f>
        <v>CTFc1=CTD</v>
      </c>
      <c r="B22" t="str">
        <f>LEFT(_xll.RData($A22,$B$21),9)</f>
        <v>CN150002=</v>
      </c>
      <c r="C22" t="str">
        <f>B22&amp;$C$21</f>
        <v>CN150002=CFXM</v>
      </c>
      <c r="D22" t="str">
        <f>B22&amp;$D$21</f>
        <v>CN150002=CFXM</v>
      </c>
      <c r="E22" t="str">
        <f>TRIM(_xll.RData(D22,$E$21))</f>
        <v>15附息国债02</v>
      </c>
      <c r="F22">
        <f>_xll.RData(B22,$F$21)</f>
        <v>3.36</v>
      </c>
      <c r="G22">
        <f>_xll.RData(B22,$G$21)</f>
        <v>44583</v>
      </c>
      <c r="H22" t="str">
        <f>TRIM(_xll.RData(B22,$H$21))</f>
        <v>每年</v>
      </c>
      <c r="I22">
        <f>TRIM(_xll.RData(A22,$I$21))*1</f>
        <v>1.0210999999999999</v>
      </c>
      <c r="J22">
        <f>_xll.RData(C22,$J$21)</f>
        <v>99.661900000000003</v>
      </c>
      <c r="K22" s="2">
        <f>_xll.RData(C22,$K$21)</f>
        <v>0.56119212962962961</v>
      </c>
      <c r="L22" s="3">
        <f>_xll.RData(C22,$L$21)</f>
        <v>42082</v>
      </c>
      <c r="M22" t="str">
        <f>_xll.RData(C22,$M$21)</f>
        <v xml:space="preserve">东方证券        </v>
      </c>
      <c r="N22">
        <f t="shared" ref="N22:N51" si="2">J22-$N$21*I22</f>
        <v>-0.3548449999999832</v>
      </c>
      <c r="O22" s="7" t="str">
        <f>_xll.RData(B22,$O$21:$Q$21)</f>
        <v xml:space="preserve">ACC:AA CCM:BBAA CFADJ:NO CLDR:CHN_FI DATED:22JAN2015 DMC:F EMC:S FRCD:22JAN2016 FRQ:1 ISSUE:21JAN2015 NOTIONAL:1 PX:C PXRND:1E-6:NEAR REFDATE:MATURITY RP:1 SETTLE:1WD XD:NO YLDRND:1E-6:NEAR </v>
      </c>
      <c r="P22" s="7"/>
      <c r="Q22" s="7"/>
      <c r="R22" s="3">
        <f ca="1">_xll.BdSettle(TODAY(),O22:Q22)</f>
        <v>42083</v>
      </c>
      <c r="S22" s="3">
        <f>INDEX($U$3:$U$8,$H$10)</f>
        <v>42171</v>
      </c>
      <c r="T22" s="8">
        <f ca="1">IF(OR(J22=0,LEFT(J22,1)="*"),-ROW()/10,_xll.BdRepo(R22,S22,J22,$N$21*I22,0,G22,F22,O22:Q22,"RR:MMA5 RES:IMPRATE FV:C NPV:C CF:NO"))</f>
        <v>4.8228003440570245E-2</v>
      </c>
      <c r="U22" t="str">
        <f>_xll.RData(B22,$U$21)</f>
        <v>CLDRADJ:NO DCB:AA EY:1 LLP:AA RATEFRQ:FRQ RATETYPE:ACT RM:YTA</v>
      </c>
      <c r="V22" s="9">
        <f ca="1">_xll.AdBondYield(R22,J22/100,G22,F22/100,O22:Q22,U22)</f>
        <v>3.415E-2</v>
      </c>
      <c r="W22" s="9">
        <f ca="1">_xll.AdBondYield(R22,$N$21/100*I22,G22,F22/100,O22:Q22,U22)</f>
        <v>3.356E-2</v>
      </c>
      <c r="X22">
        <f ca="1">_xll.AdAccrued(R22,G22,F22,O22:Q22)</f>
        <v>0.52471232876712326</v>
      </c>
      <c r="Y22">
        <f t="shared" ref="Y22:Y55" ca="1" si="3">J22+X22</f>
        <v>100.18661232876713</v>
      </c>
      <c r="Z22">
        <f ca="1">_xll.BdRepo(R22,S22,J22,0,$Z$21,G22,F22,O22:Q22,"RR:MMA5 RES:FV FV:C NPV:C CF:NO")/I22</f>
        <v>98.015572827400817</v>
      </c>
      <c r="AA22">
        <f ca="1">Z22-$N$21</f>
        <v>6.5572827400814049E-2</v>
      </c>
      <c r="AB22">
        <f t="shared" ref="AB22:AB55" ca="1" si="4">N22-AL22+Y22*$Z$21/365*(S22-R22)</f>
        <v>6.6956414058985114E-2</v>
      </c>
      <c r="AC22">
        <f t="shared" ref="AC22:AC55" ca="1" si="5">LARGE(OFFSET($T$22,0,0,$AC$21),AD22)</f>
        <v>4.8228003440570245E-2</v>
      </c>
      <c r="AD22">
        <v>1</v>
      </c>
      <c r="AE22">
        <f t="shared" ref="AE22:AE55" ca="1" si="6">MATCH(T22,$AC$22:$AC$55,0)</f>
        <v>1</v>
      </c>
      <c r="AF22">
        <f ca="1">LARGE(OFFSET($AH$22,0,0,$AC$21),AD22)</f>
        <v>42039</v>
      </c>
      <c r="AG22">
        <f ca="1">MATCH(AF22,$AH$22:$AH$55,0)</f>
        <v>3</v>
      </c>
      <c r="AH22">
        <f>_xll.RData(B22,$AH$21)</f>
        <v>42025</v>
      </c>
      <c r="AI22" t="str">
        <f ca="1">INDEX($E$22:$E$55,AG22)</f>
        <v>15附息国债03</v>
      </c>
      <c r="AJ22" t="str">
        <f ca="1">INDEX($B$22:$B$55,AG22)</f>
        <v>CN150003=</v>
      </c>
      <c r="AK22">
        <f ca="1">_xll.AdAccrued(S22,G22,F22,O22:Q22)-X22</f>
        <v>0.81008219178082175</v>
      </c>
      <c r="AL22">
        <f t="shared" ref="AL22:AL55" ca="1" si="7">IF(AK22&lt;0,AK22+F22/IF(H22="每半年",2,1),AK22)</f>
        <v>0.81008219178082175</v>
      </c>
      <c r="AM22">
        <f t="shared" ref="AM22:AM55" ca="1" si="8">-AL22+Y22*$Z$21*(S22-R22)/365</f>
        <v>0.42180141405896843</v>
      </c>
      <c r="AN22">
        <f t="shared" ref="AN22:AN55" ca="1" si="9">F22/365*(S22-R22)</f>
        <v>0.81008219178082186</v>
      </c>
      <c r="AO22">
        <f t="shared" ref="AO22:AO55" ca="1" si="10">Y22*$Z$21*(S22-R22)/365</f>
        <v>1.2318836058397902</v>
      </c>
      <c r="AP22">
        <f ca="1">AO22-AN22</f>
        <v>0.42180141405896832</v>
      </c>
      <c r="AQ22">
        <f t="shared" ref="AQ22:AQ55" ca="1" si="11">N22+AP22</f>
        <v>6.6956414058985114E-2</v>
      </c>
      <c r="AS22">
        <f>_xll.BdConvFactor("CTF",INDEX($W$3:$W$5,$H$10),G22,F22/100,O22)</f>
        <v>1.0210999999999999</v>
      </c>
      <c r="AT22">
        <f>_xll.BdConvFactor("CTF",INDEX($W$3:$W$5,$H$10),G22,F22/100)</f>
        <v>1.0213000000000001</v>
      </c>
      <c r="AU22">
        <f t="shared" ref="AU22:AU55" si="12">I22</f>
        <v>1.0210999999999999</v>
      </c>
      <c r="AV22" t="str">
        <f t="shared" ref="AV22:AV55" si="13">H22</f>
        <v>每年</v>
      </c>
      <c r="AW22" t="str">
        <f>IF(AV22="每年","FRQ:1","FRQ:2")</f>
        <v>FRQ:1</v>
      </c>
      <c r="AX22">
        <f>_xll.BdConvFactor("CTF",INDEX($W$3:$W$5,$H$10),G22,F22/100,AW22)</f>
        <v>1.0210999999999999</v>
      </c>
      <c r="AY22">
        <f>AX22-AU22</f>
        <v>0</v>
      </c>
      <c r="AZ22" s="52"/>
    </row>
    <row r="23" spans="1:52" x14ac:dyDescent="0.2">
      <c r="A23" s="6" t="str">
        <f>INDEX($H$3:$H$8,$H$10)&amp;"=CTD"&amp;(ROW()-21)</f>
        <v>CTFc1=CTD2</v>
      </c>
      <c r="B23" t="str">
        <f>LEFT(_xll.RData($A23,$B$21),9)</f>
        <v>CN140024=</v>
      </c>
      <c r="C23" t="str">
        <f t="shared" ref="C23:C51" si="14">B23&amp;$C$21</f>
        <v>CN140024=CFXM</v>
      </c>
      <c r="D23" t="str">
        <f t="shared" ref="D23:D52" si="15">B23&amp;$D$21</f>
        <v>CN140024=CFXM</v>
      </c>
      <c r="E23" t="str">
        <f>TRIM(_xll.RData(D23,$E$21))</f>
        <v>14附息国债24</v>
      </c>
      <c r="F23">
        <f>_xll.RData(B23,$F$21)</f>
        <v>3.7</v>
      </c>
      <c r="G23">
        <f>_xll.RData(B23,$G$21)</f>
        <v>44492</v>
      </c>
      <c r="H23" t="str">
        <f>TRIM(_xll.RData(B23,$H$21))</f>
        <v>每年</v>
      </c>
      <c r="I23">
        <f>TRIM(_xll.RData(A23,$I$21))*1</f>
        <v>1.0397000000000001</v>
      </c>
      <c r="J23">
        <f>_xll.RData(C23,$J$21)</f>
        <v>101.55460000000001</v>
      </c>
      <c r="K23" s="2">
        <f>_xll.RData(C23,$K$21)</f>
        <v>0.56766203703703699</v>
      </c>
      <c r="L23" s="3">
        <f>_xll.RData(C23,$L$21)</f>
        <v>42082</v>
      </c>
      <c r="M23" t="str">
        <f>_xll.RData(C23,$M$21)</f>
        <v xml:space="preserve">西南证券        </v>
      </c>
      <c r="N23">
        <f t="shared" si="2"/>
        <v>-0.28401499999999658</v>
      </c>
      <c r="O23" s="7" t="str">
        <f>_xll.RData(B23,$O$21:$Q$21)</f>
        <v xml:space="preserve">ACC:AA CCM:BBAA CFADJ:NO CLDR:CHN_FI DATED:23OCT2014 DMC:F EMC:S FRCD:23OCT2015 FRQ:1 ISSUE:22OCT2014 NOTIONAL:1 PX:C PXRND:1E-6:NEAR REFDATE:MATURITY RP:1 SETTLE:1WD XD:NO YLDRND:1E-6:NEAR </v>
      </c>
      <c r="P23" s="7"/>
      <c r="Q23" s="7"/>
      <c r="R23">
        <f ca="1">R22</f>
        <v>42083</v>
      </c>
      <c r="S23">
        <f>S22</f>
        <v>42171</v>
      </c>
      <c r="T23" s="8">
        <f ca="1">IF(OR(J23=0,LEFT(J23,1)="*"),-ROW()/10,_xll.BdRepo(R23,S23,J23,$N$21*I23,0,G23,F23,O23:Q23,"RR:MMA5 RES:IMPRATE FV:C NPV:C CF:NO"))</f>
        <v>4.7334168422353953E-2</v>
      </c>
      <c r="U23" t="str">
        <f>_xll.RData(B23,$U$21)</f>
        <v>CLDRADJ:NO DCB:AA EY:1 LLP:AA RATEFRQ:FRQ RATETYPE:ACT RM:YTA</v>
      </c>
      <c r="V23" s="9">
        <f ca="1">_xll.AdBondYield(R23,J23/100,G23,F23/100,O23:Q23,U23)</f>
        <v>3.4299999999999997E-2</v>
      </c>
      <c r="W23" s="9">
        <f ca="1">_xll.AdBondYield(R23,$N$21/100*I23,G23,F23/100,O23:Q23,U23)</f>
        <v>3.3817E-2</v>
      </c>
      <c r="X23">
        <f ca="1">_xll.AdAccrued(R23,G23,F23,O23:Q23)</f>
        <v>1.5002739726027399</v>
      </c>
      <c r="Y23">
        <f t="shared" ca="1" si="3"/>
        <v>103.05487397260275</v>
      </c>
      <c r="Z23">
        <f ca="1">_xll.BdRepo(R23,S23,J23,0,$Z$21,G23,F23,O23:Q23,"RR:MMA5 RES:FV FV:C NPV:C CF:NO")/I23</f>
        <v>98.037603772397617</v>
      </c>
      <c r="AA23">
        <f t="shared" ref="AA23:AA66" ca="1" si="16">Z23-$N$21</f>
        <v>8.7603772397613966E-2</v>
      </c>
      <c r="AB23">
        <f t="shared" ca="1" si="4"/>
        <v>9.1081642161806364E-2</v>
      </c>
      <c r="AC23">
        <f t="shared" ca="1" si="5"/>
        <v>4.7334168422353953E-2</v>
      </c>
      <c r="AD23">
        <v>2</v>
      </c>
      <c r="AE23">
        <f t="shared" ca="1" si="6"/>
        <v>2</v>
      </c>
      <c r="AF23">
        <f t="shared" ref="AF23:AF51" ca="1" si="17">LARGE(OFFSET($AH$22,0,0,$AC$21),AD23)</f>
        <v>42025</v>
      </c>
      <c r="AG23">
        <f t="shared" ref="AG23:AG55" ca="1" si="18">MATCH(AF23,$AH$22:$AH$55,0)</f>
        <v>1</v>
      </c>
      <c r="AH23">
        <f>_xll.RData(B23,$AH$21)</f>
        <v>41934</v>
      </c>
      <c r="AI23" t="str">
        <f t="shared" ref="AI23:AI55" ca="1" si="19">INDEX($E$22:$E$55,AG23)</f>
        <v>15附息国债02</v>
      </c>
      <c r="AJ23" t="str">
        <f t="shared" ref="AJ23:AJ55" ca="1" si="20">INDEX($B$22:$B$55,AG23)</f>
        <v>CN150002=</v>
      </c>
      <c r="AK23">
        <f ca="1">_xll.AdAccrued(S23,G23,F23,O23:Q23)-X23</f>
        <v>0.89205479452054814</v>
      </c>
      <c r="AL23">
        <f t="shared" ca="1" si="7"/>
        <v>0.89205479452054814</v>
      </c>
      <c r="AM23">
        <f t="shared" ca="1" si="8"/>
        <v>0.37509664216180294</v>
      </c>
      <c r="AN23">
        <f t="shared" ca="1" si="9"/>
        <v>0.89205479452054803</v>
      </c>
      <c r="AO23">
        <f t="shared" ca="1" si="10"/>
        <v>1.2671514366823511</v>
      </c>
      <c r="AP23">
        <f t="shared" ref="AP23:AP51" ca="1" si="21">AO23-AN23</f>
        <v>0.37509664216180305</v>
      </c>
      <c r="AQ23">
        <f t="shared" ca="1" si="11"/>
        <v>9.1081642161806475E-2</v>
      </c>
      <c r="AS23">
        <f>_xll.BdConvFactor("CTF",INDEX($W$3:$W$5,$H$10),G23,F23/100,O23)</f>
        <v>1.0397000000000001</v>
      </c>
      <c r="AT23">
        <f>_xll.BdConvFactor("CTF",INDEX($W$3:$W$5,$H$10),G23,F23/100)</f>
        <v>1.0401</v>
      </c>
      <c r="AU23">
        <f t="shared" si="12"/>
        <v>1.0397000000000001</v>
      </c>
      <c r="AV23" t="str">
        <f t="shared" si="13"/>
        <v>每年</v>
      </c>
      <c r="AW23" t="str">
        <f t="shared" ref="AW23:AW55" si="22">IF(AV23="每年","FRQ:1","FRQ:2")</f>
        <v>FRQ:1</v>
      </c>
      <c r="AX23">
        <f>_xll.BdConvFactor("CTF",INDEX($W$3:$W$5,$H$10),G23,F23/100,AW23)</f>
        <v>1.0397000000000001</v>
      </c>
      <c r="AY23">
        <f t="shared" ref="AY23:AY55" si="23">AX23-AU23</f>
        <v>0</v>
      </c>
    </row>
    <row r="24" spans="1:52" x14ac:dyDescent="0.2">
      <c r="A24" s="6" t="str">
        <f t="shared" ref="A24:A51" si="24">INDEX($H$3:$H$8,$H$10)&amp;"=CTD"&amp;(ROW()-21)</f>
        <v>CTFc1=CTD3</v>
      </c>
      <c r="B24" t="str">
        <f>LEFT(_xll.RData($A24,$B$21),9)</f>
        <v>CN150003=</v>
      </c>
      <c r="C24" t="str">
        <f t="shared" si="14"/>
        <v>CN150003=CFXM</v>
      </c>
      <c r="D24" t="str">
        <f t="shared" si="15"/>
        <v>CN150003=CFXM</v>
      </c>
      <c r="E24" t="str">
        <f>TRIM(_xll.RData(D24,$E$21))</f>
        <v>15附息国债03</v>
      </c>
      <c r="F24">
        <f>_xll.RData(B24,$F$21)</f>
        <v>3.31</v>
      </c>
      <c r="G24">
        <f>_xll.RData(B24,$G$21)</f>
        <v>43866</v>
      </c>
      <c r="H24" t="str">
        <f>TRIM(_xll.RData(B24,$H$21))</f>
        <v>每年</v>
      </c>
      <c r="I24">
        <f>TRIM(_xll.RData(A24,$I$21))*1</f>
        <v>1.0132000000000001</v>
      </c>
      <c r="J24">
        <f>_xll.RData(C24,$J$21)</f>
        <v>99.95</v>
      </c>
      <c r="K24" s="2">
        <f>_xll.RData(C24,$K$21)</f>
        <v>0.57805555555555554</v>
      </c>
      <c r="L24" s="3">
        <f>_xll.RData(C24,$L$21)</f>
        <v>42082</v>
      </c>
      <c r="M24" t="str">
        <f>_xll.RData(C24,$M$21)</f>
        <v xml:space="preserve">江苏银行        </v>
      </c>
      <c r="N24">
        <f t="shared" si="2"/>
        <v>0.70705999999998426</v>
      </c>
      <c r="O24" s="7" t="str">
        <f>_xll.RData(B24,$O$21:$Q$21)</f>
        <v xml:space="preserve">ACC:AA CCM:BBAA CFADJ:NO CLDR:CHN_FI DATED:05FEB2015 DMC:F EMC:S FRCD:05FEB2016 FRQ:1 ISSUE:04FEB2015 NOTIONAL:1 PX:C PXRND:1E-6:NEAR REFDATE:MATURITY RP:1 SETTLE:1WD XD:NO YLDRND:1E-6:NEAR </v>
      </c>
      <c r="P24" s="7"/>
      <c r="Q24" s="7"/>
      <c r="R24">
        <f t="shared" ref="R24:R55" ca="1" si="25">R23</f>
        <v>42083</v>
      </c>
      <c r="S24">
        <f t="shared" ref="S24:S55" si="26">S23</f>
        <v>42171</v>
      </c>
      <c r="T24" s="8">
        <f ca="1">IF(OR(J24=0,LEFT(J24,1)="*"),-ROW()/10,_xll.BdRepo(R24,S24,J24,$N$21*I24,0,G24,F24,O24:Q24,"RR:MMA5 RES:IMPRATE FV:C NPV:C CF:NO"))</f>
        <v>3.7602965974603427E-3</v>
      </c>
      <c r="U24" t="str">
        <f>_xll.RData(B24,$U$21)</f>
        <v>CLDRADJ:NO DCB:AA EY:1 LLP:AA RATEFRQ:FRQ RATETYPE:ACT RM:YTA</v>
      </c>
      <c r="V24" s="9">
        <f ca="1">_xll.AdBondYield(R24,J24/100,G24,F24/100,O24:Q24,U24)</f>
        <v>3.32E-2</v>
      </c>
      <c r="W24" s="9">
        <f ca="1">_xll.AdBondYield(R24,$N$21/100*I24,G24,F24/100,O24:Q24,U24)</f>
        <v>3.4799999999999998E-2</v>
      </c>
      <c r="X24">
        <f ca="1">_xll.AdAccrued(R24,G24,F24,O24:Q24)</f>
        <v>0.38994520547945205</v>
      </c>
      <c r="Y24">
        <f t="shared" ca="1" si="3"/>
        <v>100.33994520547945</v>
      </c>
      <c r="Z24">
        <f ca="1">_xll.BdRepo(R24,S24,J24,0,$Z$21,G24,F24,O24:Q24,"RR:MMA5 RES:FV FV:C NPV:C CF:NO")/I24</f>
        <v>99.077913119648599</v>
      </c>
      <c r="AA24">
        <f t="shared" ca="1" si="16"/>
        <v>1.1279131196485963</v>
      </c>
      <c r="AB24">
        <f t="shared" ca="1" si="4"/>
        <v>1.1428015728279524</v>
      </c>
      <c r="AC24">
        <f t="shared" ca="1" si="5"/>
        <v>3.7602965974603427E-3</v>
      </c>
      <c r="AD24">
        <v>3</v>
      </c>
      <c r="AE24">
        <f t="shared" ca="1" si="6"/>
        <v>3</v>
      </c>
      <c r="AF24">
        <f t="shared" ca="1" si="17"/>
        <v>41941</v>
      </c>
      <c r="AG24">
        <f t="shared" ca="1" si="18"/>
        <v>5</v>
      </c>
      <c r="AH24">
        <f>_xll.RData(B24,$AH$21)</f>
        <v>42039</v>
      </c>
      <c r="AI24" t="str">
        <f t="shared" ca="1" si="19"/>
        <v>14附息国债26</v>
      </c>
      <c r="AJ24" t="str">
        <f t="shared" ca="1" si="20"/>
        <v>CN140026=</v>
      </c>
      <c r="AK24">
        <f ca="1">_xll.AdAccrued(S24,G24,F24,O24:Q24)-X24</f>
        <v>0.79802739726027405</v>
      </c>
      <c r="AL24">
        <f t="shared" ca="1" si="7"/>
        <v>0.79802739726027405</v>
      </c>
      <c r="AM24">
        <f t="shared" ca="1" si="8"/>
        <v>0.4357415728279681</v>
      </c>
      <c r="AN24">
        <f t="shared" ca="1" si="9"/>
        <v>0.79802739726027405</v>
      </c>
      <c r="AO24">
        <f t="shared" ca="1" si="10"/>
        <v>1.2337689700882422</v>
      </c>
      <c r="AP24">
        <f t="shared" ca="1" si="21"/>
        <v>0.4357415728279681</v>
      </c>
      <c r="AQ24">
        <f t="shared" ca="1" si="11"/>
        <v>1.1428015728279524</v>
      </c>
      <c r="AS24">
        <f>_xll.BdConvFactor("CTF",INDEX($W$3:$W$5,$H$10),G24,F24/100,O24)</f>
        <v>1.0132000000000001</v>
      </c>
      <c r="AT24">
        <f>_xll.BdConvFactor("CTF",INDEX($W$3:$W$5,$H$10),G24,F24/100)</f>
        <v>1.0134000000000001</v>
      </c>
      <c r="AU24">
        <f t="shared" si="12"/>
        <v>1.0132000000000001</v>
      </c>
      <c r="AV24" t="str">
        <f t="shared" si="13"/>
        <v>每年</v>
      </c>
      <c r="AW24" t="str">
        <f t="shared" si="22"/>
        <v>FRQ:1</v>
      </c>
      <c r="AX24">
        <f>_xll.BdConvFactor("CTF",INDEX($W$3:$W$5,$H$10),G24,F24/100,AW24)</f>
        <v>1.0132000000000001</v>
      </c>
      <c r="AY24">
        <f t="shared" si="23"/>
        <v>0</v>
      </c>
    </row>
    <row r="25" spans="1:52" x14ac:dyDescent="0.2">
      <c r="A25" s="6" t="str">
        <f t="shared" si="24"/>
        <v>CTFc1=CTD4</v>
      </c>
      <c r="B25" t="str">
        <f>LEFT(_xll.RData($A25,$B$21),9)</f>
        <v>CN130003=</v>
      </c>
      <c r="C25" t="str">
        <f t="shared" si="14"/>
        <v>CN130003=CFXM</v>
      </c>
      <c r="D25" t="str">
        <f t="shared" si="15"/>
        <v>CN130003=CFXM</v>
      </c>
      <c r="E25" t="str">
        <f>TRIM(_xll.RData(D25,$E$21))</f>
        <v>13附息国债03</v>
      </c>
      <c r="F25">
        <f>_xll.RData(B25,$F$21)</f>
        <v>3.42</v>
      </c>
      <c r="G25">
        <f>_xll.RData(B25,$G$21)</f>
        <v>43854</v>
      </c>
      <c r="H25" t="str">
        <f>TRIM(_xll.RData(B25,$H$21))</f>
        <v>每年</v>
      </c>
      <c r="I25">
        <f>TRIM(_xll.RData(A25,$I$21))*1</f>
        <v>1.0176000000000001</v>
      </c>
      <c r="J25">
        <f>_xll.RData(C25,$J$21)</f>
        <v>100.52260000000001</v>
      </c>
      <c r="K25" s="2">
        <f>_xll.RData(C25,$K$21)</f>
        <v>0.37770833333333331</v>
      </c>
      <c r="L25" s="3">
        <f>_xll.RData(C25,$L$21)</f>
        <v>42082</v>
      </c>
      <c r="M25" t="str">
        <f>_xll.RData(C25,$M$21)</f>
        <v xml:space="preserve">中金公司        </v>
      </c>
      <c r="N25">
        <f t="shared" si="2"/>
        <v>0.84868000000000166</v>
      </c>
      <c r="O25" s="7" t="str">
        <f>_xll.RData(B25,$O$21:$Q$21)</f>
        <v xml:space="preserve">ACC:AA CCM:BBAA CFADJ:NO CLDR:CHN_FI DATED:24JAN2013 DMC:F EMC:S FRCD:24JAN2014 FRQ:1 ISSUE:24JAN2013 NOTIONAL:1 PX:C PXRND:1E-6:NEAR REFDATE:MATURITY RP:1 SETTLE:1WD XD:NO YLDRND:1E-6:NEAR </v>
      </c>
      <c r="P25" s="7"/>
      <c r="Q25" s="7"/>
      <c r="R25">
        <f t="shared" ca="1" si="25"/>
        <v>42083</v>
      </c>
      <c r="S25">
        <f t="shared" si="26"/>
        <v>42171</v>
      </c>
      <c r="T25" s="8">
        <f ca="1">IF(OR(J25=0,LEFT(J25,1)="*"),-ROW()/10,_xll.BdRepo(R25,S25,J25,$N$21*I25,0,G25,F25,O25:Q25,"RR:MMA5 RES:IMPRATE FV:C NPV:C CF:NO"))</f>
        <v>-9.9064944688571411E-4</v>
      </c>
      <c r="U25" t="str">
        <f>_xll.RData(B25,$U$21)</f>
        <v>CLDRADJ:NO DCB:AA EY:1 LLP:AA RATEFRQ:FRQ RATETYPE:ACT RM:YTA</v>
      </c>
      <c r="V25" s="9">
        <f ca="1">_xll.AdBondYield(R25,J25/100,G25,F25/100,O25:Q25,U25)</f>
        <v>3.3000000000000002E-2</v>
      </c>
      <c r="W25" s="9">
        <f ca="1">_xll.AdBondYield(R25,$N$21/100*I25,G25,F25/100,O25:Q25,U25)</f>
        <v>3.4925999999999999E-2</v>
      </c>
      <c r="X25">
        <f ca="1">_xll.AdAccrued(R25,G25,F25,O25:Q25)</f>
        <v>0.51534246575342457</v>
      </c>
      <c r="Y25">
        <f t="shared" ca="1" si="3"/>
        <v>101.03794246575343</v>
      </c>
      <c r="Z25">
        <f ca="1">_xll.BdRepo(R25,S25,J25,0,$Z$21,G25,F25,O25:Q25,"RR:MMA5 RES:FV FV:C NPV:C CF:NO")/I25</f>
        <v>99.194578933473124</v>
      </c>
      <c r="AA25">
        <f t="shared" ca="1" si="16"/>
        <v>1.2445789334731217</v>
      </c>
      <c r="AB25">
        <f t="shared" ca="1" si="4"/>
        <v>1.2664835227022428</v>
      </c>
      <c r="AC25">
        <f t="shared" ca="1" si="5"/>
        <v>-9.9064944688571411E-4</v>
      </c>
      <c r="AD25">
        <v>4</v>
      </c>
      <c r="AE25">
        <f t="shared" ca="1" si="6"/>
        <v>4</v>
      </c>
      <c r="AF25">
        <f t="shared" ca="1" si="17"/>
        <v>41934</v>
      </c>
      <c r="AG25">
        <f t="shared" ca="1" si="18"/>
        <v>2</v>
      </c>
      <c r="AH25">
        <f>_xll.RData(B25,$AH$21)</f>
        <v>41298</v>
      </c>
      <c r="AI25" t="str">
        <f t="shared" ca="1" si="19"/>
        <v>14附息国债24</v>
      </c>
      <c r="AJ25" t="str">
        <f t="shared" ca="1" si="20"/>
        <v>CN140024=</v>
      </c>
      <c r="AK25">
        <f ca="1">_xll.AdAccrued(S25,G25,F25,O25:Q25)-X25</f>
        <v>0.82454794520547947</v>
      </c>
      <c r="AL25">
        <f t="shared" ca="1" si="7"/>
        <v>0.82454794520547947</v>
      </c>
      <c r="AM25">
        <f t="shared" ca="1" si="8"/>
        <v>0.4178035227022413</v>
      </c>
      <c r="AN25">
        <f t="shared" ca="1" si="9"/>
        <v>0.82454794520547947</v>
      </c>
      <c r="AO25">
        <f t="shared" ca="1" si="10"/>
        <v>1.2423514679077208</v>
      </c>
      <c r="AP25">
        <f t="shared" ca="1" si="21"/>
        <v>0.4178035227022413</v>
      </c>
      <c r="AQ25">
        <f t="shared" ca="1" si="11"/>
        <v>1.2664835227022428</v>
      </c>
      <c r="AS25">
        <f>_xll.BdConvFactor("CTF",INDEX($W$3:$W$5,$H$10),G25,F25/100,O25)</f>
        <v>1.0176000000000001</v>
      </c>
      <c r="AT25">
        <f>_xll.BdConvFactor("CTF",INDEX($W$3:$W$5,$H$10),G25,F25/100)</f>
        <v>1.0178</v>
      </c>
      <c r="AU25">
        <f t="shared" si="12"/>
        <v>1.0176000000000001</v>
      </c>
      <c r="AV25" t="str">
        <f t="shared" si="13"/>
        <v>每年</v>
      </c>
      <c r="AW25" t="str">
        <f t="shared" si="22"/>
        <v>FRQ:1</v>
      </c>
      <c r="AX25">
        <f>_xll.BdConvFactor("CTF",INDEX($W$3:$W$5,$H$10),G25,F25/100,AW25)</f>
        <v>1.0176000000000001</v>
      </c>
      <c r="AY25">
        <f t="shared" si="23"/>
        <v>0</v>
      </c>
    </row>
    <row r="26" spans="1:52" x14ac:dyDescent="0.2">
      <c r="A26" s="6" t="str">
        <f t="shared" si="24"/>
        <v>CTFc1=CTD5</v>
      </c>
      <c r="B26" t="str">
        <f>LEFT(_xll.RData($A26,$B$21),9)</f>
        <v>CN140026=</v>
      </c>
      <c r="C26" t="str">
        <f t="shared" si="14"/>
        <v>CN140026=CFXM</v>
      </c>
      <c r="D26" t="str">
        <f t="shared" si="15"/>
        <v>CN140026=CFXM</v>
      </c>
      <c r="E26" t="str">
        <f>TRIM(_xll.RData(D26,$E$21))</f>
        <v>14附息国债26</v>
      </c>
      <c r="F26">
        <f>_xll.RData(B26,$F$21)</f>
        <v>3.5300000000000002</v>
      </c>
      <c r="G26">
        <f>_xll.RData(B26,$G$21)</f>
        <v>43768</v>
      </c>
      <c r="H26" t="str">
        <f>TRIM(_xll.RData(B26,$H$21))</f>
        <v>每年</v>
      </c>
      <c r="I26">
        <f>TRIM(_xll.RData(A26,$I$21))*1</f>
        <v>1.0210999999999999</v>
      </c>
      <c r="J26">
        <f>_xll.RData(C26,$J$21)</f>
        <v>100.956</v>
      </c>
      <c r="K26" s="2">
        <f>_xll.RData(C26,$K$21)</f>
        <v>0.48810185185185184</v>
      </c>
      <c r="L26" s="3">
        <f>_xll.RData(C26,$L$21)</f>
        <v>42082</v>
      </c>
      <c r="M26" t="str">
        <f>_xll.RData(C26,$M$21)</f>
        <v xml:space="preserve">青岛银行        </v>
      </c>
      <c r="N26">
        <f t="shared" si="2"/>
        <v>0.93925500000001705</v>
      </c>
      <c r="O26" s="7" t="str">
        <f>_xll.RData(B26,$O$21:$Q$21)</f>
        <v xml:space="preserve">ACC:AA CCM:BBAA CFADJ:NO CLDR:CHN_FI DATED:30OCT2014 DMC:F EMC:S FRCD:30OCT2015 FRQ:1 ISSUE:29OCT2014 NOTIONAL:1 PX:C PXRND:1E-6:NEAR REFDATE:MATURITY RP:1 SETTLE:1WD XD:NO YLDRND:1E-6:NEAR </v>
      </c>
      <c r="P26" s="7"/>
      <c r="Q26" s="7"/>
      <c r="R26">
        <f t="shared" ca="1" si="25"/>
        <v>42083</v>
      </c>
      <c r="S26">
        <f t="shared" si="26"/>
        <v>42171</v>
      </c>
      <c r="T26" s="8">
        <f ca="1">IF(OR(J26=0,LEFT(J26,1)="*"),-ROW()/10,_xll.BdRepo(R26,S26,J26,$N$21*I26,0,G26,F26,O26:Q26,"RR:MMA5 RES:IMPRATE FV:C NPV:C CF:NO"))</f>
        <v>-3.5748128691027495E-3</v>
      </c>
      <c r="U26" t="str">
        <f>_xll.RData(B26,$U$21)</f>
        <v>CLDRADJ:NO DCB:AA EY:1 LLP:AA RATEFRQ:FRQ RATETYPE:ACT RM:YTA</v>
      </c>
      <c r="V26" s="9">
        <f ca="1">_xll.AdBondYield(R26,J26/100,G26,F26/100,O26:Q26,U26)</f>
        <v>3.3000000000000002E-2</v>
      </c>
      <c r="W26" s="9">
        <f ca="1">_xll.AdBondYield(R26,$N$21/100*I26,G26,F26/100,O26:Q26,U26)</f>
        <v>3.5226E-2</v>
      </c>
      <c r="X26">
        <f ca="1">_xll.AdAccrued(R26,G26,F26,O26:Q26)</f>
        <v>1.3636438356164384</v>
      </c>
      <c r="Y26">
        <f t="shared" ca="1" si="3"/>
        <v>102.31964383561645</v>
      </c>
      <c r="Z26">
        <f ca="1">_xll.BdRepo(R26,S26,J26,0,$Z$21,G26,F26,O26:Q26,"RR:MMA5 RES:FV FV:C NPV:C CF:NO")/I26</f>
        <v>99.268477753736633</v>
      </c>
      <c r="AA26">
        <f t="shared" ca="1" si="16"/>
        <v>1.3184777537366301</v>
      </c>
      <c r="AB26">
        <f t="shared" ca="1" si="4"/>
        <v>1.3462976343404649</v>
      </c>
      <c r="AC26">
        <f t="shared" ca="1" si="5"/>
        <v>-3.5748128691027495E-3</v>
      </c>
      <c r="AD26">
        <v>5</v>
      </c>
      <c r="AE26">
        <f t="shared" ca="1" si="6"/>
        <v>5</v>
      </c>
      <c r="AF26">
        <f t="shared" ca="1" si="17"/>
        <v>41732</v>
      </c>
      <c r="AG26">
        <f t="shared" ca="1" si="18"/>
        <v>7</v>
      </c>
      <c r="AH26">
        <f>_xll.RData(B26,$AH$21)</f>
        <v>41941</v>
      </c>
      <c r="AI26" t="str">
        <f t="shared" ca="1" si="19"/>
        <v>14附息国债06</v>
      </c>
      <c r="AJ26" t="str">
        <f t="shared" ca="1" si="20"/>
        <v>CN140006=</v>
      </c>
      <c r="AK26">
        <f ca="1">_xll.AdAccrued(S26,G26,F26,O26:Q26)-X26</f>
        <v>0.85106849315068489</v>
      </c>
      <c r="AL26">
        <f t="shared" ca="1" si="7"/>
        <v>0.85106849315068489</v>
      </c>
      <c r="AM26">
        <f t="shared" ca="1" si="8"/>
        <v>0.40704263434044785</v>
      </c>
      <c r="AN26">
        <f t="shared" ca="1" si="9"/>
        <v>0.851068493150685</v>
      </c>
      <c r="AO26">
        <f t="shared" ca="1" si="10"/>
        <v>1.2581111274911327</v>
      </c>
      <c r="AP26">
        <f t="shared" ca="1" si="21"/>
        <v>0.40704263434044774</v>
      </c>
      <c r="AQ26">
        <f t="shared" ca="1" si="11"/>
        <v>1.3462976343404649</v>
      </c>
      <c r="AS26">
        <f>_xll.BdConvFactor("CTF",INDEX($W$3:$W$5,$H$10),G26,F26/100,O26)</f>
        <v>1.0210999999999999</v>
      </c>
      <c r="AT26">
        <f>_xll.BdConvFactor("CTF",INDEX($W$3:$W$5,$H$10),G26,F26/100)</f>
        <v>1.0214000000000001</v>
      </c>
      <c r="AU26">
        <f t="shared" si="12"/>
        <v>1.0210999999999999</v>
      </c>
      <c r="AV26" t="str">
        <f t="shared" si="13"/>
        <v>每年</v>
      </c>
      <c r="AW26" t="str">
        <f t="shared" si="22"/>
        <v>FRQ:1</v>
      </c>
      <c r="AX26">
        <f>_xll.BdConvFactor("CTF",INDEX($W$3:$W$5,$H$10),G26,F26/100,AW26)</f>
        <v>1.0210999999999999</v>
      </c>
      <c r="AY26">
        <f t="shared" si="23"/>
        <v>0</v>
      </c>
    </row>
    <row r="27" spans="1:52" x14ac:dyDescent="0.2">
      <c r="A27" s="6" t="str">
        <f t="shared" si="24"/>
        <v>CTFc1=CTD6</v>
      </c>
      <c r="B27" t="str">
        <f>LEFT(_xll.RData($A27,$B$21),9)</f>
        <v>CN120016=</v>
      </c>
      <c r="C27" t="str">
        <f t="shared" si="14"/>
        <v>CN120016=CFXM</v>
      </c>
      <c r="D27" t="str">
        <f t="shared" si="15"/>
        <v>CN120016=CFXM</v>
      </c>
      <c r="E27" t="str">
        <f>TRIM(_xll.RData(D27,$E$21))</f>
        <v>12附息国债16</v>
      </c>
      <c r="F27">
        <f>_xll.RData(B27,$F$21)</f>
        <v>3.25</v>
      </c>
      <c r="G27">
        <f>_xll.RData(B27,$G$21)</f>
        <v>43714</v>
      </c>
      <c r="H27" t="str">
        <f>TRIM(_xll.RData(B27,$H$21))</f>
        <v>每年</v>
      </c>
      <c r="I27">
        <f>TRIM(_xll.RData(A27,$I$21))*1</f>
        <v>1.0097</v>
      </c>
      <c r="J27">
        <f>_xll.RData(C27,$J$21)</f>
        <v>99.905100000000004</v>
      </c>
      <c r="K27" s="2">
        <f>_xll.RData(C27,$K$21)</f>
        <v>0.38831018518518517</v>
      </c>
      <c r="L27" s="3">
        <f>_xll.RData(C27,$L$21)</f>
        <v>42082</v>
      </c>
      <c r="M27" t="str">
        <f>_xll.RData(C27,$M$21)</f>
        <v xml:space="preserve">杭州银行        </v>
      </c>
      <c r="N27">
        <f t="shared" si="2"/>
        <v>1.0049849999999907</v>
      </c>
      <c r="O27" s="7" t="str">
        <f>_xll.RData(B27,$O$21:$Q$21)</f>
        <v xml:space="preserve">ACC:AA CCM:BBAA CFADJ:NO CLDR:CHN_FI DATED:06SEP2012 DMC:F EMC:S FRCD:06SEP2013 FRQ:1 ISSUE:06SEP2012 NOTIONAL:1 PX:C PXRND:1E-6:NEAR REFDATE:MATURITY RP:1 SETTLE:1WD XD:NO YLDRND:1E-6:NEAR </v>
      </c>
      <c r="P27" s="7"/>
      <c r="Q27" s="7"/>
      <c r="R27">
        <f t="shared" ca="1" si="25"/>
        <v>42083</v>
      </c>
      <c r="S27">
        <f t="shared" si="26"/>
        <v>42171</v>
      </c>
      <c r="T27" s="8">
        <f ca="1">IF(OR(J27=0,LEFT(J27,1)="*"),-ROW()/10,_xll.BdRepo(R27,S27,J27,$N$21*I27,0,G27,F27,O27:Q27,"RR:MMA5 RES:IMPRATE FV:C NPV:C CF:NO"))</f>
        <v>-9.0357244272912304E-3</v>
      </c>
      <c r="U27" t="str">
        <f>_xll.RData(B27,$U$21)</f>
        <v>CLDRADJ:NO DCB:AA EY:1 LLP:AA RATEFRQ:FRQ RATETYPE:ACT RM:YTA</v>
      </c>
      <c r="V27" s="9">
        <f ca="1">_xll.AdBondYield(R27,J27/100,G27,F27/100,O27:Q27,U27)</f>
        <v>3.27E-2</v>
      </c>
      <c r="W27" s="9">
        <f ca="1">_xll.AdBondYield(R27,$N$21/100*I27,G27,F27/100,O27:Q27,U27)</f>
        <v>3.517E-2</v>
      </c>
      <c r="X27">
        <f ca="1">_xll.AdAccrued(R27,G27,F27,O27:Q27)</f>
        <v>1.7363013698630139</v>
      </c>
      <c r="Y27">
        <f t="shared" ca="1" si="3"/>
        <v>101.64140136986302</v>
      </c>
      <c r="Z27">
        <f ca="1">_xll.BdRepo(R27,S27,J27,0,$Z$21,G27,F27,O27:Q27,"RR:MMA5 RES:FV FV:C NPV:C CF:NO")/I27</f>
        <v>99.407061393111377</v>
      </c>
      <c r="AA27">
        <f t="shared" ca="1" si="16"/>
        <v>1.4570613931113741</v>
      </c>
      <c r="AB27">
        <f t="shared" ca="1" si="4"/>
        <v>1.4711948886245443</v>
      </c>
      <c r="AC27">
        <f t="shared" ca="1" si="5"/>
        <v>-9.0357244272912304E-3</v>
      </c>
      <c r="AD27">
        <v>6</v>
      </c>
      <c r="AE27">
        <f t="shared" ca="1" si="6"/>
        <v>6</v>
      </c>
      <c r="AF27">
        <f t="shared" ca="1" si="17"/>
        <v>41655</v>
      </c>
      <c r="AG27">
        <f t="shared" ca="1" si="18"/>
        <v>8</v>
      </c>
      <c r="AH27">
        <f>_xll.RData(B27,$AH$21)</f>
        <v>41158</v>
      </c>
      <c r="AI27" t="str">
        <f t="shared" ca="1" si="19"/>
        <v>14附息国债03</v>
      </c>
      <c r="AJ27" t="str">
        <f t="shared" ca="1" si="20"/>
        <v>CN140003=</v>
      </c>
      <c r="AK27">
        <f ca="1">_xll.AdAccrued(S27,G27,F27,O27:Q27)-X27</f>
        <v>0.78356164383561633</v>
      </c>
      <c r="AL27">
        <f t="shared" ca="1" si="7"/>
        <v>0.78356164383561633</v>
      </c>
      <c r="AM27">
        <f t="shared" ca="1" si="8"/>
        <v>0.46620988862455359</v>
      </c>
      <c r="AN27">
        <f t="shared" ca="1" si="9"/>
        <v>0.78356164383561644</v>
      </c>
      <c r="AO27">
        <f t="shared" ca="1" si="10"/>
        <v>1.2497715324601699</v>
      </c>
      <c r="AP27">
        <f t="shared" ca="1" si="21"/>
        <v>0.46620988862455348</v>
      </c>
      <c r="AQ27">
        <f t="shared" ca="1" si="11"/>
        <v>1.4711948886245443</v>
      </c>
      <c r="AS27">
        <f>_xll.BdConvFactor("CTF",INDEX($W$3:$W$5,$H$10),G27,F27/100,O27)</f>
        <v>1.0098</v>
      </c>
      <c r="AT27">
        <f>_xll.BdConvFactor("CTF",INDEX($W$3:$W$5,$H$10),G27,F27/100)</f>
        <v>1.0099</v>
      </c>
      <c r="AU27">
        <f t="shared" si="12"/>
        <v>1.0097</v>
      </c>
      <c r="AV27" t="str">
        <f t="shared" si="13"/>
        <v>每年</v>
      </c>
      <c r="AW27" t="str">
        <f t="shared" si="22"/>
        <v>FRQ:1</v>
      </c>
      <c r="AX27">
        <f>_xll.BdConvFactor("CTF",INDEX($W$3:$W$5,$H$10),G27,F27/100,AW27)</f>
        <v>1.0097</v>
      </c>
      <c r="AY27">
        <f t="shared" si="23"/>
        <v>0</v>
      </c>
    </row>
    <row r="28" spans="1:52" x14ac:dyDescent="0.2">
      <c r="A28" s="6" t="str">
        <f t="shared" si="24"/>
        <v>CTFc1=CTD7</v>
      </c>
      <c r="B28" t="str">
        <f>LEFT(_xll.RData($A28,$B$21),9)</f>
        <v>CN140006=</v>
      </c>
      <c r="C28" t="str">
        <f t="shared" si="14"/>
        <v>CN140006=CFXM</v>
      </c>
      <c r="D28" t="str">
        <f t="shared" si="15"/>
        <v>CN140006=CFXM</v>
      </c>
      <c r="E28" t="str">
        <f>TRIM(_xll.RData(D28,$E$21))</f>
        <v>14附息国债06</v>
      </c>
      <c r="F28">
        <f>_xll.RData(B28,$F$21)</f>
        <v>4.33</v>
      </c>
      <c r="G28">
        <f>_xll.RData(B28,$G$21)</f>
        <v>44289</v>
      </c>
      <c r="H28" t="str">
        <f>TRIM(_xll.RData(B28,$H$21))</f>
        <v>每年</v>
      </c>
      <c r="I28">
        <f>TRIM(_xll.RData(A28,$I$21))*1</f>
        <v>1.0701000000000001</v>
      </c>
      <c r="J28">
        <f>_xll.RData(C28,$J$21)</f>
        <v>106.11380000000001</v>
      </c>
      <c r="K28" s="2">
        <f>_xll.RData(C28,$K$21)</f>
        <v>0.46625</v>
      </c>
      <c r="L28" s="3">
        <f>_xll.RData(C28,$L$21)</f>
        <v>42082</v>
      </c>
      <c r="M28" t="str">
        <f>_xll.RData(C28,$M$21)</f>
        <v xml:space="preserve">农业银行        </v>
      </c>
      <c r="N28">
        <f t="shared" si="2"/>
        <v>1.297505000000001</v>
      </c>
      <c r="O28" s="7" t="str">
        <f>_xll.RData(B28,$O$21:$Q$21)</f>
        <v xml:space="preserve">ACC:AA CCM:BBAA CFADJ:NO CLDR:CHN_FI DATED:03APR2014 DMC:F EMC:S FRCD:03APR2015 FRQ:1 ISSUE:03APR2014 NOTIONAL:1 PX:C PXRND:1E-6:NEAR REFDATE:MATURITY RP:1 SETTLE:1WD XD:NO YLDRND:1E-6:NEAR </v>
      </c>
      <c r="P28" s="7"/>
      <c r="Q28" s="7"/>
      <c r="R28">
        <f t="shared" ca="1" si="25"/>
        <v>42083</v>
      </c>
      <c r="S28">
        <f t="shared" si="26"/>
        <v>42171</v>
      </c>
      <c r="T28" s="8">
        <f ca="1">IF(OR(J28=0,LEFT(J28,1)="*"),-ROW()/10,_xll.BdRepo(R28,S28,J28,$N$21*I28,0,G28,F28,O28:Q28,"RR:MMA5 RES:IMPRATE FV:C NPV:C CF:NO"))</f>
        <v>-9.95573301983344E-3</v>
      </c>
      <c r="U28" t="str">
        <f>_xll.RData(B28,$U$21)</f>
        <v>CLDRADJ:NO DCB:AA EY:1 LLP:AA RATEFRQ:FRQ RATETYPE:ACT RM:YTA</v>
      </c>
      <c r="V28" s="9">
        <f ca="1">_xll.AdBondYield(R28,J28/100,G28,F28/100,O28:Q28,U28)</f>
        <v>3.2000000000000001E-2</v>
      </c>
      <c r="W28" s="9">
        <f ca="1">_xll.AdBondYield(R28,$N$21/100*I28,G28,F28/100,O28:Q28,U28)</f>
        <v>3.4327999999999997E-2</v>
      </c>
      <c r="X28">
        <f ca="1">_xll.AdAccrued(R28,G28,F28,O28:Q28)</f>
        <v>4.1639178082191783</v>
      </c>
      <c r="Y28">
        <f t="shared" ca="1" si="3"/>
        <v>110.27771780821919</v>
      </c>
      <c r="Z28">
        <f ca="1">_xll.BdRepo(R28,S28,J28,0,$Z$21,G28,F28,O28:Q28,"RR:MMA5 RES:FV FV:C NPV:C CF:NO")/I28</f>
        <v>99.414489343600408</v>
      </c>
      <c r="AA28">
        <f t="shared" ca="1" si="16"/>
        <v>1.4644893436004054</v>
      </c>
      <c r="AB28">
        <f t="shared" ca="1" si="4"/>
        <v>1.6119210602854268</v>
      </c>
      <c r="AC28">
        <f t="shared" ca="1" si="5"/>
        <v>-9.95573301983344E-3</v>
      </c>
      <c r="AD28">
        <v>7</v>
      </c>
      <c r="AE28">
        <f t="shared" ca="1" si="6"/>
        <v>7</v>
      </c>
      <c r="AF28">
        <f t="shared" ca="1" si="17"/>
        <v>41564</v>
      </c>
      <c r="AG28">
        <f t="shared" ca="1" si="18"/>
        <v>11</v>
      </c>
      <c r="AH28">
        <f>_xll.RData(B28,$AH$21)</f>
        <v>41732</v>
      </c>
      <c r="AI28" t="str">
        <f t="shared" ca="1" si="19"/>
        <v>13附息国债20</v>
      </c>
      <c r="AJ28" t="str">
        <f t="shared" ca="1" si="20"/>
        <v>CN130020=</v>
      </c>
      <c r="AK28">
        <f ca="1">_xll.AdAccrued(S28,G28,F28,O28:Q28)-X28</f>
        <v>-3.2884533273448615</v>
      </c>
      <c r="AL28">
        <f t="shared" ca="1" si="7"/>
        <v>1.0415466726551386</v>
      </c>
      <c r="AM28">
        <f t="shared" ca="1" si="8"/>
        <v>0.31441606028542579</v>
      </c>
      <c r="AN28">
        <f t="shared" ca="1" si="9"/>
        <v>1.043945205479452</v>
      </c>
      <c r="AO28">
        <f t="shared" ca="1" si="10"/>
        <v>1.3559627329405644</v>
      </c>
      <c r="AP28">
        <f t="shared" ca="1" si="21"/>
        <v>0.31201752746111233</v>
      </c>
      <c r="AQ28">
        <f t="shared" ca="1" si="11"/>
        <v>1.6095225274611134</v>
      </c>
      <c r="AS28">
        <f>_xll.BdConvFactor("CTF",INDEX($W$3:$W$5,$H$10),G28,F28/100,O28)</f>
        <v>1.0701000000000001</v>
      </c>
      <c r="AT28">
        <f>_xll.BdConvFactor("CTF",INDEX($W$3:$W$5,$H$10),G28,F28/100)</f>
        <v>1.0707</v>
      </c>
      <c r="AU28">
        <f t="shared" si="12"/>
        <v>1.0701000000000001</v>
      </c>
      <c r="AV28" t="str">
        <f t="shared" si="13"/>
        <v>每年</v>
      </c>
      <c r="AW28" t="str">
        <f t="shared" si="22"/>
        <v>FRQ:1</v>
      </c>
      <c r="AX28">
        <f>_xll.BdConvFactor("CTF",INDEX($W$3:$W$5,$H$10),G28,F28/100,AW28)</f>
        <v>1.0701000000000001</v>
      </c>
      <c r="AY28">
        <f t="shared" si="23"/>
        <v>0</v>
      </c>
    </row>
    <row r="29" spans="1:52" x14ac:dyDescent="0.2">
      <c r="A29" s="6" t="str">
        <f t="shared" si="24"/>
        <v>CTFc1=CTD8</v>
      </c>
      <c r="B29" t="str">
        <f>LEFT(_xll.RData($A29,$B$21),9)</f>
        <v>CN140003=</v>
      </c>
      <c r="C29" t="str">
        <f t="shared" si="14"/>
        <v>CN140003=CFXM</v>
      </c>
      <c r="D29" t="str">
        <f t="shared" si="15"/>
        <v>CN140003=CFXM</v>
      </c>
      <c r="E29" t="str">
        <f>TRIM(_xll.RData(D29,$E$21))</f>
        <v>14附息国债03</v>
      </c>
      <c r="F29">
        <f>_xll.RData(B29,$F$21)</f>
        <v>4.4400000000000004</v>
      </c>
      <c r="G29">
        <f>_xll.RData(B29,$G$21)</f>
        <v>44212</v>
      </c>
      <c r="H29" t="str">
        <f>TRIM(_xll.RData(B29,$H$21))</f>
        <v>每年</v>
      </c>
      <c r="I29">
        <f>TRIM(_xll.RData(A29,$I$21))*1</f>
        <v>1.0729</v>
      </c>
      <c r="J29">
        <f>_xll.RData(C29,$J$21)</f>
        <v>106.48820000000001</v>
      </c>
      <c r="K29" s="2">
        <f>_xll.RData(C29,$K$21)</f>
        <v>0.38868055555555553</v>
      </c>
      <c r="L29" s="3">
        <f>_xll.RData(C29,$L$21)</f>
        <v>42082</v>
      </c>
      <c r="M29" t="str">
        <f>_xll.RData(C29,$M$21)</f>
        <v xml:space="preserve">农业银行        </v>
      </c>
      <c r="N29">
        <f t="shared" si="2"/>
        <v>1.3976450000000114</v>
      </c>
      <c r="O29" s="7" t="str">
        <f>_xll.RData(B29,$O$21:$Q$21)</f>
        <v xml:space="preserve">ACC:AA CCM:BBAA CFADJ:NO CLDR:CHN_FI DATED:16JAN2014 DMC:F EMC:S FRCD:16JAN2015 FRQ:1 ISSUE:16JAN2014 NOTIONAL:1 PX:C PXRND:1E-6:NEAR REFDATE:MATURITY RP:1 SETTLE:1WD XD:NO YLDRND:1E-6:NEAR </v>
      </c>
      <c r="P29" s="7"/>
      <c r="Q29" s="7"/>
      <c r="R29">
        <f t="shared" ca="1" si="25"/>
        <v>42083</v>
      </c>
      <c r="S29">
        <f t="shared" si="26"/>
        <v>42171</v>
      </c>
      <c r="T29" s="8">
        <f ca="1">IF(OR(J29=0,LEFT(J29,1)="*"),-ROW()/10,_xll.BdRepo(R29,S29,J29,$N$21*I29,0,G29,F29,O29:Q29,"RR:MMA5 RES:IMPRATE FV:C NPV:C CF:NO"))</f>
        <v>-1.2652611997303539E-2</v>
      </c>
      <c r="U29" t="str">
        <f>_xll.RData(B29,$U$21)</f>
        <v>CLDRADJ:NO DCB:AA EY:1 LLP:AA RATEFRQ:FRQ RATETYPE:ACT RM:YTA</v>
      </c>
      <c r="V29" s="9">
        <f ca="1">_xll.AdBondYield(R29,J29/100,G29,F29/100,O29:Q29,U29)</f>
        <v>3.2000000000000001E-2</v>
      </c>
      <c r="W29" s="9">
        <f ca="1">_xll.AdBondYield(R29,$N$21/100*I29,G29,F29/100,O29:Q29,U29)</f>
        <v>3.4583999999999997E-2</v>
      </c>
      <c r="X29">
        <f ca="1">_xll.AdAccrued(R29,G29,F29,O29:Q29)</f>
        <v>0.7663561643835618</v>
      </c>
      <c r="Y29">
        <f t="shared" ca="1" si="3"/>
        <v>107.25455616438357</v>
      </c>
      <c r="Z29">
        <f ca="1">_xll.BdRepo(R29,S29,J29,0,$Z$21,G29,F29,O29:Q29,"RR:MMA5 RES:FV FV:C NPV:C CF:NO")/I29</f>
        <v>99.484131340524456</v>
      </c>
      <c r="AA29">
        <f t="shared" ca="1" si="16"/>
        <v>1.5341313405244534</v>
      </c>
      <c r="AB29">
        <f t="shared" ca="1" si="4"/>
        <v>1.6459695152486995</v>
      </c>
      <c r="AC29">
        <f t="shared" ca="1" si="5"/>
        <v>-1.2652611997303539E-2</v>
      </c>
      <c r="AD29">
        <v>8</v>
      </c>
      <c r="AE29">
        <f t="shared" ca="1" si="6"/>
        <v>8</v>
      </c>
      <c r="AF29">
        <f t="shared" ca="1" si="17"/>
        <v>41466</v>
      </c>
      <c r="AG29">
        <f t="shared" ca="1" si="18"/>
        <v>10</v>
      </c>
      <c r="AH29">
        <f>_xll.RData(B29,$AH$21)</f>
        <v>41655</v>
      </c>
      <c r="AI29" t="str">
        <f t="shared" ca="1" si="19"/>
        <v>13附息国债15</v>
      </c>
      <c r="AJ29" t="str">
        <f t="shared" ca="1" si="20"/>
        <v>CN130015=</v>
      </c>
      <c r="AK29">
        <f ca="1">_xll.AdAccrued(S29,G29,F29,O29:Q29)-X29</f>
        <v>1.0704657534246578</v>
      </c>
      <c r="AL29">
        <f t="shared" ca="1" si="7"/>
        <v>1.0704657534246578</v>
      </c>
      <c r="AM29">
        <f t="shared" ca="1" si="8"/>
        <v>0.24832451524868793</v>
      </c>
      <c r="AN29">
        <f t="shared" ca="1" si="9"/>
        <v>1.0704657534246576</v>
      </c>
      <c r="AO29">
        <f t="shared" ca="1" si="10"/>
        <v>1.3187902686733457</v>
      </c>
      <c r="AP29">
        <f t="shared" ca="1" si="21"/>
        <v>0.24832451524868815</v>
      </c>
      <c r="AQ29">
        <f t="shared" ca="1" si="11"/>
        <v>1.6459695152486995</v>
      </c>
      <c r="AS29">
        <f>_xll.BdConvFactor("CTF",INDEX($W$3:$W$5,$H$10),G29,F29/100,O29)</f>
        <v>1.0729</v>
      </c>
      <c r="AT29">
        <f>_xll.BdConvFactor("CTF",INDEX($W$3:$W$5,$H$10),G29,F29/100)</f>
        <v>1.0734999999999999</v>
      </c>
      <c r="AU29">
        <f t="shared" si="12"/>
        <v>1.0729</v>
      </c>
      <c r="AV29" t="str">
        <f t="shared" si="13"/>
        <v>每年</v>
      </c>
      <c r="AW29" t="str">
        <f t="shared" si="22"/>
        <v>FRQ:1</v>
      </c>
      <c r="AX29">
        <f>_xll.BdConvFactor("CTF",INDEX($W$3:$W$5,$H$10),G29,F29/100,AW29)</f>
        <v>1.0729</v>
      </c>
      <c r="AY29">
        <f t="shared" si="23"/>
        <v>0</v>
      </c>
    </row>
    <row r="30" spans="1:52" x14ac:dyDescent="0.2">
      <c r="A30" s="6" t="str">
        <f t="shared" si="24"/>
        <v>CTFc1=CTD9</v>
      </c>
      <c r="B30" t="str">
        <f>LEFT(_xll.RData($A30,$B$21),9)</f>
        <v>CN130008=</v>
      </c>
      <c r="C30" t="str">
        <f t="shared" si="14"/>
        <v>CN130008=CFXM</v>
      </c>
      <c r="D30" t="str">
        <f t="shared" si="15"/>
        <v>CN130008=CFXM</v>
      </c>
      <c r="E30" t="str">
        <f>TRIM(_xll.RData(D30,$E$21))</f>
        <v>13附息国债08</v>
      </c>
      <c r="F30">
        <f>_xll.RData(B30,$F$21)</f>
        <v>3.29</v>
      </c>
      <c r="G30">
        <f>_xll.RData(B30,$G$21)</f>
        <v>43939</v>
      </c>
      <c r="H30" t="str">
        <f>TRIM(_xll.RData(B30,$H$21))</f>
        <v>每年</v>
      </c>
      <c r="I30">
        <f>TRIM(_xll.RData(A30,$I$21))*1</f>
        <v>1.0127999999999999</v>
      </c>
      <c r="J30">
        <f>_xll.RData(C30,$J$21)</f>
        <v>100.41200000000001</v>
      </c>
      <c r="K30" s="2">
        <f>_xll.RData(C30,$K$21)</f>
        <v>0.39136574074074076</v>
      </c>
      <c r="L30" s="3">
        <f>_xll.RData(C30,$L$21)</f>
        <v>42082</v>
      </c>
      <c r="M30" t="str">
        <f>_xll.RData(C30,$M$21)</f>
        <v xml:space="preserve">郑州银行        </v>
      </c>
      <c r="N30">
        <f t="shared" si="2"/>
        <v>1.2082400000000177</v>
      </c>
      <c r="O30" s="7" t="str">
        <f>_xll.RData(B30,$O$21:$Q$21)</f>
        <v xml:space="preserve">ACC:AA CCM:BBAA CFADJ:NO CLDR:CHN_FI DATED:18APR2013 DMC:F EMC:S FRCD:18APR2014 FRQ:1 ISSUE:18APR2013 NOTIONAL:1 PX:C PXRND:1E-6:NEAR REFDATE:MATURITY RP:1 SETTLE:1WD XD:NO YLDRND:1E-6:NEAR </v>
      </c>
      <c r="P30" s="7"/>
      <c r="Q30" s="7"/>
      <c r="R30">
        <f t="shared" ca="1" si="25"/>
        <v>42083</v>
      </c>
      <c r="S30">
        <f t="shared" si="26"/>
        <v>42171</v>
      </c>
      <c r="T30" s="8">
        <f ca="1">IF(OR(J30=0,LEFT(J30,1)="*"),-ROW()/10,_xll.BdRepo(R30,S30,J30,$N$21*I30,0,G30,F30,O30:Q30,"RR:MMA5 RES:IMPRATE FV:C NPV:C CF:NO"))</f>
        <v>-1.7064059386913497E-2</v>
      </c>
      <c r="U30" t="str">
        <f>_xll.RData(B30,$U$21)</f>
        <v>CLDRADJ:NO DCB:AA EY:1 LLP:AA RATEFRQ:FRQ RATETYPE:ACT RM:YTA</v>
      </c>
      <c r="V30" s="9">
        <f ca="1">_xll.AdBondYield(R30,J30/100,G30,F30/100,O30:Q30,U30)</f>
        <v>3.2000000000000001E-2</v>
      </c>
      <c r="W30" s="9">
        <f ca="1">_xll.AdBondYield(R30,$N$21/100*I30,G30,F30/100,O30:Q30,U30)</f>
        <v>3.4626999999999998E-2</v>
      </c>
      <c r="X30">
        <f ca="1">_xll.AdAccrued(R30,G30,F30,O30:Q30)</f>
        <v>3.0286027397260273</v>
      </c>
      <c r="Y30">
        <f t="shared" ca="1" si="3"/>
        <v>103.44060273972603</v>
      </c>
      <c r="Z30">
        <f ca="1">_xll.BdRepo(R30,S30,J30,0,$Z$21,G30,F30,O30:Q30,"RR:MMA5 RES:FV FV:C NPV:C CF:NO")/I30</f>
        <v>99.590264262067905</v>
      </c>
      <c r="AA30">
        <f t="shared" ca="1" si="16"/>
        <v>1.6402642620679018</v>
      </c>
      <c r="AB30">
        <f t="shared" ca="1" si="4"/>
        <v>1.688381863800468</v>
      </c>
      <c r="AC30">
        <f t="shared" ca="1" si="5"/>
        <v>-1.7064059386913497E-2</v>
      </c>
      <c r="AD30">
        <v>9</v>
      </c>
      <c r="AE30">
        <f t="shared" ca="1" si="6"/>
        <v>9</v>
      </c>
      <c r="AF30">
        <f t="shared" ca="1" si="17"/>
        <v>41382</v>
      </c>
      <c r="AG30">
        <f t="shared" ca="1" si="18"/>
        <v>9</v>
      </c>
      <c r="AH30">
        <f>_xll.RData(B30,$AH$21)</f>
        <v>41382</v>
      </c>
      <c r="AI30" t="str">
        <f t="shared" ca="1" si="19"/>
        <v>13附息国债08</v>
      </c>
      <c r="AJ30" t="str">
        <f t="shared" ca="1" si="20"/>
        <v>CN130008=</v>
      </c>
      <c r="AK30">
        <f ca="1">_xll.AdAccrued(S30,G30,F30,O30:Q30)-X30</f>
        <v>-2.4982475484691968</v>
      </c>
      <c r="AL30">
        <f t="shared" ca="1" si="7"/>
        <v>0.7917524515308032</v>
      </c>
      <c r="AM30">
        <f t="shared" ca="1" si="8"/>
        <v>0.48014186380045021</v>
      </c>
      <c r="AN30">
        <f t="shared" ca="1" si="9"/>
        <v>0.79320547945205477</v>
      </c>
      <c r="AO30">
        <f t="shared" ca="1" si="10"/>
        <v>1.2718943153312534</v>
      </c>
      <c r="AP30">
        <f t="shared" ca="1" si="21"/>
        <v>0.47868883587919864</v>
      </c>
      <c r="AQ30">
        <f t="shared" ca="1" si="11"/>
        <v>1.6869288358792165</v>
      </c>
      <c r="AS30">
        <f>_xll.BdConvFactor("CTF",INDEX($W$3:$W$5,$H$10),G30,F30/100,O30)</f>
        <v>1.0127999999999999</v>
      </c>
      <c r="AT30">
        <f>_xll.BdConvFactor("CTF",INDEX($W$3:$W$5,$H$10),G30,F30/100)</f>
        <v>1.0128999999999999</v>
      </c>
      <c r="AU30">
        <f t="shared" si="12"/>
        <v>1.0127999999999999</v>
      </c>
      <c r="AV30" t="str">
        <f t="shared" si="13"/>
        <v>每年</v>
      </c>
      <c r="AW30" t="str">
        <f t="shared" si="22"/>
        <v>FRQ:1</v>
      </c>
      <c r="AX30">
        <f>_xll.BdConvFactor("CTF",INDEX($W$3:$W$5,$H$10),G30,F30/100,AW30)</f>
        <v>1.0127999999999999</v>
      </c>
      <c r="AY30">
        <f t="shared" si="23"/>
        <v>0</v>
      </c>
    </row>
    <row r="31" spans="1:52" x14ac:dyDescent="0.2">
      <c r="A31" s="6" t="str">
        <f t="shared" si="24"/>
        <v>CTFc1=CTD10</v>
      </c>
      <c r="B31" t="str">
        <f>LEFT(_xll.RData($A31,$B$21),9)</f>
        <v>CN130015=</v>
      </c>
      <c r="C31" t="str">
        <f t="shared" si="14"/>
        <v>CN130015=CFXM</v>
      </c>
      <c r="D31" t="str">
        <f t="shared" si="15"/>
        <v>CN130015=CFXM</v>
      </c>
      <c r="E31" t="str">
        <f>TRIM(_xll.RData(D31,$E$21))</f>
        <v>13附息国债15</v>
      </c>
      <c r="F31">
        <f>_xll.RData(B31,$F$21)</f>
        <v>3.46</v>
      </c>
      <c r="G31">
        <f>_xll.RData(B31,$G$21)</f>
        <v>44023</v>
      </c>
      <c r="H31" t="str">
        <f>TRIM(_xll.RData(B31,$H$21))</f>
        <v>每年</v>
      </c>
      <c r="I31">
        <f>TRIM(_xll.RData(A31,$I$21))*1</f>
        <v>1.0214000000000001</v>
      </c>
      <c r="J31">
        <f>_xll.RData(C31,$J$21)</f>
        <v>101.7265</v>
      </c>
      <c r="K31" s="2">
        <f>_xll.RData(C31,$K$21)</f>
        <v>0.38603009259259258</v>
      </c>
      <c r="L31" s="3">
        <f>_xll.RData(C31,$L$21)</f>
        <v>42082</v>
      </c>
      <c r="M31" t="str">
        <f>_xll.RData(C31,$M$21)</f>
        <v xml:space="preserve">西南证券        </v>
      </c>
      <c r="N31">
        <f t="shared" si="2"/>
        <v>1.6803699999999964</v>
      </c>
      <c r="O31" s="7" t="str">
        <f>_xll.RData(B31,$O$21:$Q$21)</f>
        <v xml:space="preserve">ACC:AA CCM:BBAA CFADJ:NO CLDR:CHN_FI DATED:11JUL2013 DMC:F EMC:S FRCD:11JUL2014 FRQ:1 ISSUE:11JUL2013 NOTIONAL:1 PX:C PXRND:1E-6:NEAR REFDATE:MATURITY RP:1 SETTLE:1WD XD:NO YLDRND:1E-6:NEAR </v>
      </c>
      <c r="P31" s="7"/>
      <c r="Q31" s="7"/>
      <c r="R31">
        <f t="shared" ca="1" si="25"/>
        <v>42083</v>
      </c>
      <c r="S31">
        <f t="shared" si="26"/>
        <v>42171</v>
      </c>
      <c r="T31" s="8">
        <f ca="1">IF(OR(J31=0,LEFT(J31,1)="*"),-ROW()/10,_xll.BdRepo(R31,S31,J31,$N$21*I31,0,G31,F31,O31:Q31,"RR:MMA5 RES:IMPRATE FV:C NPV:C CF:NO"))</f>
        <v>-3.3709894111870913E-2</v>
      </c>
      <c r="U31" t="str">
        <f>_xll.RData(B31,$U$21)</f>
        <v>CLDRADJ:NO DCB:AA EY:1 LLP:AA RATEFRQ:FRQ RATETYPE:ACT RM:YTA</v>
      </c>
      <c r="V31" s="9">
        <f ca="1">_xll.AdBondYield(R31,J31/100,G31,F31/100,O31:Q31,U31)</f>
        <v>3.1E-2</v>
      </c>
      <c r="W31" s="9">
        <f ca="1">_xll.AdBondYield(R31,$N$21/100*I31,G31,F31/100,O31:Q31,U31)</f>
        <v>3.4477000000000001E-2</v>
      </c>
      <c r="X31">
        <f ca="1">_xll.AdAccrued(R31,G31,F31,O31:Q31)</f>
        <v>2.3888219178082193</v>
      </c>
      <c r="Y31">
        <f t="shared" ca="1" si="3"/>
        <v>104.11532191780822</v>
      </c>
      <c r="Z31">
        <f ca="1">_xll.BdRepo(R31,S31,J31,0,$Z$21,G31,F31,O31:Q31,"RR:MMA5 RES:FV FV:C NPV:C CF:NO")/I31</f>
        <v>100.03181790442646</v>
      </c>
      <c r="AA31">
        <f t="shared" ca="1" si="16"/>
        <v>2.0818179044264582</v>
      </c>
      <c r="AB31">
        <f t="shared" ca="1" si="4"/>
        <v>2.1263688075812035</v>
      </c>
      <c r="AC31">
        <f t="shared" ca="1" si="5"/>
        <v>-3.3709894111870913E-2</v>
      </c>
      <c r="AD31">
        <v>10</v>
      </c>
      <c r="AE31">
        <f t="shared" ca="1" si="6"/>
        <v>10</v>
      </c>
      <c r="AF31">
        <f t="shared" ca="1" si="17"/>
        <v>41298</v>
      </c>
      <c r="AG31">
        <f t="shared" ca="1" si="18"/>
        <v>4</v>
      </c>
      <c r="AH31">
        <f>_xll.RData(B31,$AH$21)</f>
        <v>41466</v>
      </c>
      <c r="AI31" t="str">
        <f t="shared" ca="1" si="19"/>
        <v>13附息国债03</v>
      </c>
      <c r="AJ31" t="str">
        <f t="shared" ca="1" si="20"/>
        <v>CN130003=</v>
      </c>
      <c r="AK31">
        <f ca="1">_xll.AdAccrued(S31,G31,F31,O31:Q31)-X31</f>
        <v>0.83419178082191747</v>
      </c>
      <c r="AL31">
        <f t="shared" ca="1" si="7"/>
        <v>0.83419178082191747</v>
      </c>
      <c r="AM31">
        <f t="shared" ca="1" si="8"/>
        <v>0.44599880758120714</v>
      </c>
      <c r="AN31">
        <f t="shared" ca="1" si="9"/>
        <v>0.83419178082191781</v>
      </c>
      <c r="AO31">
        <f t="shared" ca="1" si="10"/>
        <v>1.2801905884031246</v>
      </c>
      <c r="AP31">
        <f t="shared" ca="1" si="21"/>
        <v>0.4459988075812068</v>
      </c>
      <c r="AQ31">
        <f t="shared" ca="1" si="11"/>
        <v>2.1263688075812031</v>
      </c>
      <c r="AS31">
        <f>_xll.BdConvFactor("CTF",INDEX($W$3:$W$5,$H$10),G31,F31/100,O31)</f>
        <v>1.0213000000000001</v>
      </c>
      <c r="AT31">
        <f>_xll.BdConvFactor("CTF",INDEX($W$3:$W$5,$H$10),G31,F31/100)</f>
        <v>1.0215000000000001</v>
      </c>
      <c r="AU31">
        <f t="shared" si="12"/>
        <v>1.0214000000000001</v>
      </c>
      <c r="AV31" t="str">
        <f t="shared" si="13"/>
        <v>每年</v>
      </c>
      <c r="AW31" t="str">
        <f t="shared" si="22"/>
        <v>FRQ:1</v>
      </c>
      <c r="AX31">
        <f>_xll.BdConvFactor("CTF",INDEX($W$3:$W$5,$H$10),G31,F31/100,AW31)</f>
        <v>1.0214000000000001</v>
      </c>
      <c r="AY31">
        <f t="shared" si="23"/>
        <v>0</v>
      </c>
    </row>
    <row r="32" spans="1:52" x14ac:dyDescent="0.2">
      <c r="A32" s="6" t="str">
        <f t="shared" si="24"/>
        <v>CTFc1=CTD11</v>
      </c>
      <c r="B32" t="str">
        <f>LEFT(_xll.RData($A32,$B$21),9)</f>
        <v>CN130020=</v>
      </c>
      <c r="C32" t="str">
        <f t="shared" si="14"/>
        <v>CN130020=CFXM</v>
      </c>
      <c r="D32" t="str">
        <f t="shared" si="15"/>
        <v>CN130020=CFXM</v>
      </c>
      <c r="E32" t="str">
        <f>TRIM(_xll.RData(D32,$E$21))</f>
        <v>13附息国债20</v>
      </c>
      <c r="F32">
        <f>_xll.RData(B32,$F$21)</f>
        <v>4.07</v>
      </c>
      <c r="G32">
        <f>_xll.RData(B32,$G$21)</f>
        <v>44121</v>
      </c>
      <c r="H32" t="str">
        <f>TRIM(_xll.RData(B32,$H$21))</f>
        <v>每年</v>
      </c>
      <c r="I32">
        <f>TRIM(_xll.RData(A32,$I$21))*1</f>
        <v>1.0519000000000001</v>
      </c>
      <c r="J32">
        <f>_xll.RData(C32,$J$21)</f>
        <v>104.8844</v>
      </c>
      <c r="K32" s="2">
        <f>_xll.RData(C32,$K$21)</f>
        <v>0.41365740740740742</v>
      </c>
      <c r="L32" s="3">
        <f>_xll.RData(C32,$L$21)</f>
        <v>42082</v>
      </c>
      <c r="M32" t="str">
        <f>_xll.RData(C32,$M$21)</f>
        <v xml:space="preserve">中信建投证券    </v>
      </c>
      <c r="N32">
        <f t="shared" si="2"/>
        <v>1.8507949999999909</v>
      </c>
      <c r="O32" s="7" t="str">
        <f>_xll.RData(B32,$O$21:$Q$21)</f>
        <v xml:space="preserve">ACC:AA CCM:BBAA CFADJ:NO CLDR:CHN_FI DATED:17OCT2013 DMC:F EMC:S FRCD:17OCT2014 FRQ:1 ISSUE:17OCT2013 NOTIONAL:1 PX:C PXRND:1E-6:NEAR REFDATE:MATURITY RP:1 SETTLE:1WD XD:NO YLDRND:1E-6:NEAR </v>
      </c>
      <c r="P32" s="7"/>
      <c r="Q32" s="7"/>
      <c r="R32">
        <f t="shared" ca="1" si="25"/>
        <v>42083</v>
      </c>
      <c r="S32">
        <f t="shared" si="26"/>
        <v>42171</v>
      </c>
      <c r="T32" s="8">
        <f ca="1">IF(OR(J32=0,LEFT(J32,1)="*"),-ROW()/10,_xll.BdRepo(R32,S32,J32,$N$21*I32,0,G32,F32,O32:Q32,"RR:MMA5 RES:IMPRATE FV:C NPV:C CF:NO"))</f>
        <v>-3.3832444469350867E-2</v>
      </c>
      <c r="U32" t="str">
        <f>_xll.RData(B32,$U$21)</f>
        <v>CLDRADJ:NO DCB:AA EY:1 LLP:AA RATEFRQ:FRQ RATETYPE:ACT RM:YTA</v>
      </c>
      <c r="V32" s="9">
        <f ca="1">_xll.AdBondYield(R32,J32/100,G32,F32/100,O32:Q32,U32)</f>
        <v>3.1E-2</v>
      </c>
      <c r="W32" s="9">
        <f ca="1">_xll.AdBondYield(R32,$N$21/100*I32,G32,F32/100,O32:Q32,U32)</f>
        <v>3.4592999999999999E-2</v>
      </c>
      <c r="X32">
        <f ca="1">_xll.AdAccrued(R32,G32,F32,O32:Q32)</f>
        <v>1.7172054794520548</v>
      </c>
      <c r="Y32">
        <f t="shared" ca="1" si="3"/>
        <v>106.60160547945205</v>
      </c>
      <c r="Z32">
        <f ca="1">_xll.BdRepo(R32,S32,J32,0,$Z$21,G32,F32,O32:Q32,"RR:MMA5 RES:FV FV:C NPV:C CF:NO")/I32</f>
        <v>100.02272210726784</v>
      </c>
      <c r="AA32">
        <f t="shared" ca="1" si="16"/>
        <v>2.0727221072678361</v>
      </c>
      <c r="AB32">
        <f t="shared" ca="1" si="4"/>
        <v>2.1802963846350547</v>
      </c>
      <c r="AC32">
        <f t="shared" ca="1" si="5"/>
        <v>-3.3832444469350867E-2</v>
      </c>
      <c r="AD32">
        <v>11</v>
      </c>
      <c r="AE32">
        <f t="shared" ca="1" si="6"/>
        <v>11</v>
      </c>
      <c r="AF32">
        <f t="shared" ca="1" si="17"/>
        <v>41158</v>
      </c>
      <c r="AG32">
        <f t="shared" ca="1" si="18"/>
        <v>6</v>
      </c>
      <c r="AH32">
        <f>_xll.RData(B32,$AH$21)</f>
        <v>41564</v>
      </c>
      <c r="AI32" t="str">
        <f t="shared" ca="1" si="19"/>
        <v>12附息国债16</v>
      </c>
      <c r="AJ32" t="str">
        <f t="shared" ca="1" si="20"/>
        <v>CN120016=</v>
      </c>
      <c r="AK32">
        <f ca="1">_xll.AdAccrued(S32,G32,F32,O32:Q32)-X32</f>
        <v>0.98126027397260307</v>
      </c>
      <c r="AL32">
        <f t="shared" ca="1" si="7"/>
        <v>0.98126027397260307</v>
      </c>
      <c r="AM32">
        <f t="shared" ca="1" si="8"/>
        <v>0.32950138463506362</v>
      </c>
      <c r="AN32">
        <f t="shared" ca="1" si="9"/>
        <v>0.98126027397260285</v>
      </c>
      <c r="AO32">
        <f t="shared" ca="1" si="10"/>
        <v>1.3107616586076667</v>
      </c>
      <c r="AP32">
        <f t="shared" ca="1" si="21"/>
        <v>0.32950138463506384</v>
      </c>
      <c r="AQ32">
        <f t="shared" ca="1" si="11"/>
        <v>2.1802963846350547</v>
      </c>
      <c r="AS32">
        <f>_xll.BdConvFactor("CTF",INDEX($W$3:$W$5,$H$10),G32,F32/100,O32)</f>
        <v>1.0519000000000001</v>
      </c>
      <c r="AT32">
        <f>_xll.BdConvFactor("CTF",INDEX($W$3:$W$5,$H$10),G32,F32/100)</f>
        <v>1.0523</v>
      </c>
      <c r="AU32">
        <f t="shared" si="12"/>
        <v>1.0519000000000001</v>
      </c>
      <c r="AV32" t="str">
        <f t="shared" si="13"/>
        <v>每年</v>
      </c>
      <c r="AW32" t="str">
        <f t="shared" si="22"/>
        <v>FRQ:1</v>
      </c>
      <c r="AX32">
        <f>_xll.BdConvFactor("CTF",INDEX($W$3:$W$5,$H$10),G32,F32/100,AW32)</f>
        <v>1.0519000000000001</v>
      </c>
      <c r="AY32">
        <f t="shared" si="23"/>
        <v>0</v>
      </c>
    </row>
    <row r="33" spans="1:51" x14ac:dyDescent="0.2">
      <c r="A33" s="6" t="str">
        <f t="shared" si="24"/>
        <v>CTFc1=CTD12</v>
      </c>
      <c r="B33" t="str">
        <f>LEFT(_xll.RData($A33,$B$21),9)</f>
        <v>CN120009=</v>
      </c>
      <c r="C33" t="str">
        <f t="shared" si="14"/>
        <v>CN120009=CFXM</v>
      </c>
      <c r="D33" t="str">
        <f t="shared" si="15"/>
        <v>CN120009=CFXM</v>
      </c>
      <c r="E33" t="str">
        <f>TRIM(_xll.RData(D33,$E$21))</f>
        <v>12附息国债09</v>
      </c>
      <c r="F33">
        <f>_xll.RData(B33,$F$21)</f>
        <v>3.36</v>
      </c>
      <c r="G33">
        <f>_xll.RData(B33,$G$21)</f>
        <v>44705</v>
      </c>
      <c r="H33" t="str">
        <f>TRIM(_xll.RData(B33,$H$21))</f>
        <v>每半年</v>
      </c>
      <c r="I33">
        <f>TRIM(_xll.RData(A33,$I$21))*1</f>
        <v>1.0223</v>
      </c>
      <c r="J33">
        <f>_xll.RData(C33,$J$21)</f>
        <v>101.9824</v>
      </c>
      <c r="K33" s="2">
        <f>_xll.RData(C33,$K$21)</f>
        <v>0.38032407407407409</v>
      </c>
      <c r="L33" s="3">
        <f>_xll.RData(C33,$L$21)</f>
        <v>42082</v>
      </c>
      <c r="M33" t="str">
        <f>_xll.RData(C33,$M$21)</f>
        <v xml:space="preserve">东海证券        </v>
      </c>
      <c r="N33">
        <f t="shared" si="2"/>
        <v>1.8481149999999928</v>
      </c>
      <c r="O33" s="7" t="str">
        <f>_xll.RData(B33,$O$21:$Q$21)</f>
        <v xml:space="preserve">ACC:AA CCM:BBAA CFADJ:NO CLDR:CHN_FI DATED:24MAY2012 DMC:F EMC:S FRCD:24NOV2012 FRQ:2 ISSUE:24MAY2012 NOTIONAL:1 PX:C PXRND:1E-6:NEAR REFDATE:MATURITY RP:1 SETTLE:1WD XD:NO YLDRND:1E-6:NEAR </v>
      </c>
      <c r="P33" s="7"/>
      <c r="Q33" s="7"/>
      <c r="R33">
        <f t="shared" ca="1" si="25"/>
        <v>42083</v>
      </c>
      <c r="S33">
        <f t="shared" si="26"/>
        <v>42171</v>
      </c>
      <c r="T33" s="8">
        <f ca="1">IF(OR(J33=0,LEFT(J33,1)="*"),-ROW()/10,_xll.BdRepo(R33,S33,J33,$N$21*I33,0,G33,F33,O33:Q33,"RR:MMA5 RES:IMPRATE FV:C NPV:C CF:NO"))</f>
        <v>-4.1824875942635974E-2</v>
      </c>
      <c r="U33" t="str">
        <f>_xll.RData(B33,$U$21)</f>
        <v>CLDRADJ:NO DCB:AA EY:2 LLP:AA RATEFRQ:FRQ RATETYPE:ACT RM:YTA</v>
      </c>
      <c r="V33" s="9">
        <f ca="1">_xll.AdBondYield(R33,J33/100,G33,F33/100,O33:Q33,U33)</f>
        <v>3.0499999999999999E-2</v>
      </c>
      <c r="W33" s="9">
        <f ca="1">_xll.AdBondYield(R33,$N$21/100*I33,G33,F33/100,O33:Q33,U33)</f>
        <v>3.3382999999999996E-2</v>
      </c>
      <c r="X33">
        <f ca="1">_xll.AdAccrued(R33,G33,F33,O33:Q33)</f>
        <v>1.0766850828729282</v>
      </c>
      <c r="Y33">
        <f t="shared" ca="1" si="3"/>
        <v>103.05908508287293</v>
      </c>
      <c r="Z33">
        <f ca="1">_xll.BdRepo(R33,S33,J33,0,$Z$21,G33,F33,O33:Q33,"RR:MMA5 RES:FV FV:C NPV:C CF:NO")/I33</f>
        <v>100.19650717520008</v>
      </c>
      <c r="AA33">
        <f t="shared" ca="1" si="16"/>
        <v>2.2465071752000796</v>
      </c>
      <c r="AB33">
        <f t="shared" ca="1" si="4"/>
        <v>2.3020032989056629</v>
      </c>
      <c r="AC33">
        <f t="shared" ca="1" si="5"/>
        <v>-4.1824875942635974E-2</v>
      </c>
      <c r="AD33">
        <v>12</v>
      </c>
      <c r="AE33">
        <f t="shared" ca="1" si="6"/>
        <v>12</v>
      </c>
      <c r="AF33">
        <f t="shared" ca="1" si="17"/>
        <v>41053</v>
      </c>
      <c r="AG33">
        <f t="shared" ca="1" si="18"/>
        <v>12</v>
      </c>
      <c r="AH33">
        <f>_xll.RData(B33,$AH$21)</f>
        <v>41053</v>
      </c>
      <c r="AI33" t="str">
        <f t="shared" ca="1" si="19"/>
        <v>12附息国债09</v>
      </c>
      <c r="AJ33" t="str">
        <f t="shared" ca="1" si="20"/>
        <v>CN120009=</v>
      </c>
      <c r="AK33">
        <f ca="1">_xll.AdAccrued(S33,G33,F33,O33:Q33)-X33</f>
        <v>-0.86668508287292823</v>
      </c>
      <c r="AL33">
        <f t="shared" ca="1" si="7"/>
        <v>0.81331491712707171</v>
      </c>
      <c r="AM33">
        <f t="shared" ca="1" si="8"/>
        <v>0.45388829890566984</v>
      </c>
      <c r="AN33">
        <f t="shared" ca="1" si="9"/>
        <v>0.81008219178082186</v>
      </c>
      <c r="AO33">
        <f t="shared" ca="1" si="10"/>
        <v>1.2672032160327416</v>
      </c>
      <c r="AP33">
        <f t="shared" ca="1" si="21"/>
        <v>0.45712102425191969</v>
      </c>
      <c r="AQ33">
        <f t="shared" ca="1" si="11"/>
        <v>2.3052360242519123</v>
      </c>
      <c r="AS33">
        <f>_xll.BdConvFactor("CTF",INDEX($W$3:$W$5,$H$10),G33,F33/100,O33)</f>
        <v>1.0223</v>
      </c>
      <c r="AT33">
        <f>_xll.BdConvFactor("CTF",INDEX($W$3:$W$5,$H$10),G33,F33/100)</f>
        <v>1.0223</v>
      </c>
      <c r="AU33">
        <f t="shared" si="12"/>
        <v>1.0223</v>
      </c>
      <c r="AV33" t="str">
        <f t="shared" si="13"/>
        <v>每半年</v>
      </c>
      <c r="AW33" t="str">
        <f t="shared" si="22"/>
        <v>FRQ:2</v>
      </c>
      <c r="AX33">
        <f>_xll.BdConvFactor("CTF",INDEX($W$3:$W$5,$H$10),G33,F33/100,AW33)</f>
        <v>1.0223</v>
      </c>
      <c r="AY33">
        <f t="shared" si="23"/>
        <v>0</v>
      </c>
    </row>
    <row r="34" spans="1:51" x14ac:dyDescent="0.2">
      <c r="A34" s="6" t="str">
        <f t="shared" si="24"/>
        <v>CTFc1=CTD13</v>
      </c>
      <c r="B34" t="str">
        <f>LEFT(_xll.RData($A34,$B$21),9)</f>
        <v>CN110024=</v>
      </c>
      <c r="C34" t="str">
        <f t="shared" si="14"/>
        <v>CN110024=CFXM</v>
      </c>
      <c r="D34" t="str">
        <f t="shared" si="15"/>
        <v>CN110024=CFXM</v>
      </c>
      <c r="E34" t="str">
        <f>TRIM(_xll.RData(D34,$E$21))</f>
        <v>11附息国债24</v>
      </c>
      <c r="F34">
        <f>_xll.RData(B34,$F$21)</f>
        <v>3.5700000000000003</v>
      </c>
      <c r="G34">
        <f>_xll.RData(B34,$G$21)</f>
        <v>44517</v>
      </c>
      <c r="H34" t="str">
        <f>TRIM(_xll.RData(B34,$H$21))</f>
        <v>每半年</v>
      </c>
      <c r="I34">
        <f>TRIM(_xll.RData(A34,$I$21))*1</f>
        <v>1.0329999999999999</v>
      </c>
      <c r="J34">
        <f>_xll.RData(C34,$J$21)</f>
        <v>103.10990000000001</v>
      </c>
      <c r="K34" s="2">
        <f>_xll.RData(C34,$K$21)</f>
        <v>0.38032407407407409</v>
      </c>
      <c r="L34" s="3">
        <f>_xll.RData(C34,$L$21)</f>
        <v>42082</v>
      </c>
      <c r="M34" t="str">
        <f>_xll.RData(C34,$M$21)</f>
        <v xml:space="preserve">东海证券        </v>
      </c>
      <c r="N34">
        <f t="shared" si="2"/>
        <v>1.9275500000000108</v>
      </c>
      <c r="O34" s="7" t="str">
        <f>_xll.RData(B34,$O$21:$Q$21)</f>
        <v xml:space="preserve">ACC:AA CCM:BBAA CFADJ:NO CLDR:CHN_FI DATED:17NOV2011 DMC:F EMC:S FRCD:17MAY2012 FRQ:2 ISSUE:17NOV2011 LRCD:17MAY2020 NOTIONAL:1 PX:C PXRND:1E-6:NEAR REFDATE:MATURITY RP:1 SETTLE:1WD XD:NO YLDRND:1E-6:NEAR </v>
      </c>
      <c r="P34" s="7"/>
      <c r="Q34" s="7"/>
      <c r="R34">
        <f t="shared" ca="1" si="25"/>
        <v>42083</v>
      </c>
      <c r="S34">
        <f t="shared" si="26"/>
        <v>42171</v>
      </c>
      <c r="T34" s="8">
        <f ca="1">IF(OR(J34=0,LEFT(J34,1)="*"),-ROW()/10,_xll.BdRepo(R34,S34,J34,$N$21*I34,0,G34,F34,O34:Q34,"RR:MMA5 RES:IMPRATE FV:C NPV:C CF:NO"))</f>
        <v>-4.2572431066350058E-2</v>
      </c>
      <c r="U34" t="str">
        <f>_xll.RData(B34,$U$21)</f>
        <v>CLDRADJ:NO DCB:AA EY:2 LLP:AA RATEFRQ:FRQ RATETYPE:ACT RM:YTA</v>
      </c>
      <c r="V34" s="9">
        <f ca="1">_xll.AdBondYield(R34,J34/100,G34,F34/100,O34:Q34,U34)</f>
        <v>3.039E-2</v>
      </c>
      <c r="W34" s="9">
        <f ca="1">_xll.AdBondYield(R34,$N$21/100*I34,G34,F34/100,O34:Q34,U34)</f>
        <v>3.3576000000000002E-2</v>
      </c>
      <c r="X34">
        <f ca="1">_xll.AdAccrued(R34,G34,F34,O34:Q34)</f>
        <v>1.2130110497237572</v>
      </c>
      <c r="Y34">
        <f t="shared" ca="1" si="3"/>
        <v>104.32291104972377</v>
      </c>
      <c r="Z34">
        <f ca="1">_xll.BdRepo(R34,S34,J34,0,$Z$21,G34,F34,O34:Q34,"RR:MMA5 RES:FV FV:C NPV:C CF:NO")/I34</f>
        <v>100.21504278207227</v>
      </c>
      <c r="AA34">
        <f t="shared" ca="1" si="16"/>
        <v>2.2650427820722712</v>
      </c>
      <c r="AB34">
        <f t="shared" ca="1" si="4"/>
        <v>2.3472715226477798</v>
      </c>
      <c r="AC34">
        <f t="shared" ca="1" si="5"/>
        <v>-4.2560421559716323E-2</v>
      </c>
      <c r="AD34">
        <v>13</v>
      </c>
      <c r="AE34">
        <f t="shared" ca="1" si="6"/>
        <v>14</v>
      </c>
      <c r="AF34">
        <f t="shared" ca="1" si="17"/>
        <v>40962</v>
      </c>
      <c r="AG34">
        <f t="shared" ca="1" si="18"/>
        <v>15</v>
      </c>
      <c r="AH34">
        <f>_xll.RData(B34,$AH$21)</f>
        <v>40864</v>
      </c>
      <c r="AI34" t="str">
        <f t="shared" ca="1" si="19"/>
        <v>12附息国债04</v>
      </c>
      <c r="AJ34" t="str">
        <f t="shared" ca="1" si="20"/>
        <v>CN120004=</v>
      </c>
      <c r="AK34">
        <f ca="1">_xll.AdAccrued(S34,G34,F34,O34:Q34)-X34</f>
        <v>-0.92197844102810489</v>
      </c>
      <c r="AL34">
        <f t="shared" ca="1" si="7"/>
        <v>0.86302155897189525</v>
      </c>
      <c r="AM34">
        <f t="shared" ca="1" si="8"/>
        <v>0.4197215226477693</v>
      </c>
      <c r="AN34">
        <f t="shared" ca="1" si="9"/>
        <v>0.86071232876712345</v>
      </c>
      <c r="AO34">
        <f t="shared" ca="1" si="10"/>
        <v>1.2827430816196645</v>
      </c>
      <c r="AP34">
        <f t="shared" ca="1" si="21"/>
        <v>0.4220307528525411</v>
      </c>
      <c r="AQ34">
        <f t="shared" ca="1" si="11"/>
        <v>2.3495807528525519</v>
      </c>
      <c r="AS34">
        <f>_xll.BdConvFactor("CTF",INDEX($W$3:$W$5,$H$10),G34,F34/100,O34)</f>
        <v>1.0324</v>
      </c>
      <c r="AT34">
        <f>_xll.BdConvFactor("CTF",INDEX($W$3:$W$5,$H$10),G34,F34/100)</f>
        <v>1.0329999999999999</v>
      </c>
      <c r="AU34">
        <f t="shared" si="12"/>
        <v>1.0329999999999999</v>
      </c>
      <c r="AV34" t="str">
        <f t="shared" si="13"/>
        <v>每半年</v>
      </c>
      <c r="AW34" t="str">
        <f t="shared" si="22"/>
        <v>FRQ:2</v>
      </c>
      <c r="AX34">
        <f>_xll.BdConvFactor("CTF",INDEX($W$3:$W$5,$H$10),G34,F34/100,AW34)</f>
        <v>1.0329999999999999</v>
      </c>
      <c r="AY34">
        <f t="shared" si="23"/>
        <v>0</v>
      </c>
    </row>
    <row r="35" spans="1:51" x14ac:dyDescent="0.2">
      <c r="A35" s="6" t="str">
        <f t="shared" si="24"/>
        <v>CTFc1=CTD14</v>
      </c>
      <c r="B35" t="str">
        <f>LEFT(_xll.RData($A35,$B$21),9)</f>
        <v>CN060019=</v>
      </c>
      <c r="C35" t="str">
        <f t="shared" si="14"/>
        <v>CN060019=CFXM</v>
      </c>
      <c r="D35" t="str">
        <f t="shared" si="15"/>
        <v>CN060019=CFXM</v>
      </c>
      <c r="E35" t="str">
        <f>TRIM(_xll.RData(D35,$E$21))</f>
        <v>06国债19</v>
      </c>
      <c r="F35">
        <f>_xll.RData(B35,$F$21)</f>
        <v>3.27</v>
      </c>
      <c r="G35">
        <f>_xll.RData(B35,$G$21)</f>
        <v>44515</v>
      </c>
      <c r="H35" t="str">
        <f>TRIM(_xll.RData(B35,$H$21))</f>
        <v>每半年</v>
      </c>
      <c r="I35">
        <f>TRIM(_xll.RData(A35,$I$21))*1</f>
        <v>1.0156000000000001</v>
      </c>
      <c r="J35">
        <f>_xll.RData(C35,$J$21)</f>
        <v>101.3133</v>
      </c>
      <c r="K35" s="2">
        <f>_xll.RData(C35,$K$21)</f>
        <v>0.38032407407407409</v>
      </c>
      <c r="L35" s="3">
        <f>_xll.RData(C35,$L$21)</f>
        <v>42082</v>
      </c>
      <c r="M35" t="str">
        <f>_xll.RData(C35,$M$21)</f>
        <v xml:space="preserve">东海证券        </v>
      </c>
      <c r="N35">
        <f t="shared" si="2"/>
        <v>1.8352799999999831</v>
      </c>
      <c r="O35" s="7" t="str">
        <f>_xll.RData(B35,$O$21:$Q$21)</f>
        <v xml:space="preserve">ACC:AA CCM:BBAA CFADJ:NO CLDR:CHN_FI DATED:15NOV2006 DMC:F EMC:S FRCD:15MAY2007 FRQ:2 ISSUE:15NOV2006 NOTIONAL:1 PX:C PXRND:1E-6:NEAR REFDATE:MATURITY RP:1 SETTLE:1WD XD:NO YLDRND:1E-6:NEAR </v>
      </c>
      <c r="P35" s="7"/>
      <c r="Q35" s="7"/>
      <c r="R35">
        <f t="shared" ca="1" si="25"/>
        <v>42083</v>
      </c>
      <c r="S35">
        <f t="shared" si="26"/>
        <v>42171</v>
      </c>
      <c r="T35" s="8">
        <f ca="1">IF(OR(J35=0,LEFT(J35,1)="*"),-ROW()/10,_xll.BdRepo(R35,S35,J35,$N$21*I35,0,G35,F35,O35:Q35,"RR:MMA5 RES:IMPRATE FV:C NPV:C CF:NO"))</f>
        <v>-4.2560421559716323E-2</v>
      </c>
      <c r="U35" t="str">
        <f>_xll.RData(B35,$U$21)</f>
        <v>CLDRADJ:NO DCB:AA EY:2 LLP:AA RATEFRQ:FRQ RATETYPE:ACT RM:YTA</v>
      </c>
      <c r="V35" s="9">
        <f ca="1">_xll.AdBondYield(R35,J35/100,G35,F35/100,O35:Q35,U35)</f>
        <v>3.0499999999999999E-2</v>
      </c>
      <c r="W35" s="9">
        <f ca="1">_xll.AdBondYield(R35,$N$21/100*I35,G35,F35/100,O35:Q35,U35)</f>
        <v>3.3577000000000003E-2</v>
      </c>
      <c r="X35">
        <f ca="1">_xll.AdAccrued(R35,G35,F35,O35:Q35)</f>
        <v>1.1291436464088398</v>
      </c>
      <c r="Y35">
        <f t="shared" ca="1" si="3"/>
        <v>102.44244364640883</v>
      </c>
      <c r="Z35">
        <f ca="1">_xll.BdRepo(R35,S35,J35,0,$Z$21,G35,F35,O35:Q35,"RR:MMA5 RES:FV FV:C NPV:C CF:NO")/I35</f>
        <v>100.21209769109448</v>
      </c>
      <c r="AA35">
        <f t="shared" ca="1" si="16"/>
        <v>2.2620976910944819</v>
      </c>
      <c r="AB35">
        <f t="shared" ca="1" si="4"/>
        <v>2.3046968808289892</v>
      </c>
      <c r="AC35">
        <f t="shared" ca="1" si="5"/>
        <v>-4.2572431066350058E-2</v>
      </c>
      <c r="AD35">
        <v>14</v>
      </c>
      <c r="AE35">
        <f t="shared" ca="1" si="6"/>
        <v>13</v>
      </c>
      <c r="AF35">
        <f t="shared" ca="1" si="17"/>
        <v>40864</v>
      </c>
      <c r="AG35">
        <f t="shared" ca="1" si="18"/>
        <v>13</v>
      </c>
      <c r="AH35">
        <f>_xll.RData(B35,$AH$21)</f>
        <v>39036</v>
      </c>
      <c r="AI35" t="str">
        <f t="shared" ca="1" si="19"/>
        <v>11附息国债24</v>
      </c>
      <c r="AJ35" t="str">
        <f t="shared" ca="1" si="20"/>
        <v>CN110024=</v>
      </c>
      <c r="AK35">
        <f ca="1">_xll.AdAccrued(S35,G35,F35,O35:Q35)-X35</f>
        <v>-0.84479582032188327</v>
      </c>
      <c r="AL35">
        <f t="shared" ca="1" si="7"/>
        <v>0.79020417967811674</v>
      </c>
      <c r="AM35">
        <f t="shared" ca="1" si="8"/>
        <v>0.46941688082900601</v>
      </c>
      <c r="AN35">
        <f t="shared" ca="1" si="9"/>
        <v>0.78838356164383561</v>
      </c>
      <c r="AO35">
        <f t="shared" ca="1" si="10"/>
        <v>1.2596210605071227</v>
      </c>
      <c r="AP35">
        <f t="shared" ca="1" si="21"/>
        <v>0.47123749886328714</v>
      </c>
      <c r="AQ35">
        <f t="shared" ca="1" si="11"/>
        <v>2.3065174988632702</v>
      </c>
      <c r="AS35">
        <f>_xll.BdConvFactor("CTF",INDEX($W$3:$W$5,$H$10),G35,F35/100,O35)</f>
        <v>1.0156000000000001</v>
      </c>
      <c r="AT35">
        <f>_xll.BdConvFactor("CTF",INDEX($W$3:$W$5,$H$10),G35,F35/100)</f>
        <v>1.0156000000000001</v>
      </c>
      <c r="AU35">
        <f t="shared" si="12"/>
        <v>1.0156000000000001</v>
      </c>
      <c r="AV35" t="str">
        <f t="shared" si="13"/>
        <v>每半年</v>
      </c>
      <c r="AW35" t="str">
        <f t="shared" si="22"/>
        <v>FRQ:2</v>
      </c>
      <c r="AX35">
        <f>_xll.BdConvFactor("CTF",INDEX($W$3:$W$5,$H$10),G35,F35/100,AW35)</f>
        <v>1.0156000000000001</v>
      </c>
      <c r="AY35">
        <f t="shared" si="23"/>
        <v>0</v>
      </c>
    </row>
    <row r="36" spans="1:51" x14ac:dyDescent="0.2">
      <c r="A36" s="6" t="str">
        <f t="shared" si="24"/>
        <v>CTFc1=CTD15</v>
      </c>
      <c r="B36" t="str">
        <f>LEFT(_xll.RData($A36,$B$21),9)</f>
        <v>CN120004=</v>
      </c>
      <c r="C36" t="str">
        <f t="shared" si="14"/>
        <v>CN120004=CFXM</v>
      </c>
      <c r="D36" t="str">
        <f t="shared" si="15"/>
        <v>CN120004=CFXM</v>
      </c>
      <c r="E36" t="str">
        <f>TRIM(_xll.RData(D36,$E$21))</f>
        <v>12附息国债04</v>
      </c>
      <c r="F36">
        <f>_xll.RData(B36,$F$21)</f>
        <v>3.5100000000000002</v>
      </c>
      <c r="G36">
        <f>_xll.RData(B36,$G$21)</f>
        <v>44615</v>
      </c>
      <c r="H36" t="str">
        <f>TRIM(_xll.RData(B36,$H$21))</f>
        <v>每半年</v>
      </c>
      <c r="I36">
        <f>TRIM(_xll.RData(A36,$I$21))*1</f>
        <v>1.0306</v>
      </c>
      <c r="J36">
        <f>_xll.RData(C36,$J$21)</f>
        <v>0</v>
      </c>
      <c r="K36" s="2" t="str">
        <f>_xll.RData(C36,$K$21)</f>
        <v xml:space="preserve">  :  </v>
      </c>
      <c r="L36" s="3" t="str">
        <f>_xll.RData(C36,$L$21)</f>
        <v/>
      </c>
      <c r="M36" t="str">
        <f>_xll.RData(C36,$M$21)</f>
        <v xml:space="preserve">                      </v>
      </c>
      <c r="N36">
        <f t="shared" si="2"/>
        <v>-100.94727</v>
      </c>
      <c r="O36" s="7" t="str">
        <f>_xll.RData(B36,$O$21:$Q$21)</f>
        <v xml:space="preserve">ACC:AA CCM:BBAA CFADJ:NO CLDR:CHN_FI DATED:23FEB2012 DMC:F EMC:S FRCD:23AUG2012 FRQ:2 ISSUE:23FEB2012 NOTIONAL:1 PX:C PXRND:1E-6:NEAR REFDATE:MATURITY RP:1 SETTLE:1WD XD:NO YLDRND:1E-6:NEAR </v>
      </c>
      <c r="P36" s="7"/>
      <c r="Q36" s="7"/>
      <c r="R36">
        <f t="shared" ca="1" si="25"/>
        <v>42083</v>
      </c>
      <c r="S36">
        <f t="shared" si="26"/>
        <v>42171</v>
      </c>
      <c r="T36" s="8">
        <f>IF(OR(J36=0,LEFT(J36,1)="*"),-ROW()/10,_xll.BdRepo(R36,S36,J36,$N$21*I36,0,G36,F36,O36:Q36,"RR:MMA5 RES:IMPRATE FV:C NPV:C CF:NO"))</f>
        <v>-3.6</v>
      </c>
      <c r="U36" t="str">
        <f>_xll.RData(B36,$U$21)</f>
        <v>CLDRADJ:NO DCB:AA EY:2 LLP:AA RATEFRQ:FRQ RATETYPE:ACT RM:YTA</v>
      </c>
      <c r="V36" s="9" t="str">
        <f ca="1">_xll.AdBondYield(R36,J36/100,G36,F36/100,O36:Q36,U36)</f>
        <v>ERROR 2613 - Invalid calculation request.</v>
      </c>
      <c r="W36" s="9">
        <f ca="1">_xll.AdBondYield(R36,$N$21/100*I36,G36,F36/100,O36:Q36,U36)</f>
        <v>3.3554E-2</v>
      </c>
      <c r="X36">
        <f ca="1">_xll.AdAccrued(R36,G36,F36,O36:Q36)</f>
        <v>0.24240331491712711</v>
      </c>
      <c r="Y36">
        <f t="shared" ca="1" si="3"/>
        <v>0.24240331491712711</v>
      </c>
      <c r="Z36">
        <f ca="1">_xll.BdRepo(R36,S36,J36,0,$Z$21,G36,F36,O36:Q36,"RR:MMA5 RES:FV FV:C NPV:C CF:NO")/I36</f>
        <v>-0.82503309131846791</v>
      </c>
      <c r="AA36">
        <f t="shared" ca="1" si="16"/>
        <v>-98.775033091318477</v>
      </c>
      <c r="AB36">
        <f t="shared" ca="1" si="4"/>
        <v>-101.79754910391281</v>
      </c>
      <c r="AC36">
        <f t="shared" ca="1" si="5"/>
        <v>-3.6</v>
      </c>
      <c r="AD36">
        <v>15</v>
      </c>
      <c r="AE36">
        <f t="shared" ca="1" si="6"/>
        <v>15</v>
      </c>
      <c r="AF36">
        <f t="shared" ca="1" si="17"/>
        <v>40773</v>
      </c>
      <c r="AG36">
        <f t="shared" ca="1" si="18"/>
        <v>16</v>
      </c>
      <c r="AH36">
        <f>_xll.RData(B36,$AH$21)</f>
        <v>40962</v>
      </c>
      <c r="AI36" t="str">
        <f t="shared" ca="1" si="19"/>
        <v>11附息国债19</v>
      </c>
      <c r="AJ36" t="str">
        <f t="shared" ca="1" si="20"/>
        <v>CN110019=</v>
      </c>
      <c r="AK36">
        <f ca="1">_xll.AdAccrued(S36,G36,F36,O36:Q36)-X36</f>
        <v>0.85325966850828727</v>
      </c>
      <c r="AL36">
        <f t="shared" ca="1" si="7"/>
        <v>0.85325966850828727</v>
      </c>
      <c r="AM36">
        <f t="shared" ca="1" si="8"/>
        <v>-0.85027910391281303</v>
      </c>
      <c r="AN36">
        <f t="shared" ca="1" si="9"/>
        <v>0.84624657534246583</v>
      </c>
      <c r="AO36">
        <f t="shared" ca="1" si="10"/>
        <v>2.9805645954742643E-3</v>
      </c>
      <c r="AP36">
        <f t="shared" ca="1" si="21"/>
        <v>-0.84326601074699159</v>
      </c>
      <c r="AQ36">
        <f t="shared" ca="1" si="11"/>
        <v>-101.79053601074699</v>
      </c>
      <c r="AS36">
        <f>_xll.BdConvFactor("CTF",INDEX($W$3:$W$5,$H$10),G36,F36/100,O36)</f>
        <v>1.0306</v>
      </c>
      <c r="AT36">
        <f>_xll.BdConvFactor("CTF",INDEX($W$3:$W$5,$H$10),G36,F36/100)</f>
        <v>1.0306</v>
      </c>
      <c r="AU36">
        <f t="shared" si="12"/>
        <v>1.0306</v>
      </c>
      <c r="AV36" t="str">
        <f t="shared" si="13"/>
        <v>每半年</v>
      </c>
      <c r="AW36" t="str">
        <f t="shared" si="22"/>
        <v>FRQ:2</v>
      </c>
      <c r="AX36">
        <f>_xll.BdConvFactor("CTF",INDEX($W$3:$W$5,$H$10),G36,F36/100,AW36)</f>
        <v>1.0306</v>
      </c>
      <c r="AY36">
        <f t="shared" si="23"/>
        <v>0</v>
      </c>
    </row>
    <row r="37" spans="1:51" x14ac:dyDescent="0.2">
      <c r="A37" s="6" t="str">
        <f t="shared" si="24"/>
        <v>CTFc1=CTD16</v>
      </c>
      <c r="B37" t="str">
        <f>LEFT(_xll.RData($A37,$B$21),9)</f>
        <v>CN110019=</v>
      </c>
      <c r="C37" t="str">
        <f t="shared" si="14"/>
        <v>CN110019=CFXM</v>
      </c>
      <c r="D37" t="str">
        <f t="shared" si="15"/>
        <v>CN110019=CFXM</v>
      </c>
      <c r="E37" t="str">
        <f>TRIM(_xll.RData(D37,$E$21))</f>
        <v>11附息国债19</v>
      </c>
      <c r="F37">
        <f>_xll.RData(B37,$F$21)</f>
        <v>3.93</v>
      </c>
      <c r="G37">
        <f>_xll.RData(B37,$G$21)</f>
        <v>44426</v>
      </c>
      <c r="H37" t="str">
        <f>TRIM(_xll.RData(B37,$H$21))</f>
        <v>每半年</v>
      </c>
      <c r="I37">
        <f>TRIM(_xll.RData(A37,$I$21))*1</f>
        <v>1.052</v>
      </c>
      <c r="J37">
        <f>_xll.RData(C37,$J$21)</f>
        <v>0</v>
      </c>
      <c r="K37" s="2" t="str">
        <f>_xll.RData(C37,$K$21)</f>
        <v xml:space="preserve">  :  </v>
      </c>
      <c r="L37" s="3" t="str">
        <f>_xll.RData(C37,$L$21)</f>
        <v/>
      </c>
      <c r="M37" t="str">
        <f>_xll.RData(C37,$M$21)</f>
        <v xml:space="preserve">                      </v>
      </c>
      <c r="N37">
        <f t="shared" si="2"/>
        <v>-103.04340000000001</v>
      </c>
      <c r="O37" s="7" t="str">
        <f>_xll.RData(B37,$O$21:$Q$21)</f>
        <v xml:space="preserve">ACC:AA CCM:BBAA CFADJ:NO CLDR:CHN_FI DATED:18AUG2011 DMC:F EMC:S FRCD:18FEB2012 FRQ:2 ISSUE:18AUG2011 NOTIONAL:1 PX:C PXRND:1E-6:NEAR REFDATE:MATURITY RP:1 SETTLE:1WD XD:NO YLDRND:1E-6:NEAR </v>
      </c>
      <c r="P37" s="7"/>
      <c r="Q37" s="7"/>
      <c r="R37">
        <f t="shared" ca="1" si="25"/>
        <v>42083</v>
      </c>
      <c r="S37">
        <f t="shared" si="26"/>
        <v>42171</v>
      </c>
      <c r="T37" s="8">
        <f>IF(OR(J37=0,LEFT(J37,1)="*"),-ROW()/10,_xll.BdRepo(R37,S37,J37,$N$21*I37,0,G37,F37,O37:Q37,"RR:MMA5 RES:IMPRATE FV:C NPV:C CF:NO"))</f>
        <v>-3.7</v>
      </c>
      <c r="U37" t="str">
        <f>_xll.RData(B37,$U$21)</f>
        <v>CLDRADJ:NO DCB:AA EY:2 LLP:AA RATEFRQ:FRQ RATETYPE:ACT RM:YTA</v>
      </c>
      <c r="V37" s="9" t="str">
        <f ca="1">_xll.AdBondYield(R37,J37/100,G37,F37/100,O37:Q37,U37)</f>
        <v>ERROR 2613 - Invalid calculation request.</v>
      </c>
      <c r="W37" s="9">
        <f ca="1">_xll.AdBondYield(R37,$N$21/100*I37,G37,F37/100,O37:Q37,U37)</f>
        <v>3.3978000000000001E-2</v>
      </c>
      <c r="X37">
        <f ca="1">_xll.AdAccrued(R37,G37,F37,O37:Q37)</f>
        <v>0.32569060773480663</v>
      </c>
      <c r="Y37">
        <f t="shared" ca="1" si="3"/>
        <v>0.32569060773480663</v>
      </c>
      <c r="Z37">
        <f ca="1">_xll.BdRepo(R37,S37,J37,0,$Z$21,G37,F37,O37:Q37,"RR:MMA5 RES:FV FV:C NPV:C CF:NO")/I37</f>
        <v>-0.90432933460219922</v>
      </c>
      <c r="AA37">
        <f t="shared" ca="1" si="16"/>
        <v>-98.854329334602198</v>
      </c>
      <c r="AB37">
        <f t="shared" ca="1" si="4"/>
        <v>-103.99475446000152</v>
      </c>
      <c r="AC37">
        <f t="shared" ca="1" si="5"/>
        <v>-3.7</v>
      </c>
      <c r="AD37">
        <v>16</v>
      </c>
      <c r="AE37">
        <f t="shared" ca="1" si="6"/>
        <v>16</v>
      </c>
      <c r="AF37">
        <f t="shared" ca="1" si="17"/>
        <v>40619</v>
      </c>
      <c r="AG37">
        <f t="shared" ca="1" si="18"/>
        <v>17</v>
      </c>
      <c r="AH37">
        <f>_xll.RData(B37,$AH$21)</f>
        <v>40773</v>
      </c>
      <c r="AI37" t="str">
        <f t="shared" ca="1" si="19"/>
        <v>11附息国债08</v>
      </c>
      <c r="AJ37" t="str">
        <f t="shared" ca="1" si="20"/>
        <v>CN110008=</v>
      </c>
      <c r="AK37">
        <f ca="1">_xll.AdAccrued(S37,G37,F37,O37:Q37)-X37</f>
        <v>0.95535911602209944</v>
      </c>
      <c r="AL37">
        <f t="shared" ca="1" si="7"/>
        <v>0.95535911602209944</v>
      </c>
      <c r="AM37">
        <f t="shared" ca="1" si="8"/>
        <v>-0.95135446000151347</v>
      </c>
      <c r="AN37">
        <f t="shared" ca="1" si="9"/>
        <v>0.94750684931506857</v>
      </c>
      <c r="AO37">
        <f t="shared" ca="1" si="10"/>
        <v>4.0046560205859345E-3</v>
      </c>
      <c r="AP37">
        <f t="shared" ca="1" si="21"/>
        <v>-0.94350219329448259</v>
      </c>
      <c r="AQ37">
        <f t="shared" ca="1" si="11"/>
        <v>-103.98690219329448</v>
      </c>
      <c r="AS37">
        <f>_xll.BdConvFactor("CTF",INDEX($W$3:$W$5,$H$10),G37,F37/100,O37)</f>
        <v>1.052</v>
      </c>
      <c r="AT37">
        <f>_xll.BdConvFactor("CTF",INDEX($W$3:$W$5,$H$10),G37,F37/100)</f>
        <v>1.052</v>
      </c>
      <c r="AU37">
        <f t="shared" si="12"/>
        <v>1.052</v>
      </c>
      <c r="AV37" t="str">
        <f t="shared" si="13"/>
        <v>每半年</v>
      </c>
      <c r="AW37" t="str">
        <f t="shared" si="22"/>
        <v>FRQ:2</v>
      </c>
      <c r="AX37">
        <f>_xll.BdConvFactor("CTF",INDEX($W$3:$W$5,$H$10),G37,F37/100,AW37)</f>
        <v>1.052</v>
      </c>
      <c r="AY37">
        <f t="shared" si="23"/>
        <v>0</v>
      </c>
    </row>
    <row r="38" spans="1:51" x14ac:dyDescent="0.2">
      <c r="A38" s="6" t="str">
        <f t="shared" si="24"/>
        <v>CTFc1=CTD17</v>
      </c>
      <c r="B38" t="str">
        <f>LEFT(_xll.RData($A38,$B$21),9)</f>
        <v>CN110008=</v>
      </c>
      <c r="C38" t="str">
        <f t="shared" si="14"/>
        <v>CN110008=CFXM</v>
      </c>
      <c r="D38" t="str">
        <f t="shared" si="15"/>
        <v>CN110008=CFXM</v>
      </c>
      <c r="E38" t="str">
        <f>TRIM(_xll.RData(D38,$E$21))</f>
        <v>11附息国债08</v>
      </c>
      <c r="F38">
        <f>_xll.RData(B38,$F$21)</f>
        <v>3.83</v>
      </c>
      <c r="G38">
        <f>_xll.RData(B38,$G$21)</f>
        <v>44272</v>
      </c>
      <c r="H38" t="str">
        <f>TRIM(_xll.RData(B38,$H$21))</f>
        <v>每半年</v>
      </c>
      <c r="I38">
        <f>TRIM(_xll.RData(A38,$I$21))*1</f>
        <v>1.0435000000000001</v>
      </c>
      <c r="J38">
        <f>_xll.RData(C38,$J$21)</f>
        <v>0</v>
      </c>
      <c r="K38" s="2" t="str">
        <f>_xll.RData(C38,$K$21)</f>
        <v xml:space="preserve">  :  </v>
      </c>
      <c r="L38" s="3" t="str">
        <f>_xll.RData(C38,$L$21)</f>
        <v/>
      </c>
      <c r="M38" t="str">
        <f>_xll.RData(C38,$M$21)</f>
        <v xml:space="preserve">                      </v>
      </c>
      <c r="N38">
        <f t="shared" si="2"/>
        <v>-102.21082500000001</v>
      </c>
      <c r="O38" s="7" t="str">
        <f>_xll.RData(B38,$O$21:$Q$21)</f>
        <v xml:space="preserve">ACC:AA CCM:BBAA CFADJ:NO CLDR:CHN_FI DATED:17MAR2011 DMC:F EMC:S FRCD:17SEP2011 FRQ:2 ISSUE:17MAR2011 NOTIONAL:1 PX:C PXRND:1E-6:NEAR REFDATE:MATURITY RP:1 SETTLE:1WD XD:NO YLDRND:1E-6:NEAR </v>
      </c>
      <c r="P38" s="7"/>
      <c r="Q38" s="7"/>
      <c r="R38">
        <f t="shared" ca="1" si="25"/>
        <v>42083</v>
      </c>
      <c r="S38">
        <f t="shared" si="26"/>
        <v>42171</v>
      </c>
      <c r="T38" s="8">
        <f>IF(OR(J38=0,LEFT(J38,1)="*"),-ROW()/10,_xll.BdRepo(R38,S38,J38,$N$21*I38,0,G38,F38,O38:Q38,"RR:MMA5 RES:IMPRATE FV:C NPV:C CF:NO"))</f>
        <v>-3.8</v>
      </c>
      <c r="U38" t="str">
        <f>_xll.RData(B38,$U$21)</f>
        <v>CLDRADJ:NO DCB:AA EY:2 LLP:AA RATEFRQ:FRQ RATETYPE:ACT RM:YTA</v>
      </c>
      <c r="V38" s="9" t="str">
        <f ca="1">_xll.AdBondYield(R38,J38/100,G38,F38/100,O38:Q38,U38)</f>
        <v>ERROR 2613 - Invalid calculation request.</v>
      </c>
      <c r="W38" s="9">
        <f ca="1">_xll.AdBondYield(R38,$N$21/100*I38,G38,F38/100,O38:Q38,U38)</f>
        <v>3.4187999999999996E-2</v>
      </c>
      <c r="X38">
        <f ca="1">_xll.AdAccrued(R38,G38,F38,O38:Q38)</f>
        <v>3.1222826086956521E-2</v>
      </c>
      <c r="Y38">
        <f t="shared" ca="1" si="3"/>
        <v>3.1222826086956521E-2</v>
      </c>
      <c r="Z38">
        <f ca="1">_xll.BdRepo(R38,S38,J38,0,$Z$21,G38,F38,O38:Q38,"RR:MMA5 RES:FV FV:C NPV:C CF:NO")/I38</f>
        <v>-0.87732213969286577</v>
      </c>
      <c r="AA38">
        <f t="shared" ca="1" si="16"/>
        <v>-98.827322139692868</v>
      </c>
      <c r="AB38">
        <f t="shared" ca="1" si="4"/>
        <v>-103.12631065276952</v>
      </c>
      <c r="AC38">
        <f t="shared" ca="1" si="5"/>
        <v>-3.8</v>
      </c>
      <c r="AD38">
        <v>17</v>
      </c>
      <c r="AE38">
        <f t="shared" ca="1" si="6"/>
        <v>17</v>
      </c>
      <c r="AF38">
        <f t="shared" ca="1" si="17"/>
        <v>40563</v>
      </c>
      <c r="AG38">
        <f t="shared" ca="1" si="18"/>
        <v>18</v>
      </c>
      <c r="AH38">
        <f>_xll.RData(B38,$AH$21)</f>
        <v>40619</v>
      </c>
      <c r="AI38" t="str">
        <f t="shared" ca="1" si="19"/>
        <v>11附息国债02</v>
      </c>
      <c r="AJ38" t="str">
        <f t="shared" ca="1" si="20"/>
        <v>CN110002=</v>
      </c>
      <c r="AK38">
        <f ca="1">_xll.AdAccrued(S38,G38,F38,O38:Q38)-X38</f>
        <v>0.91586956521739127</v>
      </c>
      <c r="AL38">
        <f t="shared" ca="1" si="7"/>
        <v>0.91586956521739127</v>
      </c>
      <c r="AM38">
        <f t="shared" ca="1" si="8"/>
        <v>-0.91548565276950555</v>
      </c>
      <c r="AN38">
        <f t="shared" ca="1" si="9"/>
        <v>0.92339726027397262</v>
      </c>
      <c r="AO38">
        <f t="shared" ca="1" si="10"/>
        <v>3.8391244788566034E-4</v>
      </c>
      <c r="AP38">
        <f t="shared" ca="1" si="21"/>
        <v>-0.92301334782608691</v>
      </c>
      <c r="AQ38">
        <f t="shared" ca="1" si="11"/>
        <v>-103.1338383478261</v>
      </c>
      <c r="AS38">
        <f>_xll.BdConvFactor("CTF",INDEX($W$3:$W$5,$H$10),G38,F38/100,O38)</f>
        <v>1.0435000000000001</v>
      </c>
      <c r="AT38">
        <f>_xll.BdConvFactor("CTF",INDEX($W$3:$W$5,$H$10),G38,F38/100)</f>
        <v>1.0435000000000001</v>
      </c>
      <c r="AU38">
        <f t="shared" si="12"/>
        <v>1.0435000000000001</v>
      </c>
      <c r="AV38" t="str">
        <f t="shared" si="13"/>
        <v>每半年</v>
      </c>
      <c r="AW38" t="str">
        <f t="shared" si="22"/>
        <v>FRQ:2</v>
      </c>
      <c r="AX38">
        <f>_xll.BdConvFactor("CTF",INDEX($W$3:$W$5,$H$10),G38,F38/100,AW38)</f>
        <v>1.0435000000000001</v>
      </c>
      <c r="AY38">
        <f t="shared" si="23"/>
        <v>0</v>
      </c>
    </row>
    <row r="39" spans="1:51" x14ac:dyDescent="0.2">
      <c r="A39" s="6" t="str">
        <f t="shared" si="24"/>
        <v>CTFc1=CTD18</v>
      </c>
      <c r="B39" t="str">
        <f>LEFT(_xll.RData($A39,$B$21),9)</f>
        <v>CN110002=</v>
      </c>
      <c r="C39" t="str">
        <f t="shared" si="14"/>
        <v>CN110002=CFXM</v>
      </c>
      <c r="D39" t="str">
        <f t="shared" si="15"/>
        <v>CN110002=CFXM</v>
      </c>
      <c r="E39" t="str">
        <f>TRIM(_xll.RData(D39,$E$21))</f>
        <v>11附息国债02</v>
      </c>
      <c r="F39">
        <f>_xll.RData(B39,$F$21)</f>
        <v>3.94</v>
      </c>
      <c r="G39">
        <f>_xll.RData(B39,$G$21)</f>
        <v>44216</v>
      </c>
      <c r="H39" t="str">
        <f>TRIM(_xll.RData(B39,$H$21))</f>
        <v>每半年</v>
      </c>
      <c r="I39">
        <f>TRIM(_xll.RData(A39,$I$21))*1</f>
        <v>1.048</v>
      </c>
      <c r="J39">
        <f>_xll.RData(C39,$J$21)</f>
        <v>0</v>
      </c>
      <c r="K39" s="2" t="str">
        <f>_xll.RData(C39,$K$21)</f>
        <v xml:space="preserve">  :  </v>
      </c>
      <c r="L39" s="3" t="str">
        <f>_xll.RData(C39,$L$21)</f>
        <v/>
      </c>
      <c r="M39" t="str">
        <f>_xll.RData(C39,$M$21)</f>
        <v xml:space="preserve">                      </v>
      </c>
      <c r="N39">
        <f t="shared" si="2"/>
        <v>-102.6516</v>
      </c>
      <c r="O39" s="7" t="str">
        <f>_xll.RData(B39,$O$21:$Q$21)</f>
        <v xml:space="preserve">ACC:AA CCM:BBAA CFADJ:NO CLDR:CHN_FI DATED:20JAN2011 DMC:F EMC:S FRCD:20JUL2011 FRQ:2 ISSUE:20JAN2011 NOTIONAL:1 PX:C PXRND:1E-6:NEAR REFDATE:MATURITY RP:1 SETTLE:1WD XD:NO YLDRND:1E-6:NEAR </v>
      </c>
      <c r="P39" s="7"/>
      <c r="Q39" s="7"/>
      <c r="R39">
        <f t="shared" ca="1" si="25"/>
        <v>42083</v>
      </c>
      <c r="S39">
        <f t="shared" si="26"/>
        <v>42171</v>
      </c>
      <c r="T39" s="8">
        <f>IF(OR(J39=0,LEFT(J39,1)="*"),-ROW()/10,_xll.BdRepo(R39,S39,J39,$N$21*I39,0,G39,F39,O39:Q39,"RR:MMA5 RES:IMPRATE FV:C NPV:C CF:NO"))</f>
        <v>-3.9</v>
      </c>
      <c r="U39" t="str">
        <f>_xll.RData(B39,$U$21)</f>
        <v>CLDRADJ:NO DCB:AA EY:2 LLP:AA RATEFRQ:FRQ RATETYPE:ACT RM:YTA</v>
      </c>
      <c r="V39" s="9" t="str">
        <f ca="1">_xll.AdBondYield(R39,J39/100,G39,F39/100,O39:Q39,U39)</f>
        <v>ERROR 2613 - Invalid calculation request.</v>
      </c>
      <c r="W39" s="9">
        <f ca="1">_xll.AdBondYield(R39,$N$21/100*I39,G39,F39/100,O39:Q39,U39)</f>
        <v>3.4340999999999997E-2</v>
      </c>
      <c r="X39">
        <f ca="1">_xll.AdAccrued(R39,G39,F39,O39:Q39)</f>
        <v>0.64215469613259668</v>
      </c>
      <c r="Y39">
        <f t="shared" ca="1" si="3"/>
        <v>0.64215469613259668</v>
      </c>
      <c r="Z39">
        <f ca="1">_xll.BdRepo(R39,S39,J39,0,$Z$21,G39,F39,O39:Q39,"RR:MMA5 RES:FV FV:C NPV:C CF:NO")/I39</f>
        <v>-0.9063875872882533</v>
      </c>
      <c r="AA39">
        <f t="shared" ca="1" si="16"/>
        <v>-98.856387587288253</v>
      </c>
      <c r="AB39">
        <f t="shared" ca="1" si="4"/>
        <v>-103.6014941914781</v>
      </c>
      <c r="AC39">
        <f t="shared" ca="1" si="5"/>
        <v>-3.9</v>
      </c>
      <c r="AD39">
        <v>18</v>
      </c>
      <c r="AE39">
        <f t="shared" ca="1" si="6"/>
        <v>18</v>
      </c>
      <c r="AF39">
        <f t="shared" ca="1" si="17"/>
        <v>40479</v>
      </c>
      <c r="AG39">
        <f t="shared" ca="1" si="18"/>
        <v>20</v>
      </c>
      <c r="AH39">
        <f>_xll.RData(B39,$AH$21)</f>
        <v>40563</v>
      </c>
      <c r="AI39" t="str">
        <f t="shared" ca="1" si="19"/>
        <v>10附息国债34</v>
      </c>
      <c r="AJ39" t="str">
        <f t="shared" ca="1" si="20"/>
        <v>CN100034=</v>
      </c>
      <c r="AK39">
        <f ca="1">_xll.AdAccrued(S39,G39,F39,O39:Q39)-X39</f>
        <v>0.95779005524861882</v>
      </c>
      <c r="AL39">
        <f t="shared" ca="1" si="7"/>
        <v>0.95779005524861882</v>
      </c>
      <c r="AM39">
        <f t="shared" ca="1" si="8"/>
        <v>-0.94989419147808951</v>
      </c>
      <c r="AN39">
        <f t="shared" ca="1" si="9"/>
        <v>0.94991780821917804</v>
      </c>
      <c r="AO39">
        <f t="shared" ca="1" si="10"/>
        <v>7.8958637705293152E-3</v>
      </c>
      <c r="AP39">
        <f t="shared" ca="1" si="21"/>
        <v>-0.94202194444864873</v>
      </c>
      <c r="AQ39">
        <f t="shared" ca="1" si="11"/>
        <v>-103.59362194444866</v>
      </c>
      <c r="AS39">
        <f>_xll.BdConvFactor("CTF",INDEX($W$3:$W$5,$H$10),G39,F39/100,O39)</f>
        <v>1.048</v>
      </c>
      <c r="AT39">
        <f>_xll.BdConvFactor("CTF",INDEX($W$3:$W$5,$H$10),G39,F39/100)</f>
        <v>1.048</v>
      </c>
      <c r="AU39">
        <f t="shared" si="12"/>
        <v>1.048</v>
      </c>
      <c r="AV39" t="str">
        <f t="shared" si="13"/>
        <v>每半年</v>
      </c>
      <c r="AW39" t="str">
        <f t="shared" si="22"/>
        <v>FRQ:2</v>
      </c>
      <c r="AX39">
        <f>_xll.BdConvFactor("CTF",INDEX($W$3:$W$5,$H$10),G39,F39/100,AW39)</f>
        <v>1.048</v>
      </c>
      <c r="AY39">
        <f t="shared" si="23"/>
        <v>0</v>
      </c>
    </row>
    <row r="40" spans="1:51" x14ac:dyDescent="0.2">
      <c r="A40" s="6" t="str">
        <f t="shared" si="24"/>
        <v>CTFc1=CTD19</v>
      </c>
      <c r="B40" t="str">
        <f>LEFT(_xll.RData($A40,$B$21),9)</f>
        <v>CN050012=</v>
      </c>
      <c r="C40" t="str">
        <f t="shared" si="14"/>
        <v>CN050012=CFXM</v>
      </c>
      <c r="D40" t="str">
        <f t="shared" si="15"/>
        <v>CN050012=CFXM</v>
      </c>
      <c r="E40" t="str">
        <f>TRIM(_xll.RData(D40,$E$21))</f>
        <v>05国债12</v>
      </c>
      <c r="F40">
        <f>_xll.RData(B40,$F$21)</f>
        <v>3.65</v>
      </c>
      <c r="G40">
        <f>_xll.RData(B40,$G$21)</f>
        <v>44150</v>
      </c>
      <c r="H40" t="str">
        <f>TRIM(_xll.RData(B40,$H$21))</f>
        <v>每半年</v>
      </c>
      <c r="I40">
        <f>TRIM(_xll.RData(A40,$I$21))*1</f>
        <v>1.0323</v>
      </c>
      <c r="J40">
        <f>_xll.RData(C40,$J$21)</f>
        <v>0</v>
      </c>
      <c r="K40" s="2" t="str">
        <f>_xll.RData(C40,$K$21)</f>
        <v xml:space="preserve">  :  </v>
      </c>
      <c r="L40" s="3" t="str">
        <f>_xll.RData(C40,$L$21)</f>
        <v/>
      </c>
      <c r="M40" t="str">
        <f>_xll.RData(C40,$M$21)</f>
        <v xml:space="preserve">                      </v>
      </c>
      <c r="N40">
        <f t="shared" si="2"/>
        <v>-101.11378500000001</v>
      </c>
      <c r="O40" s="7" t="str">
        <f>_xll.RData(B40,$O$21:$Q$21)</f>
        <v xml:space="preserve">ACC:AA CCM:BBAA CFADJ:NO CLDR:CHN_FI DATED:15NOV2005 DMC:F EMC:S FRCD:15MAY2006 FRQ:2 ISSUE:15NOV2005 NOTIONAL:1 PX:C PXRND:1E-6:NEAR REFDATE:MATURITY RP:1 SETTLE:1WD XD:NO YLDRND:1E-6:NEAR </v>
      </c>
      <c r="P40" s="7"/>
      <c r="Q40" s="7"/>
      <c r="R40">
        <f t="shared" ca="1" si="25"/>
        <v>42083</v>
      </c>
      <c r="S40">
        <f t="shared" si="26"/>
        <v>42171</v>
      </c>
      <c r="T40" s="8">
        <f>IF(OR(J40=0,LEFT(J40,1)="*"),-ROW()/10,_xll.BdRepo(R40,S40,J40,$N$21*I40,0,G40,F40,O40:Q40,"RR:MMA5 RES:IMPRATE FV:C NPV:C CF:NO"))</f>
        <v>-4</v>
      </c>
      <c r="U40" t="str">
        <f>_xll.RData(B40,$U$21)</f>
        <v>CLDRADJ:NO DCB:AA EY:2 LLP:AA RATEFRQ:FRQ RATETYPE:ACT RM:YTA</v>
      </c>
      <c r="V40" s="9" t="str">
        <f ca="1">_xll.AdBondYield(R40,J40/100,G40,F40/100,O40:Q40,U40)</f>
        <v>ERROR 2613 - Invalid calculation request.</v>
      </c>
      <c r="W40" s="9">
        <f ca="1">_xll.AdBondYield(R40,$N$21/100*I40,G40,F40/100,O40:Q40,U40)</f>
        <v>3.431E-2</v>
      </c>
      <c r="X40">
        <f ca="1">_xll.AdAccrued(R40,G40,F40,O40:Q40)</f>
        <v>1.2603591160220995</v>
      </c>
      <c r="Y40">
        <f t="shared" ca="1" si="3"/>
        <v>1.2603591160220995</v>
      </c>
      <c r="Z40">
        <f ca="1">_xll.BdRepo(R40,S40,J40,0,$Z$21,G40,F40,O40:Q40,"RR:MMA5 RES:FV FV:C NPV:C CF:NO")/I40</f>
        <v>-0.84732631091413879</v>
      </c>
      <c r="AA40">
        <f t="shared" ca="1" si="16"/>
        <v>-98.797326310914144</v>
      </c>
      <c r="AB40">
        <f t="shared" ca="1" si="4"/>
        <v>-101.98031995075667</v>
      </c>
      <c r="AC40">
        <f t="shared" ca="1" si="5"/>
        <v>-4</v>
      </c>
      <c r="AD40">
        <v>19</v>
      </c>
      <c r="AE40">
        <f t="shared" ca="1" si="6"/>
        <v>19</v>
      </c>
      <c r="AF40">
        <f t="shared" ca="1" si="17"/>
        <v>40437</v>
      </c>
      <c r="AG40">
        <f t="shared" ca="1" si="18"/>
        <v>21</v>
      </c>
      <c r="AH40">
        <f>_xll.RData(B40,$AH$21)</f>
        <v>38671</v>
      </c>
      <c r="AI40" t="str">
        <f t="shared" ca="1" si="19"/>
        <v>10附息国债31</v>
      </c>
      <c r="AJ40" t="str">
        <f t="shared" ca="1" si="20"/>
        <v>CN100031=</v>
      </c>
      <c r="AK40">
        <f ca="1">_xll.AdAccrued(S40,G40,F40,O40:Q40)-X40</f>
        <v>-0.94296781167427346</v>
      </c>
      <c r="AL40">
        <f t="shared" ca="1" si="7"/>
        <v>0.8820321883257265</v>
      </c>
      <c r="AM40">
        <f t="shared" ca="1" si="8"/>
        <v>-0.8665349507566652</v>
      </c>
      <c r="AN40">
        <f t="shared" ca="1" si="9"/>
        <v>0.88</v>
      </c>
      <c r="AO40">
        <f t="shared" ca="1" si="10"/>
        <v>1.5497237569061345E-2</v>
      </c>
      <c r="AP40">
        <f t="shared" ca="1" si="21"/>
        <v>-0.86450276243093871</v>
      </c>
      <c r="AQ40">
        <f t="shared" ca="1" si="11"/>
        <v>-101.97828776243095</v>
      </c>
      <c r="AS40">
        <f>_xll.BdConvFactor("CTF",INDEX($W$3:$W$5,$H$10),G40,F40/100,O40)</f>
        <v>1.0323</v>
      </c>
      <c r="AT40">
        <f>_xll.BdConvFactor("CTF",INDEX($W$3:$W$5,$H$10),G40,F40/100)</f>
        <v>1.0323</v>
      </c>
      <c r="AU40">
        <f t="shared" si="12"/>
        <v>1.0323</v>
      </c>
      <c r="AV40" t="str">
        <f t="shared" si="13"/>
        <v>每半年</v>
      </c>
      <c r="AW40" t="str">
        <f t="shared" si="22"/>
        <v>FRQ:2</v>
      </c>
      <c r="AX40">
        <f>_xll.BdConvFactor("CTF",INDEX($W$3:$W$5,$H$10),G40,F40/100,AW40)</f>
        <v>1.0323</v>
      </c>
      <c r="AY40">
        <f t="shared" si="23"/>
        <v>0</v>
      </c>
    </row>
    <row r="41" spans="1:51" x14ac:dyDescent="0.2">
      <c r="A41" s="6" t="str">
        <f t="shared" si="24"/>
        <v>CTFc1=CTD20</v>
      </c>
      <c r="B41" t="str">
        <f>LEFT(_xll.RData($A41,$B$21),9)</f>
        <v>CN100034=</v>
      </c>
      <c r="C41" t="str">
        <f t="shared" si="14"/>
        <v>CN100034=CFXM</v>
      </c>
      <c r="D41" t="str">
        <f t="shared" si="15"/>
        <v>CN100034=CFXM</v>
      </c>
      <c r="E41" t="str">
        <f>TRIM(_xll.RData(D41,$E$21))</f>
        <v>10附息国债34</v>
      </c>
      <c r="F41">
        <f>_xll.RData(B41,$F$21)</f>
        <v>3.67</v>
      </c>
      <c r="G41">
        <f>_xll.RData(B41,$G$21)</f>
        <v>44132</v>
      </c>
      <c r="H41" t="str">
        <f>TRIM(_xll.RData(B41,$H$21))</f>
        <v>每半年</v>
      </c>
      <c r="I41">
        <f>TRIM(_xll.RData(A41,$I$21))*1</f>
        <v>1.0327999999999999</v>
      </c>
      <c r="J41">
        <f>_xll.RData(C41,$J$21)</f>
        <v>0</v>
      </c>
      <c r="K41" s="2" t="str">
        <f>_xll.RData(C41,$K$21)</f>
        <v xml:space="preserve">  :  </v>
      </c>
      <c r="L41" s="3" t="str">
        <f>_xll.RData(C41,$L$21)</f>
        <v/>
      </c>
      <c r="M41" t="str">
        <f>_xll.RData(C41,$M$21)</f>
        <v xml:space="preserve">                      </v>
      </c>
      <c r="N41">
        <f t="shared" si="2"/>
        <v>-101.16275999999999</v>
      </c>
      <c r="O41" s="7" t="str">
        <f>_xll.RData(B41,$O$21:$Q$21)</f>
        <v xml:space="preserve">ACC:AA CCM:BBAA CFADJ:NO CLDR:CHN_FI DATED:28OCT2010 DMC:F EMC:S FRCD:28APR2011 FRQ:2 ISSUE:28OCT2010 NOTIONAL:1 PX:C PXRND:1E-6:NEAR REFDATE:MATURITY RP:1 SETTLE:1WD XD:NO YLDRND:1E-6:NEAR </v>
      </c>
      <c r="P41" s="7"/>
      <c r="Q41" s="7"/>
      <c r="R41">
        <f t="shared" ca="1" si="25"/>
        <v>42083</v>
      </c>
      <c r="S41">
        <f t="shared" si="26"/>
        <v>42171</v>
      </c>
      <c r="T41" s="8">
        <f>IF(OR(J41=0,LEFT(J41,1)="*"),-ROW()/10,_xll.BdRepo(R41,S41,J41,$N$21*I41,0,G41,F41,O41:Q41,"RR:MMA5 RES:IMPRATE FV:C NPV:C CF:NO"))</f>
        <v>-4.0999999999999996</v>
      </c>
      <c r="U41" t="str">
        <f>_xll.RData(B41,$U$21)</f>
        <v>CLDRADJ:NO DCB:AA EY:2 LLP:AA RATEFRQ:FRQ RATETYPE:ACT RM:YTA</v>
      </c>
      <c r="V41" s="9" t="str">
        <f ca="1">_xll.AdBondYield(R41,J41/100,G41,F41/100,O41:Q41,U41)</f>
        <v>ERROR 2613 - Invalid calculation request.</v>
      </c>
      <c r="W41" s="9">
        <f ca="1">_xll.AdBondYield(R41,$N$21/100*I41,G41,F41/100,O41:Q41,U41)</f>
        <v>3.4396999999999997E-2</v>
      </c>
      <c r="X41">
        <f ca="1">_xll.AdAccrued(R41,G41,F41,O41:Q41)</f>
        <v>1.4417857142857142</v>
      </c>
      <c r="Y41">
        <f t="shared" ca="1" si="3"/>
        <v>1.4417857142857142</v>
      </c>
      <c r="Z41">
        <f ca="1">_xll.BdRepo(R41,S41,J41,0,$Z$21,G41,F41,O41:Q41,"RR:MMA5 RES:FV FV:C NPV:C CF:NO")/I41</f>
        <v>-0.85146060238475485</v>
      </c>
      <c r="AA41">
        <f t="shared" ca="1" si="16"/>
        <v>-98.801460602384765</v>
      </c>
      <c r="AB41">
        <f t="shared" ca="1" si="4"/>
        <v>-102.02958504438953</v>
      </c>
      <c r="AC41">
        <f t="shared" ca="1" si="5"/>
        <v>-4.0999999999999996</v>
      </c>
      <c r="AD41">
        <v>20</v>
      </c>
      <c r="AE41">
        <f t="shared" ca="1" si="6"/>
        <v>20</v>
      </c>
      <c r="AF41">
        <f t="shared" ca="1" si="17"/>
        <v>40395</v>
      </c>
      <c r="AG41">
        <f t="shared" ca="1" si="18"/>
        <v>22</v>
      </c>
      <c r="AH41">
        <f>_xll.RData(B41,$AH$21)</f>
        <v>40479</v>
      </c>
      <c r="AI41" t="str">
        <f t="shared" ca="1" si="19"/>
        <v>10附息国债24</v>
      </c>
      <c r="AJ41" t="str">
        <f t="shared" ca="1" si="20"/>
        <v>CN100024=</v>
      </c>
      <c r="AK41">
        <f ca="1">_xll.AdAccrued(S41,G41,F41,O41:Q41)-X41</f>
        <v>-0.95044691647150659</v>
      </c>
      <c r="AL41">
        <f t="shared" ca="1" si="7"/>
        <v>0.88455308352849338</v>
      </c>
      <c r="AM41">
        <f t="shared" ca="1" si="8"/>
        <v>-0.86682504438954944</v>
      </c>
      <c r="AN41">
        <f t="shared" ca="1" si="9"/>
        <v>0.88482191780821917</v>
      </c>
      <c r="AO41">
        <f t="shared" ca="1" si="10"/>
        <v>1.7728039138943903E-2</v>
      </c>
      <c r="AP41">
        <f t="shared" ca="1" si="21"/>
        <v>-0.86709387866927523</v>
      </c>
      <c r="AQ41">
        <f t="shared" ca="1" si="11"/>
        <v>-102.02985387866927</v>
      </c>
      <c r="AS41">
        <f>_xll.BdConvFactor("CTF",INDEX($W$3:$W$5,$H$10),G41,F41/100,O41)</f>
        <v>1.0327999999999999</v>
      </c>
      <c r="AT41">
        <f>_xll.BdConvFactor("CTF",INDEX($W$3:$W$5,$H$10),G41,F41/100)</f>
        <v>1.0327999999999999</v>
      </c>
      <c r="AU41">
        <f t="shared" si="12"/>
        <v>1.0327999999999999</v>
      </c>
      <c r="AV41" t="str">
        <f t="shared" si="13"/>
        <v>每半年</v>
      </c>
      <c r="AW41" t="str">
        <f t="shared" si="22"/>
        <v>FRQ:2</v>
      </c>
      <c r="AX41">
        <f>_xll.BdConvFactor("CTF",INDEX($W$3:$W$5,$H$10),G41,F41/100,AW41)</f>
        <v>1.0327999999999999</v>
      </c>
      <c r="AY41">
        <f t="shared" si="23"/>
        <v>0</v>
      </c>
    </row>
    <row r="42" spans="1:51" x14ac:dyDescent="0.2">
      <c r="A42" s="6" t="str">
        <f t="shared" si="24"/>
        <v>CTFc1=CTD21</v>
      </c>
      <c r="B42" t="str">
        <f>LEFT(_xll.RData($A42,$B$21),9)</f>
        <v>CN100031=</v>
      </c>
      <c r="C42" t="str">
        <f t="shared" si="14"/>
        <v>CN100031=CFXM</v>
      </c>
      <c r="D42" t="str">
        <f t="shared" si="15"/>
        <v>CN100031=CFXM</v>
      </c>
      <c r="E42" t="str">
        <f>TRIM(_xll.RData(D42,$E$21))</f>
        <v>10附息国债31</v>
      </c>
      <c r="F42">
        <f>_xll.RData(B42,$F$21)</f>
        <v>3.29</v>
      </c>
      <c r="G42">
        <f>_xll.RData(B42,$G$21)</f>
        <v>44090</v>
      </c>
      <c r="H42" t="str">
        <f>TRIM(_xll.RData(B42,$H$21))</f>
        <v>每半年</v>
      </c>
      <c r="I42">
        <f>TRIM(_xll.RData(A42,$I$21))*1</f>
        <v>1.014</v>
      </c>
      <c r="J42">
        <f>_xll.RData(C42,$J$21)</f>
        <v>0</v>
      </c>
      <c r="K42" s="2" t="str">
        <f>_xll.RData(C42,$K$21)</f>
        <v xml:space="preserve">  :  </v>
      </c>
      <c r="L42" s="3" t="str">
        <f>_xll.RData(C42,$L$21)</f>
        <v/>
      </c>
      <c r="M42" t="str">
        <f>_xll.RData(C42,$M$21)</f>
        <v xml:space="preserve">                      </v>
      </c>
      <c r="N42">
        <f t="shared" si="2"/>
        <v>-99.321300000000008</v>
      </c>
      <c r="O42" s="7" t="str">
        <f>_xll.RData(B42,$O$21:$Q$21)</f>
        <v xml:space="preserve">ACC:AA CCM:BBAA CFADJ:NO CLDR:CHN_FI DATED:16SEP2010 DMC:F EMC:S FRCD:16MAR2011 FRQ:2 ISSUE:16SEP2010 NOTIONAL:1 PX:C PXRND:1E-6:NEAR REFDATE:MATURITY RP:1 SETTLE:1WD XD:NO YLDRND:1E-6:NEAR </v>
      </c>
      <c r="P42" s="7"/>
      <c r="Q42" s="7"/>
      <c r="R42">
        <f t="shared" ca="1" si="25"/>
        <v>42083</v>
      </c>
      <c r="S42">
        <f t="shared" si="26"/>
        <v>42171</v>
      </c>
      <c r="T42" s="8">
        <f>IF(OR(J42=0,LEFT(J42,1)="*"),-ROW()/10,_xll.BdRepo(R42,S42,J42,$N$21*I42,0,G42,F42,O42:Q42,"RR:MMA5 RES:IMPRATE FV:C NPV:C CF:NO"))</f>
        <v>-4.2</v>
      </c>
      <c r="U42" t="str">
        <f>_xll.RData(B42,$U$21)</f>
        <v>CLDRADJ:NO DCB:AA EY:2 LLP:AA RATEFRQ:FRQ RATETYPE:ACT RM:YTA</v>
      </c>
      <c r="V42" s="9" t="str">
        <f ca="1">_xll.AdBondYield(R42,J42/100,G42,F42/100,O42:Q42,U42)</f>
        <v>ERROR 2613 - Invalid calculation request.</v>
      </c>
      <c r="W42" s="9">
        <f ca="1">_xll.AdBondYield(R42,$N$21/100*I42,G42,F42/100,O42:Q42,U42)</f>
        <v>3.4265999999999998E-2</v>
      </c>
      <c r="X42">
        <f ca="1">_xll.AdAccrued(R42,G42,F42,O42:Q42)</f>
        <v>3.5760869565217387E-2</v>
      </c>
      <c r="Y42">
        <f t="shared" ca="1" si="3"/>
        <v>3.5760869565217387E-2</v>
      </c>
      <c r="Z42">
        <f ca="1">_xll.BdRepo(R42,S42,J42,0,$Z$21,G42,F42,O42:Q42,"RR:MMA5 RES:FV FV:C NPV:C CF:NO")/I42</f>
        <v>-0.77544321370967273</v>
      </c>
      <c r="AA42">
        <f t="shared" ca="1" si="16"/>
        <v>-98.725443213709681</v>
      </c>
      <c r="AB42">
        <f t="shared" ca="1" si="4"/>
        <v>-100.10759941870161</v>
      </c>
      <c r="AC42">
        <f t="shared" ca="1" si="5"/>
        <v>-4.2</v>
      </c>
      <c r="AD42">
        <v>21</v>
      </c>
      <c r="AE42">
        <f t="shared" ca="1" si="6"/>
        <v>21</v>
      </c>
      <c r="AF42">
        <f t="shared" ca="1" si="17"/>
        <v>40311</v>
      </c>
      <c r="AG42">
        <f t="shared" ca="1" si="18"/>
        <v>23</v>
      </c>
      <c r="AH42">
        <f>_xll.RData(B42,$AH$21)</f>
        <v>40437</v>
      </c>
      <c r="AI42" t="str">
        <f t="shared" ca="1" si="19"/>
        <v>10附息国债12</v>
      </c>
      <c r="AJ42" t="str">
        <f t="shared" ca="1" si="20"/>
        <v>CN100012=</v>
      </c>
      <c r="AK42">
        <f ca="1">_xll.AdAccrued(S42,G42,F42,O42:Q42)-X42</f>
        <v>0.78673913043478261</v>
      </c>
      <c r="AL42">
        <f t="shared" ca="1" si="7"/>
        <v>0.78673913043478261</v>
      </c>
      <c r="AM42">
        <f t="shared" ca="1" si="8"/>
        <v>-0.78629941870160813</v>
      </c>
      <c r="AN42">
        <f t="shared" ca="1" si="9"/>
        <v>0.79320547945205477</v>
      </c>
      <c r="AO42">
        <f t="shared" ca="1" si="10"/>
        <v>4.3971173317452485E-4</v>
      </c>
      <c r="AP42">
        <f t="shared" ca="1" si="21"/>
        <v>-0.7927657677188803</v>
      </c>
      <c r="AQ42">
        <f t="shared" ca="1" si="11"/>
        <v>-100.11406576771888</v>
      </c>
      <c r="AS42">
        <f>_xll.BdConvFactor("CTF",INDEX($W$3:$W$5,$H$10),G42,F42/100,O42)</f>
        <v>1.014</v>
      </c>
      <c r="AT42">
        <f>_xll.BdConvFactor("CTF",INDEX($W$3:$W$5,$H$10),G42,F42/100)</f>
        <v>1.014</v>
      </c>
      <c r="AU42">
        <f t="shared" si="12"/>
        <v>1.014</v>
      </c>
      <c r="AV42" t="str">
        <f t="shared" si="13"/>
        <v>每半年</v>
      </c>
      <c r="AW42" t="str">
        <f t="shared" si="22"/>
        <v>FRQ:2</v>
      </c>
      <c r="AX42">
        <f>_xll.BdConvFactor("CTF",INDEX($W$3:$W$5,$H$10),G42,F42/100,AW42)</f>
        <v>1.014</v>
      </c>
      <c r="AY42">
        <f t="shared" si="23"/>
        <v>0</v>
      </c>
    </row>
    <row r="43" spans="1:51" x14ac:dyDescent="0.2">
      <c r="A43" s="6" t="str">
        <f t="shared" si="24"/>
        <v>CTFc1=CTD22</v>
      </c>
      <c r="B43" t="str">
        <f>LEFT(_xll.RData($A43,$B$21),9)</f>
        <v>CN100024=</v>
      </c>
      <c r="C43" t="str">
        <f t="shared" si="14"/>
        <v>CN100024=CFXM</v>
      </c>
      <c r="D43" t="str">
        <f t="shared" si="15"/>
        <v>CN100024=CFXM</v>
      </c>
      <c r="E43" t="str">
        <f>TRIM(_xll.RData(D43,$E$21))</f>
        <v>10附息国债24</v>
      </c>
      <c r="F43">
        <f>_xll.RData(B43,$F$21)</f>
        <v>3.2800000000000002</v>
      </c>
      <c r="G43">
        <f>_xll.RData(B43,$G$21)</f>
        <v>44048</v>
      </c>
      <c r="H43" t="str">
        <f>TRIM(_xll.RData(B43,$H$21))</f>
        <v>每半年</v>
      </c>
      <c r="I43">
        <f>TRIM(_xll.RData(A43,$I$21))*1</f>
        <v>1.0133000000000001</v>
      </c>
      <c r="J43">
        <f>_xll.RData(C43,$J$21)</f>
        <v>0</v>
      </c>
      <c r="K43" s="2" t="str">
        <f>_xll.RData(C43,$K$21)</f>
        <v xml:space="preserve">  :  </v>
      </c>
      <c r="L43" s="3" t="str">
        <f>_xll.RData(C43,$L$21)</f>
        <v/>
      </c>
      <c r="M43" t="str">
        <f>_xll.RData(C43,$M$21)</f>
        <v xml:space="preserve">                      </v>
      </c>
      <c r="N43">
        <f t="shared" si="2"/>
        <v>-99.252735000000015</v>
      </c>
      <c r="O43" s="7" t="str">
        <f>_xll.RData(B43,$O$21:$Q$21)</f>
        <v xml:space="preserve">ACC:AA CCM:BBAA CFADJ:NO CLDR:CHN_FI DATED:05AUG2010 DMC:F EMC:S FRCD:05FEB2011 FRQ:2 ISSUE:05AUG2010 NOTIONAL:1 PX:C PXRND:1E-6:NEAR REFDATE:MATURITY RP:1 SETTLE:1WD XD:NO YLDRND:1E-6:NEAR </v>
      </c>
      <c r="P43" s="7"/>
      <c r="Q43" s="7"/>
      <c r="R43">
        <f t="shared" ca="1" si="25"/>
        <v>42083</v>
      </c>
      <c r="S43">
        <f t="shared" si="26"/>
        <v>42171</v>
      </c>
      <c r="T43" s="8">
        <f>IF(OR(J43=0,LEFT(J43,1)="*"),-ROW()/10,_xll.BdRepo(R43,S43,J43,$N$21*I43,0,G43,F43,O43:Q43,"RR:MMA5 RES:IMPRATE FV:C NPV:C CF:NO"))</f>
        <v>-4.3</v>
      </c>
      <c r="U43" t="str">
        <f>_xll.RData(B43,$U$21)</f>
        <v>CLDRADJ:NO DCB:AA EY:2 LLP:AA RATEFRQ:FRQ RATETYPE:ACT RM:YTA</v>
      </c>
      <c r="V43" s="9" t="str">
        <f ca="1">_xll.AdBondYield(R43,J43/100,G43,F43/100,O43:Q43,U43)</f>
        <v>ERROR 2613 - Invalid calculation request.</v>
      </c>
      <c r="W43" s="9">
        <f ca="1">_xll.AdBondYield(R43,$N$21/100*I43,G43,F43/100,O43:Q43,U43)</f>
        <v>3.4327999999999997E-2</v>
      </c>
      <c r="X43">
        <f ca="1">_xll.AdAccrued(R43,G43,F43,O43:Q43)</f>
        <v>0.38961325966850835</v>
      </c>
      <c r="Y43">
        <f t="shared" ca="1" si="3"/>
        <v>0.38961325966850835</v>
      </c>
      <c r="Z43">
        <f ca="1">_xll.BdRepo(R43,S43,J43,0,$Z$21,G43,F43,O43:Q43,"RR:MMA5 RES:FV FV:C NPV:C CF:NO")/I43</f>
        <v>-0.78215476596743505</v>
      </c>
      <c r="AA43">
        <f t="shared" ca="1" si="16"/>
        <v>-98.732154765967437</v>
      </c>
      <c r="AB43">
        <f t="shared" ca="1" si="4"/>
        <v>-100.04529242435481</v>
      </c>
      <c r="AC43">
        <f t="shared" ca="1" si="5"/>
        <v>-4.3</v>
      </c>
      <c r="AD43">
        <v>22</v>
      </c>
      <c r="AE43">
        <f t="shared" ca="1" si="6"/>
        <v>22</v>
      </c>
      <c r="AF43">
        <f t="shared" ca="1" si="17"/>
        <v>40262</v>
      </c>
      <c r="AG43">
        <f t="shared" ca="1" si="18"/>
        <v>24</v>
      </c>
      <c r="AH43">
        <f>_xll.RData(B43,$AH$21)</f>
        <v>40395</v>
      </c>
      <c r="AI43" t="str">
        <f t="shared" ca="1" si="19"/>
        <v>10附息国债07</v>
      </c>
      <c r="AJ43" t="str">
        <f t="shared" ca="1" si="20"/>
        <v>CN100007=</v>
      </c>
      <c r="AK43">
        <f ca="1">_xll.AdAccrued(S43,G43,F43,O43:Q43)-X43</f>
        <v>0.79734806629834265</v>
      </c>
      <c r="AL43">
        <f t="shared" ca="1" si="7"/>
        <v>0.79734806629834265</v>
      </c>
      <c r="AM43">
        <f t="shared" ca="1" si="8"/>
        <v>-0.79255742435480203</v>
      </c>
      <c r="AN43">
        <f t="shared" ca="1" si="9"/>
        <v>0.79079452054794519</v>
      </c>
      <c r="AO43">
        <f t="shared" ca="1" si="10"/>
        <v>4.7906419435406302E-3</v>
      </c>
      <c r="AP43">
        <f t="shared" ca="1" si="21"/>
        <v>-0.78600387860440457</v>
      </c>
      <c r="AQ43">
        <f t="shared" ca="1" si="11"/>
        <v>-100.03873887860442</v>
      </c>
      <c r="AS43">
        <f>_xll.BdConvFactor("CTF",INDEX($W$3:$W$5,$H$10),G43,F43/100,O43)</f>
        <v>1.0133000000000001</v>
      </c>
      <c r="AT43">
        <f>_xll.BdConvFactor("CTF",INDEX($W$3:$W$5,$H$10),G43,F43/100)</f>
        <v>1.0133000000000001</v>
      </c>
      <c r="AU43">
        <f t="shared" si="12"/>
        <v>1.0133000000000001</v>
      </c>
      <c r="AV43" t="str">
        <f t="shared" si="13"/>
        <v>每半年</v>
      </c>
      <c r="AW43" t="str">
        <f t="shared" si="22"/>
        <v>FRQ:2</v>
      </c>
      <c r="AX43">
        <f>_xll.BdConvFactor("CTF",INDEX($W$3:$W$5,$H$10),G43,F43/100,AW43)</f>
        <v>1.0133000000000001</v>
      </c>
      <c r="AY43">
        <f t="shared" si="23"/>
        <v>0</v>
      </c>
    </row>
    <row r="44" spans="1:51" x14ac:dyDescent="0.2">
      <c r="A44" s="6" t="str">
        <f t="shared" si="24"/>
        <v>CTFc1=CTD23</v>
      </c>
      <c r="B44" t="str">
        <f>LEFT(_xll.RData($A44,$B$21),9)</f>
        <v>CN100012=</v>
      </c>
      <c r="C44" t="str">
        <f t="shared" si="14"/>
        <v>CN100012=CFXM</v>
      </c>
      <c r="D44" t="str">
        <f t="shared" si="15"/>
        <v>CN100012=CFXM</v>
      </c>
      <c r="E44" t="str">
        <f>TRIM(_xll.RData(D44,$E$21))</f>
        <v>10附息国债12</v>
      </c>
      <c r="F44">
        <f>_xll.RData(B44,$F$21)</f>
        <v>3.25</v>
      </c>
      <c r="G44">
        <f>_xll.RData(B44,$G$21)</f>
        <v>43964</v>
      </c>
      <c r="H44" t="str">
        <f>TRIM(_xll.RData(B44,$H$21))</f>
        <v>每半年</v>
      </c>
      <c r="I44">
        <f>TRIM(_xll.RData(A44,$I$21))*1</f>
        <v>1.0113000000000001</v>
      </c>
      <c r="J44">
        <f>_xll.RData(C44,$J$21)</f>
        <v>0</v>
      </c>
      <c r="K44" s="2" t="str">
        <f>_xll.RData(C44,$K$21)</f>
        <v xml:space="preserve">  :  </v>
      </c>
      <c r="L44" s="3" t="str">
        <f>_xll.RData(C44,$L$21)</f>
        <v/>
      </c>
      <c r="M44" t="str">
        <f>_xll.RData(C44,$M$21)</f>
        <v xml:space="preserve">                      </v>
      </c>
      <c r="N44">
        <f t="shared" si="2"/>
        <v>-99.056835000000007</v>
      </c>
      <c r="O44" s="7" t="str">
        <f>_xll.RData(B44,$O$21:$Q$21)</f>
        <v xml:space="preserve">ACC:AA CCM:BBAA CFADJ:NO CLDR:CHN_FI DATED:13MAY2010 DMC:F EMC:S FRCD:13NOV2010 FRQ:2 ISSUE:13MAY2010 NOTIONAL:1 PX:C PXRND:1E-6:NEAR REFDATE:MATURITY RP:1 SETTLE:1WD XD:NO YLDRND:1E-6:NEAR </v>
      </c>
      <c r="P44" s="7"/>
      <c r="Q44" s="7"/>
      <c r="R44">
        <f t="shared" ca="1" si="25"/>
        <v>42083</v>
      </c>
      <c r="S44">
        <f t="shared" si="26"/>
        <v>42171</v>
      </c>
      <c r="T44" s="8">
        <f>IF(OR(J44=0,LEFT(J44,1)="*"),-ROW()/10,_xll.BdRepo(R44,S44,J44,$N$21*I44,0,G44,F44,O44:Q44,"RR:MMA5 RES:IMPRATE FV:C NPV:C CF:NO"))</f>
        <v>-4.4000000000000004</v>
      </c>
      <c r="U44" t="str">
        <f>_xll.RData(B44,$U$21)</f>
        <v>CLDRADJ:NO DCB:AA EY:2 LLP:AA RATEFRQ:FRQ RATETYPE:ACT RM:YTA</v>
      </c>
      <c r="V44" s="9" t="str">
        <f ca="1">_xll.AdBondYield(R44,J44/100,G44,F44/100,O44:Q44,U44)</f>
        <v>ERROR 2613 - Invalid calculation request.</v>
      </c>
      <c r="W44" s="9">
        <f ca="1">_xll.AdBondYield(R44,$N$21/100*I44,G44,F44/100,O44:Q44,U44)</f>
        <v>3.4508999999999998E-2</v>
      </c>
      <c r="X44">
        <f ca="1">_xll.AdAccrued(R44,G44,F44,O44:Q44)</f>
        <v>1.1401933701657458</v>
      </c>
      <c r="Y44">
        <f t="shared" ca="1" si="3"/>
        <v>1.1401933701657458</v>
      </c>
      <c r="Z44">
        <f ca="1">_xll.BdRepo(R44,S44,J44,0,$Z$21,G44,F44,O44:Q44,"RR:MMA5 RES:FV FV:C NPV:C CF:NO")/I44</f>
        <v>-0.77007667284834125</v>
      </c>
      <c r="AA44">
        <f t="shared" ca="1" si="16"/>
        <v>-98.72007667284835</v>
      </c>
      <c r="AB44">
        <f t="shared" ca="1" si="4"/>
        <v>-99.827893676237835</v>
      </c>
      <c r="AC44">
        <f t="shared" ca="1" si="5"/>
        <v>-4.4000000000000004</v>
      </c>
      <c r="AD44">
        <v>23</v>
      </c>
      <c r="AE44">
        <f t="shared" ca="1" si="6"/>
        <v>23</v>
      </c>
      <c r="AF44">
        <f t="shared" ca="1" si="17"/>
        <v>40213</v>
      </c>
      <c r="AG44">
        <f t="shared" ca="1" si="18"/>
        <v>25</v>
      </c>
      <c r="AH44">
        <f>_xll.RData(B44,$AH$21)</f>
        <v>40311</v>
      </c>
      <c r="AI44" t="str">
        <f t="shared" ca="1" si="19"/>
        <v>10附息国债02</v>
      </c>
      <c r="AJ44" t="str">
        <f t="shared" ca="1" si="20"/>
        <v>CN100002=</v>
      </c>
      <c r="AK44">
        <f ca="1">_xll.AdAccrued(S44,G44,F44,O44:Q44)-X44</f>
        <v>-0.83992163103531103</v>
      </c>
      <c r="AL44">
        <f t="shared" ca="1" si="7"/>
        <v>0.78507836896468897</v>
      </c>
      <c r="AM44">
        <f t="shared" ca="1" si="8"/>
        <v>-0.77105867623782853</v>
      </c>
      <c r="AN44">
        <f t="shared" ca="1" si="9"/>
        <v>0.78356164383561644</v>
      </c>
      <c r="AO44">
        <f t="shared" ca="1" si="10"/>
        <v>1.4019692726860426E-2</v>
      </c>
      <c r="AP44">
        <f t="shared" ca="1" si="21"/>
        <v>-0.76954195110875601</v>
      </c>
      <c r="AQ44">
        <f t="shared" ca="1" si="11"/>
        <v>-99.826376951108756</v>
      </c>
      <c r="AS44">
        <f>_xll.BdConvFactor("CTF",INDEX($W$3:$W$5,$H$10),G44,F44/100,O44)</f>
        <v>1.0113000000000001</v>
      </c>
      <c r="AT44">
        <f>_xll.BdConvFactor("CTF",INDEX($W$3:$W$5,$H$10),G44,F44/100)</f>
        <v>1.0113000000000001</v>
      </c>
      <c r="AU44">
        <f t="shared" si="12"/>
        <v>1.0113000000000001</v>
      </c>
      <c r="AV44" t="str">
        <f t="shared" si="13"/>
        <v>每半年</v>
      </c>
      <c r="AW44" t="str">
        <f t="shared" si="22"/>
        <v>FRQ:2</v>
      </c>
      <c r="AX44">
        <f>_xll.BdConvFactor("CTF",INDEX($W$3:$W$5,$H$10),G44,F44/100,AW44)</f>
        <v>1.0113000000000001</v>
      </c>
      <c r="AY44">
        <f t="shared" si="23"/>
        <v>0</v>
      </c>
    </row>
    <row r="45" spans="1:51" x14ac:dyDescent="0.2">
      <c r="A45" s="6" t="str">
        <f t="shared" si="24"/>
        <v>CTFc1=CTD24</v>
      </c>
      <c r="B45" t="str">
        <f>LEFT(_xll.RData($A45,$B$21),9)</f>
        <v>CN100007=</v>
      </c>
      <c r="C45" t="str">
        <f t="shared" si="14"/>
        <v>CN100007=CFXM</v>
      </c>
      <c r="D45" t="str">
        <f t="shared" si="15"/>
        <v>CN100007=CFXM</v>
      </c>
      <c r="E45" t="str">
        <f>TRIM(_xll.RData(D45,$E$21))</f>
        <v>10附息国债07</v>
      </c>
      <c r="F45">
        <f>_xll.RData(B45,$F$21)</f>
        <v>3.36</v>
      </c>
      <c r="G45">
        <f>_xll.RData(B45,$G$21)</f>
        <v>43915</v>
      </c>
      <c r="H45" t="str">
        <f>TRIM(_xll.RData(B45,$H$21))</f>
        <v>每半年</v>
      </c>
      <c r="I45">
        <f>TRIM(_xll.RData(A45,$I$21))*1</f>
        <v>1.0158</v>
      </c>
      <c r="J45">
        <f>_xll.RData(C45,$J$21)</f>
        <v>0</v>
      </c>
      <c r="K45" s="2" t="str">
        <f>_xll.RData(C45,$K$21)</f>
        <v xml:space="preserve">  :  </v>
      </c>
      <c r="L45" s="3" t="str">
        <f>_xll.RData(C45,$L$21)</f>
        <v/>
      </c>
      <c r="M45" t="str">
        <f>_xll.RData(C45,$M$21)</f>
        <v xml:space="preserve">                      </v>
      </c>
      <c r="N45">
        <f t="shared" si="2"/>
        <v>-99.497610000000009</v>
      </c>
      <c r="O45" s="7" t="str">
        <f>_xll.RData(B45,$O$21:$Q$21)</f>
        <v xml:space="preserve">ACC:AA CCM:BBAA CFADJ:NO CLDR:CHN_FI DATED:25MAR2010 DMC:F EMC:S FRCD:25SEP2010 FRQ:2 ISSUE:25MAR2010 NOTIONAL:1 PX:C PXRND:1E-6:NEAR REFDATE:MATURITY RP:1 SETTLE:1WD XD:NO YLDRND:1E-6:NEAR </v>
      </c>
      <c r="P45" s="7"/>
      <c r="Q45" s="7"/>
      <c r="R45">
        <f t="shared" ca="1" si="25"/>
        <v>42083</v>
      </c>
      <c r="S45">
        <f t="shared" si="26"/>
        <v>42171</v>
      </c>
      <c r="T45" s="8">
        <f>IF(OR(J45=0,LEFT(J45,1)="*"),-ROW()/10,_xll.BdRepo(R45,S45,J45,$N$21*I45,0,G45,F45,O45:Q45,"RR:MMA5 RES:IMPRATE FV:C NPV:C CF:NO"))</f>
        <v>-4.5</v>
      </c>
      <c r="U45" t="str">
        <f>_xll.RData(B45,$U$21)</f>
        <v>CLDRADJ:NO DCB:AA EY:2 LLP:AA RATEFRQ:FRQ RATETYPE:ACT RM:YTA</v>
      </c>
      <c r="V45" s="9" t="str">
        <f ca="1">_xll.AdBondYield(R45,J45/100,G45,F45/100,O45:Q45,U45)</f>
        <v>ERROR 2613 - Invalid calculation request.</v>
      </c>
      <c r="W45" s="9">
        <f ca="1">_xll.AdBondYield(R45,$N$21/100*I45,G45,F45/100,O45:Q45,U45)</f>
        <v>3.4699000000000001E-2</v>
      </c>
      <c r="X45">
        <f ca="1">_xll.AdAccrued(R45,G45,F45,O45:Q45)</f>
        <v>1.6335911602209943</v>
      </c>
      <c r="Y45">
        <f t="shared" ca="1" si="3"/>
        <v>1.6335911602209943</v>
      </c>
      <c r="Z45">
        <f ca="1">_xll.BdRepo(R45,S45,J45,0,$Z$21,G45,F45,O45:Q45,"RR:MMA5 RES:FV FV:C NPV:C CF:NO")/I45</f>
        <v>-0.79113198081651215</v>
      </c>
      <c r="AA45">
        <f t="shared" ca="1" si="16"/>
        <v>-98.741131980816519</v>
      </c>
      <c r="AB45">
        <f t="shared" ca="1" si="4"/>
        <v>-100.28175846885316</v>
      </c>
      <c r="AC45">
        <f t="shared" ca="1" si="5"/>
        <v>-4.5</v>
      </c>
      <c r="AD45">
        <v>24</v>
      </c>
      <c r="AE45">
        <f t="shared" ca="1" si="6"/>
        <v>24</v>
      </c>
      <c r="AF45">
        <f t="shared" ca="1" si="17"/>
        <v>40122</v>
      </c>
      <c r="AG45">
        <f t="shared" ca="1" si="18"/>
        <v>26</v>
      </c>
      <c r="AH45">
        <f>_xll.RData(B45,$AH$21)</f>
        <v>40262</v>
      </c>
      <c r="AI45" t="str">
        <f t="shared" ca="1" si="19"/>
        <v>09附息国债27</v>
      </c>
      <c r="AJ45" t="str">
        <f t="shared" ca="1" si="20"/>
        <v>CN090027=</v>
      </c>
      <c r="AK45">
        <f ca="1">_xll.AdAccrued(S45,G45,F45,O45:Q45)-X45</f>
        <v>-0.8757650732644725</v>
      </c>
      <c r="AL45">
        <f t="shared" ca="1" si="7"/>
        <v>0.80423492673552743</v>
      </c>
      <c r="AM45">
        <f t="shared" ca="1" si="8"/>
        <v>-0.78414846885313816</v>
      </c>
      <c r="AN45">
        <f t="shared" ca="1" si="9"/>
        <v>0.81008219178082186</v>
      </c>
      <c r="AO45">
        <f t="shared" ca="1" si="10"/>
        <v>2.0086457882389296E-2</v>
      </c>
      <c r="AP45">
        <f t="shared" ca="1" si="21"/>
        <v>-0.78999573389843258</v>
      </c>
      <c r="AQ45">
        <f t="shared" ca="1" si="11"/>
        <v>-100.28760573389845</v>
      </c>
      <c r="AS45">
        <f>_xll.BdConvFactor("CTF",INDEX($W$3:$W$5,$H$10),G45,F45/100,O45)</f>
        <v>1.0158</v>
      </c>
      <c r="AT45">
        <f>_xll.BdConvFactor("CTF",INDEX($W$3:$W$5,$H$10),G45,F45/100)</f>
        <v>1.0158</v>
      </c>
      <c r="AU45">
        <f t="shared" si="12"/>
        <v>1.0158</v>
      </c>
      <c r="AV45" t="str">
        <f t="shared" si="13"/>
        <v>每半年</v>
      </c>
      <c r="AW45" t="str">
        <f t="shared" si="22"/>
        <v>FRQ:2</v>
      </c>
      <c r="AX45">
        <f>_xll.BdConvFactor("CTF",INDEX($W$3:$W$5,$H$10),G45,F45/100,AW45)</f>
        <v>1.0158</v>
      </c>
      <c r="AY45">
        <f t="shared" si="23"/>
        <v>0</v>
      </c>
    </row>
    <row r="46" spans="1:51" x14ac:dyDescent="0.2">
      <c r="A46" s="6" t="str">
        <f t="shared" si="24"/>
        <v>CTFc1=CTD25</v>
      </c>
      <c r="B46" t="str">
        <f>LEFT(_xll.RData($A46,$B$21),9)</f>
        <v>CN100002=</v>
      </c>
      <c r="C46" t="str">
        <f t="shared" si="14"/>
        <v>CN100002=CFXM</v>
      </c>
      <c r="D46" t="str">
        <f t="shared" si="15"/>
        <v>CN100002=CFXM</v>
      </c>
      <c r="E46" t="str">
        <f>TRIM(_xll.RData(D46,$E$21))</f>
        <v>10附息国债02</v>
      </c>
      <c r="F46">
        <f>_xll.RData(B46,$F$21)</f>
        <v>3.43</v>
      </c>
      <c r="G46">
        <f>_xll.RData(B46,$G$21)</f>
        <v>43865</v>
      </c>
      <c r="H46" t="str">
        <f>TRIM(_xll.RData(B46,$H$21))</f>
        <v>每半年</v>
      </c>
      <c r="I46">
        <f>TRIM(_xll.RData(A46,$I$21))*1</f>
        <v>1.0185999999999999</v>
      </c>
      <c r="J46">
        <f>_xll.RData(C46,$J$21)</f>
        <v>0</v>
      </c>
      <c r="K46" s="2" t="str">
        <f>_xll.RData(C46,$K$21)</f>
        <v xml:space="preserve">  :  </v>
      </c>
      <c r="L46" s="3" t="str">
        <f>_xll.RData(C46,$L$21)</f>
        <v/>
      </c>
      <c r="M46" t="str">
        <f>_xll.RData(C46,$M$21)</f>
        <v xml:space="preserve">                      </v>
      </c>
      <c r="N46">
        <f t="shared" si="2"/>
        <v>-99.771869999999993</v>
      </c>
      <c r="O46" s="7" t="str">
        <f>_xll.RData(B46,$O$21:$Q$21)</f>
        <v xml:space="preserve">ACC:AA CCM:BBAA CFADJ:NO CLDR:CHN_FI DATED:04FEB2010 DMC:F EMC:S FRCD:04AUG2010 FRQ:2 ISSUE:04FEB2010 NOTIONAL:1 PX:C PXRND:1E-6:NEAR REFDATE:MATURITY RP:1 SETTLE:1WD XD:NO YLDRND:1E-6:NEAR </v>
      </c>
      <c r="P46" s="7"/>
      <c r="Q46" s="7"/>
      <c r="R46">
        <f t="shared" ca="1" si="25"/>
        <v>42083</v>
      </c>
      <c r="S46">
        <f t="shared" si="26"/>
        <v>42171</v>
      </c>
      <c r="T46" s="8">
        <f>IF(OR(J46=0,LEFT(J46,1)="*"),-ROW()/10,_xll.BdRepo(R46,S46,J46,$N$21*I46,0,G46,F46,O46:Q46,"RR:MMA5 RES:IMPRATE FV:C NPV:C CF:NO"))</f>
        <v>-4.5999999999999996</v>
      </c>
      <c r="U46" t="str">
        <f>_xll.RData(B46,$U$21)</f>
        <v>CLDRADJ:NO DCB:AA EY:2 LLP:AA RATEFRQ:FRQ RATETYPE:ACT RM:YTA</v>
      </c>
      <c r="V46" s="9" t="str">
        <f ca="1">_xll.AdBondYield(R46,J46/100,G46,F46/100,O46:Q46,U46)</f>
        <v>ERROR 2613 - Invalid calculation request.</v>
      </c>
      <c r="W46" s="9">
        <f ca="1">_xll.AdBondYield(R46,$N$21/100*I46,G46,F46/100,O46:Q46,U46)</f>
        <v>3.4805999999999997E-2</v>
      </c>
      <c r="X46">
        <f ca="1">_xll.AdAccrued(R46,G46,F46,O46:Q46)</f>
        <v>0.41690607734806628</v>
      </c>
      <c r="Y46">
        <f t="shared" ca="1" si="3"/>
        <v>0.41690607734806628</v>
      </c>
      <c r="Z46">
        <f ca="1">_xll.BdRepo(R46,S46,J46,0,$Z$21,G46,F46,O46:Q46,"RR:MMA5 RES:FV FV:C NPV:C CF:NO")/I46</f>
        <v>-0.81355382216512662</v>
      </c>
      <c r="AA46">
        <f t="shared" ca="1" si="16"/>
        <v>-98.763553822165136</v>
      </c>
      <c r="AB46">
        <f t="shared" ca="1" si="4"/>
        <v>-100.60055592325739</v>
      </c>
      <c r="AC46">
        <f t="shared" ca="1" si="5"/>
        <v>-4.5999999999999996</v>
      </c>
      <c r="AD46">
        <v>25</v>
      </c>
      <c r="AE46">
        <f t="shared" ca="1" si="6"/>
        <v>25</v>
      </c>
      <c r="AF46">
        <f t="shared" ca="1" si="17"/>
        <v>40073</v>
      </c>
      <c r="AG46">
        <f t="shared" ca="1" si="18"/>
        <v>27</v>
      </c>
      <c r="AH46">
        <f>_xll.RData(B46,$AH$21)</f>
        <v>40213</v>
      </c>
      <c r="AI46" t="str">
        <f t="shared" ca="1" si="19"/>
        <v>09附息国债23</v>
      </c>
      <c r="AJ46" t="str">
        <f t="shared" ca="1" si="20"/>
        <v>CN090023=</v>
      </c>
      <c r="AK46">
        <f ca="1">_xll.AdAccrued(S46,G46,F46,O46:Q46)-X46</f>
        <v>0.83381215469613268</v>
      </c>
      <c r="AL46">
        <f t="shared" ca="1" si="7"/>
        <v>0.83381215469613268</v>
      </c>
      <c r="AM46">
        <f t="shared" ca="1" si="8"/>
        <v>-0.82868592325739787</v>
      </c>
      <c r="AN46">
        <f t="shared" ca="1" si="9"/>
        <v>0.82695890410958905</v>
      </c>
      <c r="AO46">
        <f t="shared" ca="1" si="10"/>
        <v>5.1262314387347675E-3</v>
      </c>
      <c r="AP46">
        <f t="shared" ca="1" si="21"/>
        <v>-0.82183267267085425</v>
      </c>
      <c r="AQ46">
        <f t="shared" ca="1" si="11"/>
        <v>-100.59370267267084</v>
      </c>
      <c r="AS46">
        <f>_xll.BdConvFactor("CTF",INDEX($W$3:$W$5,$H$10),G46,F46/100,O46)</f>
        <v>1.0185999999999999</v>
      </c>
      <c r="AT46">
        <f>_xll.BdConvFactor("CTF",INDEX($W$3:$W$5,$H$10),G46,F46/100)</f>
        <v>1.0185999999999999</v>
      </c>
      <c r="AU46">
        <f t="shared" si="12"/>
        <v>1.0185999999999999</v>
      </c>
      <c r="AV46" t="str">
        <f t="shared" si="13"/>
        <v>每半年</v>
      </c>
      <c r="AW46" t="str">
        <f t="shared" si="22"/>
        <v>FRQ:2</v>
      </c>
      <c r="AX46">
        <f>_xll.BdConvFactor("CTF",INDEX($W$3:$W$5,$H$10),G46,F46/100,AW46)</f>
        <v>1.0185999999999999</v>
      </c>
      <c r="AY46">
        <f t="shared" si="23"/>
        <v>0</v>
      </c>
    </row>
    <row r="47" spans="1:51" x14ac:dyDescent="0.2">
      <c r="A47" s="6" t="str">
        <f t="shared" si="24"/>
        <v>CTFc1=CTD26</v>
      </c>
      <c r="B47" t="str">
        <f>LEFT(_xll.RData($A47,$B$21),9)</f>
        <v>CN090027=</v>
      </c>
      <c r="C47" t="str">
        <f t="shared" si="14"/>
        <v>CN090027=CFXM</v>
      </c>
      <c r="D47" t="str">
        <f t="shared" si="15"/>
        <v>CN090027=CFXM</v>
      </c>
      <c r="E47" t="str">
        <f>TRIM(_xll.RData(D47,$E$21))</f>
        <v>09附息国债27</v>
      </c>
      <c r="F47">
        <f>_xll.RData(B47,$F$21)</f>
        <v>3.68</v>
      </c>
      <c r="G47">
        <f>_xll.RData(B47,$G$21)</f>
        <v>43774</v>
      </c>
      <c r="H47" t="str">
        <f>TRIM(_xll.RData(B47,$H$21))</f>
        <v>每半年</v>
      </c>
      <c r="I47">
        <f>TRIM(_xll.RData(A47,$I$21))*1</f>
        <v>1.0279</v>
      </c>
      <c r="J47">
        <f>_xll.RData(C47,$J$21)</f>
        <v>0</v>
      </c>
      <c r="K47" s="2" t="str">
        <f>_xll.RData(C47,$K$21)</f>
        <v xml:space="preserve">  :  </v>
      </c>
      <c r="L47" s="3" t="str">
        <f>_xll.RData(C47,$L$21)</f>
        <v/>
      </c>
      <c r="M47" t="str">
        <f>_xll.RData(C47,$M$21)</f>
        <v xml:space="preserve">                      </v>
      </c>
      <c r="N47">
        <f t="shared" si="2"/>
        <v>-100.682805</v>
      </c>
      <c r="O47" s="7" t="str">
        <f>_xll.RData(B47,$O$21:$Q$21)</f>
        <v xml:space="preserve">ACC:AA CCM:BBAA CFADJ:NO CLDR:CHN_FI DATED:05NOV2009 DMC:F EMC:S FRCD:05MAY2010 FRQ:2 ISSUE:05NOV2009 NOTIONAL:1 PX:C PXRND:1E-6:NEAR REFDATE:MATURITY RP:1 SETTLE:1WD XD:NO YLDRND:1E-6:NEAR </v>
      </c>
      <c r="P47" s="7"/>
      <c r="Q47" s="7"/>
      <c r="R47">
        <f t="shared" ca="1" si="25"/>
        <v>42083</v>
      </c>
      <c r="S47">
        <f t="shared" si="26"/>
        <v>42171</v>
      </c>
      <c r="T47" s="8">
        <f>IF(OR(J47=0,LEFT(J47,1)="*"),-ROW()/10,_xll.BdRepo(R47,S47,J47,$N$21*I47,0,G47,F47,O47:Q47,"RR:MMA5 RES:IMPRATE FV:C NPV:C CF:NO"))</f>
        <v>-4.7</v>
      </c>
      <c r="U47" t="str">
        <f>_xll.RData(B47,$U$21)</f>
        <v>CLDRADJ:NO DCB:AA EY:2 LLP:AA RATEFRQ:FRQ RATETYPE:ACT RM:YTA</v>
      </c>
      <c r="V47" s="9" t="str">
        <f ca="1">_xll.AdBondYield(R47,J47/100,G47,F47/100,O47:Q47,U47)</f>
        <v>ERROR 2613 - Invalid calculation request.</v>
      </c>
      <c r="W47" s="9">
        <f ca="1">_xll.AdBondYield(R47,$N$21/100*I47,G47,F47/100,O47:Q47,U47)</f>
        <v>3.5180999999999997E-2</v>
      </c>
      <c r="X47">
        <f ca="1">_xll.AdAccrued(R47,G47,F47,O47:Q47)</f>
        <v>1.3723756906077349</v>
      </c>
      <c r="Y47">
        <f t="shared" ca="1" si="3"/>
        <v>1.3723756906077349</v>
      </c>
      <c r="Z47">
        <f ca="1">_xll.BdRepo(R47,S47,J47,0,$Z$21,G47,F47,O47:Q47,"RR:MMA5 RES:FV FV:C NPV:C CF:NO")/I47</f>
        <v>-0.85762015341487352</v>
      </c>
      <c r="AA47">
        <f t="shared" ca="1" si="16"/>
        <v>-98.807620153414874</v>
      </c>
      <c r="AB47">
        <f t="shared" ca="1" si="4"/>
        <v>-101.5535547282979</v>
      </c>
      <c r="AC47">
        <f t="shared" ca="1" si="5"/>
        <v>-4.7</v>
      </c>
      <c r="AD47">
        <v>26</v>
      </c>
      <c r="AE47">
        <f t="shared" ca="1" si="6"/>
        <v>26</v>
      </c>
      <c r="AF47">
        <f t="shared" ca="1" si="17"/>
        <v>40017</v>
      </c>
      <c r="AG47">
        <f t="shared" ca="1" si="18"/>
        <v>28</v>
      </c>
      <c r="AH47">
        <f>_xll.RData(B47,$AH$21)</f>
        <v>40122</v>
      </c>
      <c r="AI47" t="str">
        <f t="shared" ca="1" si="19"/>
        <v>09附息国债16</v>
      </c>
      <c r="AJ47" t="str">
        <f t="shared" ca="1" si="20"/>
        <v>CN090016=</v>
      </c>
      <c r="AK47">
        <f ca="1">_xll.AdAccrued(S47,G47,F47,O47:Q47)-X47</f>
        <v>-0.95237569060773497</v>
      </c>
      <c r="AL47">
        <f t="shared" ca="1" si="7"/>
        <v>0.88762430939226511</v>
      </c>
      <c r="AM47">
        <f t="shared" ca="1" si="8"/>
        <v>-0.87074972829788777</v>
      </c>
      <c r="AN47">
        <f t="shared" ca="1" si="9"/>
        <v>0.88723287671232876</v>
      </c>
      <c r="AO47">
        <f t="shared" ca="1" si="10"/>
        <v>1.687458109437737E-2</v>
      </c>
      <c r="AP47">
        <f t="shared" ca="1" si="21"/>
        <v>-0.87035829561795142</v>
      </c>
      <c r="AQ47">
        <f t="shared" ca="1" si="11"/>
        <v>-101.55316329561795</v>
      </c>
      <c r="AS47">
        <f>_xll.BdConvFactor("CTF",INDEX($W$3:$W$5,$H$10),G47,F47/100,O47)</f>
        <v>1.0279</v>
      </c>
      <c r="AT47">
        <f>_xll.BdConvFactor("CTF",INDEX($W$3:$W$5,$H$10),G47,F47/100)</f>
        <v>1.0279</v>
      </c>
      <c r="AU47">
        <f t="shared" si="12"/>
        <v>1.0279</v>
      </c>
      <c r="AV47" t="str">
        <f t="shared" si="13"/>
        <v>每半年</v>
      </c>
      <c r="AW47" t="str">
        <f t="shared" si="22"/>
        <v>FRQ:2</v>
      </c>
      <c r="AX47">
        <f>_xll.BdConvFactor("CTF",INDEX($W$3:$W$5,$H$10),G47,F47/100,AW47)</f>
        <v>1.0279</v>
      </c>
      <c r="AY47">
        <f t="shared" si="23"/>
        <v>0</v>
      </c>
    </row>
    <row r="48" spans="1:51" x14ac:dyDescent="0.2">
      <c r="A48" s="6" t="str">
        <f t="shared" si="24"/>
        <v>CTFc1=CTD27</v>
      </c>
      <c r="B48" t="str">
        <f>LEFT(_xll.RData($A48,$B$21),9)</f>
        <v>CN090023=</v>
      </c>
      <c r="C48" t="str">
        <f t="shared" si="14"/>
        <v>CN090023=CFXM</v>
      </c>
      <c r="D48" t="str">
        <f t="shared" si="15"/>
        <v>CN090023=CFXM</v>
      </c>
      <c r="E48" t="str">
        <f>TRIM(_xll.RData(D48,$E$21))</f>
        <v>09附息国债23</v>
      </c>
      <c r="F48">
        <f>_xll.RData(B48,$F$21)</f>
        <v>3.44</v>
      </c>
      <c r="G48">
        <f>_xll.RData(B48,$G$21)</f>
        <v>43725</v>
      </c>
      <c r="H48" t="str">
        <f>TRIM(_xll.RData(B48,$H$21))</f>
        <v>每半年</v>
      </c>
      <c r="I48">
        <f>TRIM(_xll.RData(A48,$I$21))*1</f>
        <v>1.0174000000000001</v>
      </c>
      <c r="J48">
        <f>_xll.RData(C48,$J$21)</f>
        <v>0</v>
      </c>
      <c r="K48" s="2" t="str">
        <f>_xll.RData(C48,$K$21)</f>
        <v xml:space="preserve">  :  </v>
      </c>
      <c r="L48" s="3" t="str">
        <f>_xll.RData(C48,$L$21)</f>
        <v/>
      </c>
      <c r="M48" t="str">
        <f>_xll.RData(C48,$M$21)</f>
        <v xml:space="preserve">                      </v>
      </c>
      <c r="N48">
        <f t="shared" si="2"/>
        <v>-99.654330000000016</v>
      </c>
      <c r="O48" s="7" t="str">
        <f>_xll.RData(B48,$O$21:$Q$21)</f>
        <v xml:space="preserve">ACC:AA CCM:BBAA CFADJ:NO CLDR:CHN_FI DATED:17SEP2009 DMC:F EMC:S FRCD:17MAR2010 FRQ:2 ISSUE:17SEP2009 NOTIONAL:1 PX:C PXRND:1E-6:NEAR REFDATE:MATURITY RP:1 SETTLE:1WD XD:NO YLDRND:1E-6:NEAR </v>
      </c>
      <c r="P48" s="7"/>
      <c r="Q48" s="7"/>
      <c r="R48">
        <f t="shared" ca="1" si="25"/>
        <v>42083</v>
      </c>
      <c r="S48">
        <f t="shared" si="26"/>
        <v>42171</v>
      </c>
      <c r="T48" s="8">
        <f>IF(OR(J48=0,LEFT(J48,1)="*"),-ROW()/10,_xll.BdRepo(R48,S48,J48,$N$21*I48,0,G48,F48,O48:Q48,"RR:MMA5 RES:IMPRATE FV:C NPV:C CF:NO"))</f>
        <v>-4.8</v>
      </c>
      <c r="U48" t="str">
        <f>_xll.RData(B48,$U$21)</f>
        <v>CLDRADJ:NO DCB:AA EY:2 LLP:AA RATEFRQ:FRQ RATETYPE:ACT RM:YTA</v>
      </c>
      <c r="V48" s="9" t="str">
        <f ca="1">_xll.AdBondYield(R48,J48/100,G48,F48/100,O48:Q48,U48)</f>
        <v>ERROR 2613 - Invalid calculation request.</v>
      </c>
      <c r="W48" s="9">
        <f ca="1">_xll.AdBondYield(R48,$N$21/100*I48,G48,F48/100,O48:Q48,U48)</f>
        <v>3.5237999999999998E-2</v>
      </c>
      <c r="X48">
        <f ca="1">_xll.AdAccrued(R48,G48,F48,O48:Q48)</f>
        <v>2.8043478260869566E-2</v>
      </c>
      <c r="Y48">
        <f t="shared" ca="1" si="3"/>
        <v>2.8043478260869566E-2</v>
      </c>
      <c r="Z48">
        <f ca="1">_xll.BdRepo(R48,S48,J48,0,$Z$21,G48,F48,O48:Q48,"RR:MMA5 RES:FV FV:C NPV:C CF:NO")/I48</f>
        <v>-0.80820117566024763</v>
      </c>
      <c r="AA48">
        <f t="shared" ca="1" si="16"/>
        <v>-98.758201175660247</v>
      </c>
      <c r="AB48">
        <f t="shared" ca="1" si="4"/>
        <v>-100.47659387611675</v>
      </c>
      <c r="AC48">
        <f t="shared" ca="1" si="5"/>
        <v>-4.8</v>
      </c>
      <c r="AD48">
        <v>27</v>
      </c>
      <c r="AE48">
        <f t="shared" ca="1" si="6"/>
        <v>27</v>
      </c>
      <c r="AF48">
        <f t="shared" ca="1" si="17"/>
        <v>39036</v>
      </c>
      <c r="AG48">
        <f t="shared" ca="1" si="18"/>
        <v>14</v>
      </c>
      <c r="AH48">
        <f>_xll.RData(B48,$AH$21)</f>
        <v>40073</v>
      </c>
      <c r="AI48" t="str">
        <f t="shared" ca="1" si="19"/>
        <v>06国债19</v>
      </c>
      <c r="AJ48" t="str">
        <f t="shared" ca="1" si="20"/>
        <v>CN060019=</v>
      </c>
      <c r="AK48">
        <f ca="1">_xll.AdAccrued(S48,G48,F48,O48:Q48)-X48</f>
        <v>0.82260869565217376</v>
      </c>
      <c r="AL48">
        <f t="shared" ca="1" si="7"/>
        <v>0.82260869565217376</v>
      </c>
      <c r="AM48">
        <f t="shared" ca="1" si="8"/>
        <v>-0.82226387611673601</v>
      </c>
      <c r="AN48">
        <f t="shared" ca="1" si="9"/>
        <v>0.82936986301369864</v>
      </c>
      <c r="AO48">
        <f t="shared" ca="1" si="10"/>
        <v>3.4481953543777328E-4</v>
      </c>
      <c r="AP48">
        <f t="shared" ca="1" si="21"/>
        <v>-0.82902504347826089</v>
      </c>
      <c r="AQ48">
        <f t="shared" ca="1" si="11"/>
        <v>-100.48335504347828</v>
      </c>
      <c r="AS48">
        <f>_xll.BdConvFactor("CTF",INDEX($W$3:$W$5,$H$10),G48,F48/100,O48)</f>
        <v>1.0174000000000001</v>
      </c>
      <c r="AT48">
        <f>_xll.BdConvFactor("CTF",INDEX($W$3:$W$5,$H$10),G48,F48/100)</f>
        <v>1.0174000000000001</v>
      </c>
      <c r="AU48">
        <f t="shared" si="12"/>
        <v>1.0174000000000001</v>
      </c>
      <c r="AV48" t="str">
        <f t="shared" si="13"/>
        <v>每半年</v>
      </c>
      <c r="AW48" t="str">
        <f t="shared" si="22"/>
        <v>FRQ:2</v>
      </c>
      <c r="AX48">
        <f>_xll.BdConvFactor("CTF",INDEX($W$3:$W$5,$H$10),G48,F48/100,AW48)</f>
        <v>1.0174000000000001</v>
      </c>
      <c r="AY48">
        <f t="shared" si="23"/>
        <v>0</v>
      </c>
    </row>
    <row r="49" spans="1:51" x14ac:dyDescent="0.2">
      <c r="A49" s="6" t="str">
        <f t="shared" si="24"/>
        <v>CTFc1=CTD28</v>
      </c>
      <c r="B49" t="str">
        <f>LEFT(_xll.RData($A49,$B$21),9)</f>
        <v>CN090016=</v>
      </c>
      <c r="C49" t="str">
        <f t="shared" si="14"/>
        <v>CN090016=CFXM</v>
      </c>
      <c r="D49" t="str">
        <f t="shared" si="15"/>
        <v>CN090016=CFXM</v>
      </c>
      <c r="E49" t="str">
        <f>TRIM(_xll.RData(D49,$E$21))</f>
        <v>09附息国债16</v>
      </c>
      <c r="F49">
        <f>_xll.RData(B49,$F$21)</f>
        <v>3.48</v>
      </c>
      <c r="G49">
        <f>_xll.RData(B49,$G$21)</f>
        <v>43669</v>
      </c>
      <c r="H49" t="str">
        <f>TRIM(_xll.RData(B49,$H$21))</f>
        <v>每半年</v>
      </c>
      <c r="I49">
        <f>TRIM(_xll.RData(A49,$I$21))*1</f>
        <v>1.0183</v>
      </c>
      <c r="J49">
        <f>_xll.RData(C49,$J$21)</f>
        <v>0</v>
      </c>
      <c r="K49" s="2" t="str">
        <f>_xll.RData(C49,$K$21)</f>
        <v xml:space="preserve">  :  </v>
      </c>
      <c r="L49" s="3" t="str">
        <f>_xll.RData(C49,$L$21)</f>
        <v/>
      </c>
      <c r="M49" t="str">
        <f>_xll.RData(C49,$M$21)</f>
        <v xml:space="preserve">                      </v>
      </c>
      <c r="N49">
        <f t="shared" si="2"/>
        <v>-99.742485000000002</v>
      </c>
      <c r="O49" s="7" t="str">
        <f>_xll.RData(B49,$O$21:$Q$21)</f>
        <v xml:space="preserve">ACC:AA CCM:BBAA CFADJ:NO CLDR:CHN_FI DATED:23JUL2009 DMC:F EMC:S FRCD:23JAN2010 FRQ:2 ISSUE:23JUL2009 NOTIONAL:1 PX:C PXRND:1E-6:NEAR REFDATE:MATURITY RP:1 SETTLE:1WD XD:NO YLDRND:1E-6:NEAR </v>
      </c>
      <c r="P49" s="7"/>
      <c r="Q49" s="7"/>
      <c r="R49">
        <f t="shared" ca="1" si="25"/>
        <v>42083</v>
      </c>
      <c r="S49">
        <f t="shared" si="26"/>
        <v>42171</v>
      </c>
      <c r="T49" s="8">
        <f>IF(OR(J49=0,LEFT(J49,1)="*"),-ROW()/10,_xll.BdRepo(R49,S49,J49,$N$21*I49,0,G49,F49,O49:Q49,"RR:MMA5 RES:IMPRATE FV:C NPV:C CF:NO"))</f>
        <v>-4.9000000000000004</v>
      </c>
      <c r="U49" t="str">
        <f>_xll.RData(B49,$U$21)</f>
        <v>CLDRADJ:NO DCB:AA EY:2 LLP:AA RATEFRQ:FRQ RATETYPE:ACT RM:YTA</v>
      </c>
      <c r="V49" s="9" t="str">
        <f ca="1">_xll.AdBondYield(R49,J49/100,G49,F49/100,O49:Q49,U49)</f>
        <v>ERROR 2613 - Invalid calculation request.</v>
      </c>
      <c r="W49" s="9">
        <f ca="1">_xll.AdBondYield(R49,$N$21/100*I49,G49,F49/100,O49:Q49,U49)</f>
        <v>3.5435999999999995E-2</v>
      </c>
      <c r="X49">
        <f ca="1">_xll.AdAccrued(R49,G49,F49,O49:Q49)</f>
        <v>0.53834254143646409</v>
      </c>
      <c r="Y49">
        <f t="shared" ca="1" si="3"/>
        <v>0.53834254143646409</v>
      </c>
      <c r="Z49">
        <f ca="1">_xll.BdRepo(R49,S49,J49,0,$Z$21,G49,F49,O49:Q49,"RR:MMA5 RES:FV FV:C NPV:C CF:NO")/I49</f>
        <v>-0.82426342918164497</v>
      </c>
      <c r="AA49">
        <f t="shared" ca="1" si="16"/>
        <v>-98.774263429181644</v>
      </c>
      <c r="AB49">
        <f t="shared" ca="1" si="4"/>
        <v>-100.58183244993567</v>
      </c>
      <c r="AC49">
        <f t="shared" ca="1" si="5"/>
        <v>-4.9000000000000004</v>
      </c>
      <c r="AD49">
        <v>28</v>
      </c>
      <c r="AE49">
        <f t="shared" ca="1" si="6"/>
        <v>28</v>
      </c>
      <c r="AF49">
        <f t="shared" ca="1" si="17"/>
        <v>38671</v>
      </c>
      <c r="AG49">
        <f t="shared" ca="1" si="18"/>
        <v>19</v>
      </c>
      <c r="AH49">
        <f>_xll.RData(B49,$AH$21)</f>
        <v>40017</v>
      </c>
      <c r="AI49" t="str">
        <f t="shared" ca="1" si="19"/>
        <v>05国债12</v>
      </c>
      <c r="AJ49" t="str">
        <f t="shared" ca="1" si="20"/>
        <v>CN050012=</v>
      </c>
      <c r="AK49">
        <f ca="1">_xll.AdAccrued(S49,G49,F49,O49:Q49)-X49</f>
        <v>0.84596685082872913</v>
      </c>
      <c r="AL49">
        <f t="shared" ca="1" si="7"/>
        <v>0.84596685082872913</v>
      </c>
      <c r="AM49">
        <f t="shared" ca="1" si="8"/>
        <v>-0.83934744993566901</v>
      </c>
      <c r="AN49">
        <f t="shared" ca="1" si="9"/>
        <v>0.83901369863013697</v>
      </c>
      <c r="AO49">
        <f t="shared" ca="1" si="10"/>
        <v>6.6194008930601095E-3</v>
      </c>
      <c r="AP49">
        <f t="shared" ca="1" si="21"/>
        <v>-0.83239429773707685</v>
      </c>
      <c r="AQ49">
        <f t="shared" ca="1" si="11"/>
        <v>-100.57487929773708</v>
      </c>
      <c r="AS49">
        <f>_xll.BdConvFactor("CTF",INDEX($W$3:$W$5,$H$10),G49,F49/100,O49)</f>
        <v>1.0183</v>
      </c>
      <c r="AT49">
        <f>_xll.BdConvFactor("CTF",INDEX($W$3:$W$5,$H$10),G49,F49/100)</f>
        <v>1.0183</v>
      </c>
      <c r="AU49">
        <f t="shared" si="12"/>
        <v>1.0183</v>
      </c>
      <c r="AV49" t="str">
        <f t="shared" si="13"/>
        <v>每半年</v>
      </c>
      <c r="AW49" t="str">
        <f t="shared" si="22"/>
        <v>FRQ:2</v>
      </c>
      <c r="AX49">
        <f>_xll.BdConvFactor("CTF",INDEX($W$3:$W$5,$H$10),G49,F49/100,AW49)</f>
        <v>1.0183</v>
      </c>
      <c r="AY49">
        <f t="shared" si="23"/>
        <v>0</v>
      </c>
    </row>
    <row r="50" spans="1:51" x14ac:dyDescent="0.2">
      <c r="A50" s="6" t="str">
        <f t="shared" si="24"/>
        <v>CTFc1=CTD29</v>
      </c>
      <c r="B50" t="str">
        <f>LEFT(_xll.RData($A50,$B$21),9)</f>
        <v/>
      </c>
      <c r="C50" t="str">
        <f t="shared" si="14"/>
        <v>CFXM</v>
      </c>
      <c r="D50" t="str">
        <f t="shared" si="15"/>
        <v>CFXM</v>
      </c>
      <c r="E50" t="str">
        <f>TRIM(_xll.RData(D50,$E$21))</f>
        <v>*The record could not be found</v>
      </c>
      <c r="F50" t="str">
        <f>_xll.RData(B50,$F$21)</f>
        <v>No instrument defined.</v>
      </c>
      <c r="G50" t="str">
        <f>_xll.RData(B50,$G$21)</f>
        <v>No instrument defined.</v>
      </c>
      <c r="H50" t="str">
        <f>TRIM(_xll.RData(B50,$H$21))</f>
        <v>No instrument defined.</v>
      </c>
      <c r="I50" t="e">
        <f>TRIM(_xll.RData(A50,$I$21))*1</f>
        <v>#VALUE!</v>
      </c>
      <c r="J50" t="str">
        <f>_xll.RData(C50,$J$21)</f>
        <v>*The record could not be found</v>
      </c>
      <c r="K50" s="2" t="str">
        <f>_xll.RData(C50,$K$21)</f>
        <v>*The record could not be found</v>
      </c>
      <c r="L50" s="3" t="str">
        <f>_xll.RData(C50,$L$21)</f>
        <v>*The record could not be found</v>
      </c>
      <c r="M50" t="str">
        <f>_xll.RData(C50,$M$21)</f>
        <v>*The record could not be found</v>
      </c>
      <c r="N50" t="e">
        <f t="shared" si="2"/>
        <v>#VALUE!</v>
      </c>
      <c r="O50" s="7" t="str">
        <f>_xll.RData(B50,$O$21:$Q$21)</f>
        <v>No instrument defined.</v>
      </c>
      <c r="P50" s="7"/>
      <c r="Q50" s="7"/>
      <c r="R50">
        <f t="shared" ca="1" si="25"/>
        <v>42083</v>
      </c>
      <c r="S50">
        <f t="shared" si="26"/>
        <v>42171</v>
      </c>
      <c r="T50" s="8">
        <f>IF(OR(J50=0,LEFT(J50,1)="*"),-ROW()/10,_xll.BdRepo(R50,S50,J50,$N$21*I50,0,G50,F50,O50:Q50,"RR:MMA5 RES:IMPRATE FV:C NPV:C CF:NO"))</f>
        <v>-5</v>
      </c>
      <c r="U50" t="str">
        <f>_xll.RData(B50,$U$21)</f>
        <v>No instrument defined.</v>
      </c>
      <c r="V50" s="9" t="e">
        <f ca="1">_xll.AdBondYield(R50,J50/100,G50,F50/100,O50:Q50,U50)</f>
        <v>#VALUE!</v>
      </c>
      <c r="W50" s="9" t="e">
        <f ca="1">_xll.AdBondYield(R50,$N$21/100*I50,G50,F50/100,O50:Q50,U50)</f>
        <v>#VALUE!</v>
      </c>
      <c r="X50" t="e">
        <f ca="1">_xll.AdAccrued(R50,G50,F50,O50:Q50)</f>
        <v>#VALUE!</v>
      </c>
      <c r="Y50" t="e">
        <f t="shared" ca="1" si="3"/>
        <v>#VALUE!</v>
      </c>
      <c r="Z50" t="e">
        <f ca="1">_xll.BdRepo(R50,S50,J50,0,$Z$21,G50,F50,O50:Q50,"RR:MMA5 RES:FV FV:C NPV:C CF:NO")/I50</f>
        <v>#VALUE!</v>
      </c>
      <c r="AA50" t="e">
        <f t="shared" ca="1" si="16"/>
        <v>#VALUE!</v>
      </c>
      <c r="AB50" t="e">
        <f t="shared" ca="1" si="4"/>
        <v>#VALUE!</v>
      </c>
      <c r="AC50">
        <f t="shared" ca="1" si="5"/>
        <v>-5</v>
      </c>
      <c r="AD50">
        <v>29</v>
      </c>
      <c r="AE50">
        <f t="shared" ca="1" si="6"/>
        <v>29</v>
      </c>
      <c r="AF50" t="e">
        <f t="shared" ca="1" si="17"/>
        <v>#NUM!</v>
      </c>
      <c r="AG50" t="e">
        <f t="shared" ca="1" si="18"/>
        <v>#NUM!</v>
      </c>
      <c r="AH50" t="str">
        <f>_xll.RData(B50,$AH$21)</f>
        <v>No instrument defined.</v>
      </c>
      <c r="AI50" t="e">
        <f t="shared" ca="1" si="19"/>
        <v>#NUM!</v>
      </c>
      <c r="AJ50" t="e">
        <f t="shared" ca="1" si="20"/>
        <v>#NUM!</v>
      </c>
      <c r="AK50" t="e">
        <f ca="1">_xll.AdAccrued(S50,G50,F50,O50:Q50)-X50</f>
        <v>#VALUE!</v>
      </c>
      <c r="AL50" t="e">
        <f t="shared" ca="1" si="7"/>
        <v>#VALUE!</v>
      </c>
      <c r="AM50" t="e">
        <f t="shared" ca="1" si="8"/>
        <v>#VALUE!</v>
      </c>
      <c r="AN50" t="e">
        <f t="shared" ca="1" si="9"/>
        <v>#VALUE!</v>
      </c>
      <c r="AO50" t="e">
        <f t="shared" ca="1" si="10"/>
        <v>#VALUE!</v>
      </c>
      <c r="AP50" t="e">
        <f t="shared" ca="1" si="21"/>
        <v>#VALUE!</v>
      </c>
      <c r="AQ50" t="e">
        <f t="shared" ca="1" si="11"/>
        <v>#VALUE!</v>
      </c>
      <c r="AS50" t="e">
        <f>_xll.BdConvFactor("CTF",INDEX($W$3:$W$5,$H$10),G50,F50/100,O50)</f>
        <v>#VALUE!</v>
      </c>
      <c r="AT50" t="e">
        <f>_xll.BdConvFactor("CTF",INDEX($W$3:$W$5,$H$10),G50,F50/100)</f>
        <v>#VALUE!</v>
      </c>
      <c r="AU50" t="e">
        <f t="shared" si="12"/>
        <v>#VALUE!</v>
      </c>
      <c r="AV50" t="str">
        <f t="shared" si="13"/>
        <v>No instrument defined.</v>
      </c>
      <c r="AW50" t="str">
        <f t="shared" si="22"/>
        <v>FRQ:2</v>
      </c>
      <c r="AX50" t="e">
        <f>_xll.BdConvFactor("CTF",INDEX($W$3:$W$5,$H$10),G50,F50/100,AW50)</f>
        <v>#VALUE!</v>
      </c>
      <c r="AY50" t="e">
        <f t="shared" si="23"/>
        <v>#VALUE!</v>
      </c>
    </row>
    <row r="51" spans="1:51" x14ac:dyDescent="0.2">
      <c r="A51" s="6" t="str">
        <f t="shared" si="24"/>
        <v>CTFc1=CTD30</v>
      </c>
      <c r="B51" t="str">
        <f>LEFT(_xll.RData($A51,$B$21),9)</f>
        <v/>
      </c>
      <c r="C51" t="str">
        <f t="shared" si="14"/>
        <v>CFXM</v>
      </c>
      <c r="D51" t="str">
        <f t="shared" si="15"/>
        <v>CFXM</v>
      </c>
      <c r="E51" t="str">
        <f>TRIM(_xll.RData(D51,$E$21))</f>
        <v>*The record could not be found</v>
      </c>
      <c r="F51" t="str">
        <f>_xll.RData(B51,$F$21)</f>
        <v>No instrument defined.</v>
      </c>
      <c r="G51" t="str">
        <f>_xll.RData(B51,$G$21)</f>
        <v>No instrument defined.</v>
      </c>
      <c r="H51" t="str">
        <f>TRIM(_xll.RData(B51,$H$21))</f>
        <v>No instrument defined.</v>
      </c>
      <c r="I51" t="e">
        <f>TRIM(_xll.RData(A51,$I$21))*1</f>
        <v>#VALUE!</v>
      </c>
      <c r="J51" t="str">
        <f>_xll.RData(C51,$J$21)</f>
        <v>*The record could not be found</v>
      </c>
      <c r="K51" s="2" t="str">
        <f>_xll.RData(C51,$K$21)</f>
        <v>*The record could not be found</v>
      </c>
      <c r="L51" s="3" t="str">
        <f>_xll.RData(C51,$L$21)</f>
        <v>*The record could not be found</v>
      </c>
      <c r="M51" t="str">
        <f>_xll.RData(C51,$M$21)</f>
        <v>*The record could not be found</v>
      </c>
      <c r="N51" t="e">
        <f t="shared" si="2"/>
        <v>#VALUE!</v>
      </c>
      <c r="O51" s="7" t="str">
        <f>_xll.RData(B51,$O$21:$Q$21)</f>
        <v>No instrument defined.</v>
      </c>
      <c r="P51" s="7"/>
      <c r="Q51" s="7"/>
      <c r="R51">
        <f t="shared" ca="1" si="25"/>
        <v>42083</v>
      </c>
      <c r="S51">
        <f t="shared" si="26"/>
        <v>42171</v>
      </c>
      <c r="T51" s="8">
        <f>IF(OR(J51=0,LEFT(J51,1)="*"),-ROW()/10,_xll.BdRepo(R51,S51,J51,$N$21*I51,0,G51,F51,O51:Q51,"RR:MMA5 RES:IMPRATE FV:C NPV:C CF:NO"))</f>
        <v>-5.0999999999999996</v>
      </c>
      <c r="U51" t="str">
        <f>_xll.RData(B51,$U$21)</f>
        <v>No instrument defined.</v>
      </c>
      <c r="V51" s="9" t="e">
        <f ca="1">_xll.AdBondYield(R51,J51/100,G51,F51/100,O51:Q51,U51)</f>
        <v>#VALUE!</v>
      </c>
      <c r="W51" s="9" t="e">
        <f ca="1">_xll.AdBondYield(R51,$N$21/100*I51,G51,F51/100,O51:Q51,U51)</f>
        <v>#VALUE!</v>
      </c>
      <c r="X51" t="e">
        <f ca="1">_xll.AdAccrued(R51,G51,F51,O51:Q51)</f>
        <v>#VALUE!</v>
      </c>
      <c r="Y51" t="e">
        <f t="shared" ca="1" si="3"/>
        <v>#VALUE!</v>
      </c>
      <c r="Z51" t="e">
        <f ca="1">_xll.BdRepo(R51,S51,J51,0,$Z$21,G51,F51,O51:Q51,"RR:MMA5 RES:FV FV:C NPV:C CF:NO")/I51</f>
        <v>#VALUE!</v>
      </c>
      <c r="AA51" t="e">
        <f t="shared" ca="1" si="16"/>
        <v>#VALUE!</v>
      </c>
      <c r="AB51" t="e">
        <f t="shared" ca="1" si="4"/>
        <v>#VALUE!</v>
      </c>
      <c r="AC51">
        <f t="shared" ca="1" si="5"/>
        <v>-5.0999999999999996</v>
      </c>
      <c r="AD51">
        <v>30</v>
      </c>
      <c r="AE51">
        <f t="shared" ca="1" si="6"/>
        <v>30</v>
      </c>
      <c r="AF51" t="e">
        <f t="shared" ca="1" si="17"/>
        <v>#NUM!</v>
      </c>
      <c r="AG51" t="e">
        <f t="shared" ca="1" si="18"/>
        <v>#NUM!</v>
      </c>
      <c r="AH51" t="str">
        <f>_xll.RData(B51,$AH$21)</f>
        <v>No instrument defined.</v>
      </c>
      <c r="AI51" t="e">
        <f t="shared" ca="1" si="19"/>
        <v>#NUM!</v>
      </c>
      <c r="AJ51" t="e">
        <f t="shared" ca="1" si="20"/>
        <v>#NUM!</v>
      </c>
      <c r="AK51" t="e">
        <f ca="1">_xll.AdAccrued(S51,G51,F51,O51:Q51)-X51</f>
        <v>#VALUE!</v>
      </c>
      <c r="AL51" t="e">
        <f t="shared" ca="1" si="7"/>
        <v>#VALUE!</v>
      </c>
      <c r="AM51" t="e">
        <f t="shared" ca="1" si="8"/>
        <v>#VALUE!</v>
      </c>
      <c r="AN51" t="e">
        <f t="shared" ca="1" si="9"/>
        <v>#VALUE!</v>
      </c>
      <c r="AO51" t="e">
        <f t="shared" ca="1" si="10"/>
        <v>#VALUE!</v>
      </c>
      <c r="AP51" t="e">
        <f t="shared" ca="1" si="21"/>
        <v>#VALUE!</v>
      </c>
      <c r="AQ51" t="e">
        <f t="shared" ca="1" si="11"/>
        <v>#VALUE!</v>
      </c>
      <c r="AS51" t="e">
        <f>_xll.BdConvFactor("CTF",INDEX($W$3:$W$5,$H$10),G51,F51/100,O51)</f>
        <v>#VALUE!</v>
      </c>
      <c r="AT51" t="e">
        <f>_xll.BdConvFactor("CTF",INDEX($W$3:$W$5,$H$10),G51,F51/100)</f>
        <v>#VALUE!</v>
      </c>
      <c r="AU51" t="e">
        <f t="shared" si="12"/>
        <v>#VALUE!</v>
      </c>
      <c r="AV51" t="str">
        <f t="shared" si="13"/>
        <v>No instrument defined.</v>
      </c>
      <c r="AW51" t="str">
        <f t="shared" si="22"/>
        <v>FRQ:2</v>
      </c>
      <c r="AX51" t="e">
        <f>_xll.BdConvFactor("CTF",INDEX($W$3:$W$5,$H$10),G51,F51/100,AW51)</f>
        <v>#VALUE!</v>
      </c>
      <c r="AY51" t="e">
        <f t="shared" si="23"/>
        <v>#VALUE!</v>
      </c>
    </row>
    <row r="52" spans="1:51" x14ac:dyDescent="0.2">
      <c r="B52" t="str">
        <f>"CN"&amp;'CTF Monitor'!P4&amp;"="</f>
        <v>CN=</v>
      </c>
      <c r="C52" s="49">
        <f>'CTF Monitor'!P4</f>
        <v>0</v>
      </c>
      <c r="D52" t="str">
        <f t="shared" si="15"/>
        <v>CN=CFXM</v>
      </c>
      <c r="E52" t="str">
        <f>TRIM(_xll.RData(D52,$E$21))</f>
        <v>*The record could not be found</v>
      </c>
      <c r="F52" t="str">
        <f>_xll.RData(B52,$F$21)</f>
        <v>*The record could not be found</v>
      </c>
      <c r="G52" t="str">
        <f>_xll.RData(B52,$G$21)</f>
        <v>*The record could not be found</v>
      </c>
      <c r="H52" t="str">
        <f>TRIM(_xll.RData(B52,$H$21))</f>
        <v>*The record could not be found</v>
      </c>
      <c r="I52" t="e">
        <f>_xll.BdConvFactor("CTF",INDEX($W$3:$W$5,$H$10),G52,F52/100,"FRQ:"&amp;MID(O52,FIND("FRQ:",O52)+4,1))</f>
        <v>#VALUE!</v>
      </c>
      <c r="J52">
        <f>IF('CTF Monitor'!P4="",0,'CTF Monitor'!Q4)</f>
        <v>0</v>
      </c>
      <c r="K52" s="2"/>
      <c r="L52" s="3">
        <f ca="1">TODAY()</f>
        <v>42082</v>
      </c>
      <c r="M52" s="1" t="s">
        <v>117</v>
      </c>
      <c r="N52" t="e">
        <f t="shared" ref="N52" si="27">J52-$N$21*I52</f>
        <v>#VALUE!</v>
      </c>
      <c r="O52" s="7" t="str">
        <f>_xll.RData(B52,$O$21:$Q$21)</f>
        <v>#N/A</v>
      </c>
      <c r="P52" s="7"/>
      <c r="Q52" s="7"/>
      <c r="R52">
        <f t="shared" ca="1" si="25"/>
        <v>42083</v>
      </c>
      <c r="S52">
        <f t="shared" si="26"/>
        <v>42171</v>
      </c>
      <c r="T52" s="8">
        <f>IF(OR(J52=0,LEFT(J52,1)="*"),-ROW()/10,_xll.BdRepo(R52,S52,J52,$N$21*I52,0,G52,F52,O52:Q52,"RR:MMA5 RES:IMPRATE FV:C NPV:C CF:NO"))</f>
        <v>-5.2</v>
      </c>
      <c r="U52" t="str">
        <f>_xll.RData(B52,$U$21)</f>
        <v>#N/A</v>
      </c>
      <c r="V52" s="9" t="e">
        <f ca="1">_xll.AdBondYield(R52,J52/100,G52,F52/100,O52:Q52,U52)</f>
        <v>#VALUE!</v>
      </c>
      <c r="W52" s="9" t="e">
        <f ca="1">_xll.AdBondYield(R52,$N$21/100*I52,G52,F52/100,O52:Q52,U52)</f>
        <v>#VALUE!</v>
      </c>
      <c r="X52" t="e">
        <f ca="1">_xll.AdAccrued(R52,G52,F52,O52:Q52)</f>
        <v>#VALUE!</v>
      </c>
      <c r="Y52" t="e">
        <f t="shared" ca="1" si="3"/>
        <v>#VALUE!</v>
      </c>
      <c r="Z52" t="e">
        <f ca="1">_xll.BdRepo(R52,S52,J52,0,$Z$21,G52,F52,O52:Q52,"RR:MMA5 RES:FV FV:C NPV:C CF:NO")/I52</f>
        <v>#VALUE!</v>
      </c>
      <c r="AA52" t="e">
        <f t="shared" ref="AA52" ca="1" si="28">Z52-$N$21</f>
        <v>#VALUE!</v>
      </c>
      <c r="AB52" t="e">
        <f t="shared" ca="1" si="4"/>
        <v>#VALUE!</v>
      </c>
      <c r="AC52">
        <f t="shared" ca="1" si="5"/>
        <v>-5.2</v>
      </c>
      <c r="AD52">
        <v>31</v>
      </c>
      <c r="AE52">
        <f t="shared" ca="1" si="6"/>
        <v>31</v>
      </c>
      <c r="AF52" t="e">
        <f t="shared" ref="AF52" ca="1" si="29">LARGE(OFFSET($AH$22,0,0,$AC$21),AD52)</f>
        <v>#NUM!</v>
      </c>
      <c r="AG52" t="e">
        <f t="shared" ca="1" si="18"/>
        <v>#NUM!</v>
      </c>
      <c r="AH52" t="str">
        <f>_xll.RData(B52,$AH$21)</f>
        <v>*The record could not be found</v>
      </c>
      <c r="AI52" t="e">
        <f t="shared" ca="1" si="19"/>
        <v>#NUM!</v>
      </c>
      <c r="AJ52" t="e">
        <f t="shared" ca="1" si="20"/>
        <v>#NUM!</v>
      </c>
      <c r="AK52" t="e">
        <f ca="1">_xll.AdAccrued(S52,G52,F52,O52:Q52)-X52</f>
        <v>#VALUE!</v>
      </c>
      <c r="AL52" t="e">
        <f t="shared" ca="1" si="7"/>
        <v>#VALUE!</v>
      </c>
      <c r="AM52" t="e">
        <f t="shared" ca="1" si="8"/>
        <v>#VALUE!</v>
      </c>
      <c r="AN52" t="e">
        <f t="shared" ca="1" si="9"/>
        <v>#VALUE!</v>
      </c>
      <c r="AO52" t="e">
        <f t="shared" ca="1" si="10"/>
        <v>#VALUE!</v>
      </c>
      <c r="AP52" t="e">
        <f t="shared" ref="AP52" ca="1" si="30">AO52-AN52</f>
        <v>#VALUE!</v>
      </c>
      <c r="AQ52" t="e">
        <f t="shared" ca="1" si="11"/>
        <v>#VALUE!</v>
      </c>
      <c r="AS52" t="e">
        <f>_xll.BdConvFactor("CTF",INDEX($W$3:$W$5,$H$10),G52,F52/100,O52)</f>
        <v>#VALUE!</v>
      </c>
      <c r="AT52" t="e">
        <f>_xll.BdConvFactor("CTF",INDEX($W$3:$W$5,$H$10),G52,F52/100)</f>
        <v>#VALUE!</v>
      </c>
      <c r="AU52" t="e">
        <f t="shared" si="12"/>
        <v>#VALUE!</v>
      </c>
      <c r="AV52" t="str">
        <f t="shared" si="13"/>
        <v>*The record could not be found</v>
      </c>
      <c r="AW52" t="str">
        <f t="shared" si="22"/>
        <v>FRQ:2</v>
      </c>
      <c r="AX52" t="e">
        <f>_xll.BdConvFactor("CTF",INDEX($W$3:$W$5,$H$10),G52,F52/100,AW52)</f>
        <v>#VALUE!</v>
      </c>
      <c r="AY52" t="e">
        <f t="shared" si="23"/>
        <v>#VALUE!</v>
      </c>
    </row>
    <row r="53" spans="1:51" x14ac:dyDescent="0.2">
      <c r="B53" t="str">
        <f>"CN"&amp;'CTF Monitor'!P5&amp;"="</f>
        <v>CN=</v>
      </c>
      <c r="C53" s="49">
        <f>'CTF Monitor'!P5</f>
        <v>0</v>
      </c>
      <c r="D53" t="str">
        <f t="shared" ref="D53:D55" si="31">B53&amp;$D$21</f>
        <v>CN=CFXM</v>
      </c>
      <c r="E53" t="str">
        <f>TRIM(_xll.RData(D53,$E$21))</f>
        <v>*The record could not be found</v>
      </c>
      <c r="F53" t="str">
        <f>_xll.RData(B53,$F$21)</f>
        <v>*The record could not be found</v>
      </c>
      <c r="G53" t="str">
        <f>_xll.RData(B53,$G$21)</f>
        <v>*The record could not be found</v>
      </c>
      <c r="H53" t="str">
        <f>TRIM(_xll.RData(B53,$H$21))</f>
        <v>*The record could not be found</v>
      </c>
      <c r="I53" t="e">
        <f>_xll.BdConvFactor("CTF",INDEX($W$3:$W$5,$H$10),G53,F53/100,"FRQ:"&amp;MID(O53,FIND("FRQ:",O53)+4,1))</f>
        <v>#VALUE!</v>
      </c>
      <c r="J53">
        <f>IF('CTF Monitor'!P5="",0,'CTF Monitor'!Q5)</f>
        <v>0</v>
      </c>
      <c r="K53" s="2"/>
      <c r="L53" s="3">
        <f t="shared" ref="L53:L55" ca="1" si="32">TODAY()</f>
        <v>42082</v>
      </c>
      <c r="M53" s="1" t="s">
        <v>117</v>
      </c>
      <c r="N53" t="e">
        <f t="shared" ref="N53:N55" si="33">J53-$N$21*I53</f>
        <v>#VALUE!</v>
      </c>
      <c r="O53" s="7" t="str">
        <f>_xll.RData(B53,$O$21:$Q$21)</f>
        <v>#N/A</v>
      </c>
      <c r="P53" s="7"/>
      <c r="Q53" s="7"/>
      <c r="R53">
        <f t="shared" ca="1" si="25"/>
        <v>42083</v>
      </c>
      <c r="S53">
        <f t="shared" si="26"/>
        <v>42171</v>
      </c>
      <c r="T53" s="8">
        <f>IF(OR(J53=0,LEFT(J53,1)="*"),-ROW()/10,_xll.BdRepo(R53,S53,J53,$N$21*I53,0,G53,F53,O53:Q53,"RR:MMA5 RES:IMPRATE FV:C NPV:C CF:NO"))</f>
        <v>-5.3</v>
      </c>
      <c r="U53" t="str">
        <f>_xll.RData(B53,$U$21)</f>
        <v>#N/A</v>
      </c>
      <c r="V53" s="9" t="e">
        <f ca="1">_xll.AdBondYield(R53,J53/100,G53,F53/100,O53:Q53,U53)</f>
        <v>#VALUE!</v>
      </c>
      <c r="W53" s="9" t="e">
        <f ca="1">_xll.AdBondYield(R53,$N$21/100*I53,G53,F53/100,O53:Q53,U53)</f>
        <v>#VALUE!</v>
      </c>
      <c r="X53" t="e">
        <f ca="1">_xll.AdAccrued(R53,G53,F53,O53:Q53)</f>
        <v>#VALUE!</v>
      </c>
      <c r="Y53" t="e">
        <f t="shared" ca="1" si="3"/>
        <v>#VALUE!</v>
      </c>
      <c r="Z53" t="e">
        <f ca="1">_xll.BdRepo(R53,S53,J53,0,$Z$21,G53,F53,O53:Q53,"RR:MMA5 RES:FV FV:C NPV:C CF:NO")/I53</f>
        <v>#VALUE!</v>
      </c>
      <c r="AA53" t="e">
        <f t="shared" ref="AA53:AA55" ca="1" si="34">Z53-$N$21</f>
        <v>#VALUE!</v>
      </c>
      <c r="AB53" t="e">
        <f t="shared" ca="1" si="4"/>
        <v>#VALUE!</v>
      </c>
      <c r="AC53">
        <f t="shared" ca="1" si="5"/>
        <v>-5.3</v>
      </c>
      <c r="AD53">
        <v>32</v>
      </c>
      <c r="AE53">
        <f t="shared" ca="1" si="6"/>
        <v>32</v>
      </c>
      <c r="AF53" t="e">
        <f t="shared" ref="AF53:AF55" ca="1" si="35">LARGE(OFFSET($AH$22,0,0,$AC$21),AD53)</f>
        <v>#NUM!</v>
      </c>
      <c r="AG53" t="e">
        <f t="shared" ca="1" si="18"/>
        <v>#NUM!</v>
      </c>
      <c r="AH53" t="str">
        <f>_xll.RData(B53,$AH$21)</f>
        <v>*The record could not be found</v>
      </c>
      <c r="AI53" t="e">
        <f t="shared" ca="1" si="19"/>
        <v>#NUM!</v>
      </c>
      <c r="AJ53" t="e">
        <f t="shared" ca="1" si="20"/>
        <v>#NUM!</v>
      </c>
      <c r="AK53" t="e">
        <f ca="1">_xll.AdAccrued(S53,G53,F53,O53:Q53)-X53</f>
        <v>#VALUE!</v>
      </c>
      <c r="AL53" t="e">
        <f t="shared" ca="1" si="7"/>
        <v>#VALUE!</v>
      </c>
      <c r="AM53" t="e">
        <f t="shared" ca="1" si="8"/>
        <v>#VALUE!</v>
      </c>
      <c r="AN53" t="e">
        <f t="shared" ca="1" si="9"/>
        <v>#VALUE!</v>
      </c>
      <c r="AO53" t="e">
        <f t="shared" ca="1" si="10"/>
        <v>#VALUE!</v>
      </c>
      <c r="AP53" t="e">
        <f t="shared" ref="AP53:AP55" ca="1" si="36">AO53-AN53</f>
        <v>#VALUE!</v>
      </c>
      <c r="AQ53" t="e">
        <f t="shared" ca="1" si="11"/>
        <v>#VALUE!</v>
      </c>
      <c r="AS53" t="e">
        <f>_xll.BdConvFactor("CTF",INDEX($W$3:$W$5,$H$10),G53,F53/100,O53)</f>
        <v>#VALUE!</v>
      </c>
      <c r="AT53" t="e">
        <f>_xll.BdConvFactor("CTF",INDEX($W$3:$W$5,$H$10),G53,F53/100)</f>
        <v>#VALUE!</v>
      </c>
      <c r="AU53" t="e">
        <f t="shared" si="12"/>
        <v>#VALUE!</v>
      </c>
      <c r="AV53" t="str">
        <f t="shared" si="13"/>
        <v>*The record could not be found</v>
      </c>
      <c r="AW53" t="str">
        <f t="shared" si="22"/>
        <v>FRQ:2</v>
      </c>
      <c r="AX53" t="e">
        <f>_xll.BdConvFactor("CTF",INDEX($W$3:$W$5,$H$10),G53,F53/100,AW53)</f>
        <v>#VALUE!</v>
      </c>
      <c r="AY53" t="e">
        <f t="shared" si="23"/>
        <v>#VALUE!</v>
      </c>
    </row>
    <row r="54" spans="1:51" x14ac:dyDescent="0.2">
      <c r="B54" t="str">
        <f>"CN"&amp;'CTF Monitor'!P6&amp;"="</f>
        <v>CN=</v>
      </c>
      <c r="C54" s="49">
        <f>'CTF Monitor'!P6</f>
        <v>0</v>
      </c>
      <c r="D54" t="str">
        <f t="shared" si="31"/>
        <v>CN=CFXM</v>
      </c>
      <c r="E54" t="str">
        <f>TRIM(_xll.RData(D54,$E$21))</f>
        <v>*The record could not be found</v>
      </c>
      <c r="F54" t="str">
        <f>_xll.RData(B54,$F$21)</f>
        <v>*The record could not be found</v>
      </c>
      <c r="G54" t="str">
        <f>_xll.RData(B54,$G$21)</f>
        <v>*The record could not be found</v>
      </c>
      <c r="H54" t="str">
        <f>TRIM(_xll.RData(B54,$H$21))</f>
        <v>*The record could not be found</v>
      </c>
      <c r="I54" t="e">
        <f>_xll.BdConvFactor("CTF",INDEX($W$3:$W$5,$H$10),G54,F54/100,"FRQ:"&amp;MID(O54,FIND("FRQ:",O54)+4,1))</f>
        <v>#VALUE!</v>
      </c>
      <c r="J54">
        <f>IF('CTF Monitor'!P6="",0,'CTF Monitor'!Q6)</f>
        <v>0</v>
      </c>
      <c r="K54" s="2"/>
      <c r="L54" s="3">
        <f t="shared" ca="1" si="32"/>
        <v>42082</v>
      </c>
      <c r="M54" s="1" t="s">
        <v>117</v>
      </c>
      <c r="N54" t="e">
        <f t="shared" si="33"/>
        <v>#VALUE!</v>
      </c>
      <c r="O54" s="7" t="str">
        <f>_xll.RData(B54,$O$21:$Q$21)</f>
        <v>#N/A</v>
      </c>
      <c r="P54" s="7"/>
      <c r="Q54" s="7"/>
      <c r="R54">
        <f t="shared" ca="1" si="25"/>
        <v>42083</v>
      </c>
      <c r="S54">
        <f t="shared" si="26"/>
        <v>42171</v>
      </c>
      <c r="T54" s="8">
        <f>IF(OR(J54=0,LEFT(J54,1)="*"),-ROW()/10,_xll.BdRepo(R54,S54,J54,$N$21*I54,0,G54,F54,O54:Q54,"RR:MMA5 RES:IMPRATE FV:C NPV:C CF:NO"))</f>
        <v>-5.4</v>
      </c>
      <c r="U54" t="str">
        <f>_xll.RData(B54,$U$21)</f>
        <v>#N/A</v>
      </c>
      <c r="V54" s="9" t="e">
        <f ca="1">_xll.AdBondYield(R54,J54/100,G54,F54/100,O54:Q54,U54)</f>
        <v>#VALUE!</v>
      </c>
      <c r="W54" s="9" t="e">
        <f ca="1">_xll.AdBondYield(R54,$N$21/100*I54,G54,F54/100,O54:Q54,U54)</f>
        <v>#VALUE!</v>
      </c>
      <c r="X54" t="e">
        <f ca="1">_xll.AdAccrued(R54,G54,F54,O54:Q54)</f>
        <v>#VALUE!</v>
      </c>
      <c r="Y54" t="e">
        <f t="shared" ca="1" si="3"/>
        <v>#VALUE!</v>
      </c>
      <c r="Z54" t="e">
        <f ca="1">_xll.BdRepo(R54,S54,J54,0,$Z$21,G54,F54,O54:Q54,"RR:MMA5 RES:FV FV:C NPV:C CF:NO")/I54</f>
        <v>#VALUE!</v>
      </c>
      <c r="AA54" t="e">
        <f t="shared" ca="1" si="34"/>
        <v>#VALUE!</v>
      </c>
      <c r="AB54" t="e">
        <f t="shared" ca="1" si="4"/>
        <v>#VALUE!</v>
      </c>
      <c r="AC54">
        <f t="shared" ca="1" si="5"/>
        <v>-5.4</v>
      </c>
      <c r="AD54">
        <v>33</v>
      </c>
      <c r="AE54">
        <f t="shared" ca="1" si="6"/>
        <v>33</v>
      </c>
      <c r="AF54" t="e">
        <f t="shared" ca="1" si="35"/>
        <v>#NUM!</v>
      </c>
      <c r="AG54" t="e">
        <f t="shared" ca="1" si="18"/>
        <v>#NUM!</v>
      </c>
      <c r="AH54" t="str">
        <f>_xll.RData(B54,$AH$21)</f>
        <v>*The record could not be found</v>
      </c>
      <c r="AI54" t="e">
        <f t="shared" ca="1" si="19"/>
        <v>#NUM!</v>
      </c>
      <c r="AJ54" t="e">
        <f t="shared" ca="1" si="20"/>
        <v>#NUM!</v>
      </c>
      <c r="AK54" t="e">
        <f ca="1">_xll.AdAccrued(S54,G54,F54,O54:Q54)-X54</f>
        <v>#VALUE!</v>
      </c>
      <c r="AL54" t="e">
        <f t="shared" ca="1" si="7"/>
        <v>#VALUE!</v>
      </c>
      <c r="AM54" t="e">
        <f t="shared" ca="1" si="8"/>
        <v>#VALUE!</v>
      </c>
      <c r="AN54" t="e">
        <f t="shared" ca="1" si="9"/>
        <v>#VALUE!</v>
      </c>
      <c r="AO54" t="e">
        <f t="shared" ca="1" si="10"/>
        <v>#VALUE!</v>
      </c>
      <c r="AP54" t="e">
        <f t="shared" ca="1" si="36"/>
        <v>#VALUE!</v>
      </c>
      <c r="AQ54" t="e">
        <f t="shared" ca="1" si="11"/>
        <v>#VALUE!</v>
      </c>
      <c r="AS54" t="e">
        <f>_xll.BdConvFactor("CTF",INDEX($W$3:$W$5,$H$10),G54,F54/100,O54)</f>
        <v>#VALUE!</v>
      </c>
      <c r="AT54" t="e">
        <f>_xll.BdConvFactor("CTF",INDEX($W$3:$W$5,$H$10),G54,F54/100)</f>
        <v>#VALUE!</v>
      </c>
      <c r="AU54" t="e">
        <f t="shared" si="12"/>
        <v>#VALUE!</v>
      </c>
      <c r="AV54" t="str">
        <f t="shared" si="13"/>
        <v>*The record could not be found</v>
      </c>
      <c r="AW54" t="str">
        <f t="shared" si="22"/>
        <v>FRQ:2</v>
      </c>
      <c r="AX54" t="e">
        <f>_xll.BdConvFactor("CTF",INDEX($W$3:$W$5,$H$10),G54,F54/100,AW54)</f>
        <v>#VALUE!</v>
      </c>
      <c r="AY54" t="e">
        <f t="shared" si="23"/>
        <v>#VALUE!</v>
      </c>
    </row>
    <row r="55" spans="1:51" x14ac:dyDescent="0.2">
      <c r="B55" t="str">
        <f>"CN"&amp;'CTF Monitor'!P7&amp;"="</f>
        <v>CN=</v>
      </c>
      <c r="C55" s="49">
        <f>'CTF Monitor'!P7</f>
        <v>0</v>
      </c>
      <c r="D55" t="str">
        <f t="shared" si="31"/>
        <v>CN=CFXM</v>
      </c>
      <c r="E55" t="str">
        <f>TRIM(_xll.RData(D55,$E$21))</f>
        <v>*The record could not be found</v>
      </c>
      <c r="F55" t="str">
        <f>_xll.RData(B55,$F$21)</f>
        <v>*The record could not be found</v>
      </c>
      <c r="G55" t="str">
        <f>_xll.RData(B55,$G$21)</f>
        <v>*The record could not be found</v>
      </c>
      <c r="H55" t="str">
        <f>TRIM(_xll.RData(B55,$H$21))</f>
        <v>*The record could not be found</v>
      </c>
      <c r="I55" t="e">
        <f>_xll.BdConvFactor("CTF",INDEX($W$3:$W$5,$H$10),G55,F55/100,"FRQ:"&amp;MID(O55,FIND("FRQ:",O55)+4,1))</f>
        <v>#VALUE!</v>
      </c>
      <c r="J55">
        <f>IF('CTF Monitor'!P7="",0,'CTF Monitor'!Q7)</f>
        <v>0</v>
      </c>
      <c r="K55" s="2"/>
      <c r="L55" s="3">
        <f t="shared" ca="1" si="32"/>
        <v>42082</v>
      </c>
      <c r="M55" s="1" t="s">
        <v>117</v>
      </c>
      <c r="N55" t="e">
        <f t="shared" si="33"/>
        <v>#VALUE!</v>
      </c>
      <c r="O55" s="7" t="str">
        <f>_xll.RData(B55,$O$21:$Q$21)</f>
        <v>#N/A</v>
      </c>
      <c r="P55" s="7"/>
      <c r="Q55" s="7"/>
      <c r="R55">
        <f t="shared" ca="1" si="25"/>
        <v>42083</v>
      </c>
      <c r="S55">
        <f t="shared" si="26"/>
        <v>42171</v>
      </c>
      <c r="T55" s="8">
        <f>IF(OR(J55=0,LEFT(J55,1)="*"),-ROW()/10,_xll.BdRepo(R55,S55,J55,$N$21*I55,0,G55,F55,O55:Q55,"RR:MMA5 RES:IMPRATE FV:C NPV:C CF:NO"))</f>
        <v>-5.5</v>
      </c>
      <c r="U55" t="str">
        <f>_xll.RData(B55,$U$21)</f>
        <v>#N/A</v>
      </c>
      <c r="V55" s="9" t="e">
        <f ca="1">_xll.AdBondYield(R55,J55/100,G55,F55/100,O55:Q55,U55)</f>
        <v>#VALUE!</v>
      </c>
      <c r="W55" s="9" t="e">
        <f ca="1">_xll.AdBondYield(R55,$N$21/100*I55,G55,F55/100,O55:Q55,U55)</f>
        <v>#VALUE!</v>
      </c>
      <c r="X55" t="e">
        <f ca="1">_xll.AdAccrued(R55,G55,F55,O55:Q55)</f>
        <v>#VALUE!</v>
      </c>
      <c r="Y55" t="e">
        <f t="shared" ca="1" si="3"/>
        <v>#VALUE!</v>
      </c>
      <c r="Z55" t="e">
        <f ca="1">_xll.BdRepo(R55,S55,J55,0,$Z$21,G55,F55,O55:Q55,"RR:MMA5 RES:FV FV:C NPV:C CF:NO")/I55</f>
        <v>#VALUE!</v>
      </c>
      <c r="AA55" t="e">
        <f t="shared" ca="1" si="34"/>
        <v>#VALUE!</v>
      </c>
      <c r="AB55" t="e">
        <f t="shared" ca="1" si="4"/>
        <v>#VALUE!</v>
      </c>
      <c r="AC55">
        <f t="shared" ca="1" si="5"/>
        <v>-5.5</v>
      </c>
      <c r="AD55">
        <v>34</v>
      </c>
      <c r="AE55">
        <f t="shared" ca="1" si="6"/>
        <v>34</v>
      </c>
      <c r="AF55" t="e">
        <f t="shared" ca="1" si="35"/>
        <v>#NUM!</v>
      </c>
      <c r="AG55" t="e">
        <f t="shared" ca="1" si="18"/>
        <v>#NUM!</v>
      </c>
      <c r="AH55" t="str">
        <f>_xll.RData(B55,$AH$21)</f>
        <v>*The record could not be found</v>
      </c>
      <c r="AI55" t="e">
        <f t="shared" ca="1" si="19"/>
        <v>#NUM!</v>
      </c>
      <c r="AJ55" t="e">
        <f t="shared" ca="1" si="20"/>
        <v>#NUM!</v>
      </c>
      <c r="AK55" t="e">
        <f ca="1">_xll.AdAccrued(S55,G55,F55,O55:Q55)-X55</f>
        <v>#VALUE!</v>
      </c>
      <c r="AL55" t="e">
        <f t="shared" ca="1" si="7"/>
        <v>#VALUE!</v>
      </c>
      <c r="AM55" t="e">
        <f t="shared" ca="1" si="8"/>
        <v>#VALUE!</v>
      </c>
      <c r="AN55" t="e">
        <f t="shared" ca="1" si="9"/>
        <v>#VALUE!</v>
      </c>
      <c r="AO55" t="e">
        <f t="shared" ca="1" si="10"/>
        <v>#VALUE!</v>
      </c>
      <c r="AP55" t="e">
        <f t="shared" ca="1" si="36"/>
        <v>#VALUE!</v>
      </c>
      <c r="AQ55" t="e">
        <f t="shared" ca="1" si="11"/>
        <v>#VALUE!</v>
      </c>
      <c r="AS55" t="e">
        <f>_xll.BdConvFactor("CTF",INDEX($W$3:$W$5,$H$10),G55,F55/100,O55)</f>
        <v>#VALUE!</v>
      </c>
      <c r="AT55" t="e">
        <f>_xll.BdConvFactor("CTF",INDEX($W$3:$W$5,$H$10),G55,F55/100)</f>
        <v>#VALUE!</v>
      </c>
      <c r="AU55" t="e">
        <f t="shared" si="12"/>
        <v>#VALUE!</v>
      </c>
      <c r="AV55" t="str">
        <f t="shared" si="13"/>
        <v>*The record could not be found</v>
      </c>
      <c r="AW55" t="str">
        <f t="shared" si="22"/>
        <v>FRQ:2</v>
      </c>
      <c r="AX55" t="e">
        <f>_xll.BdConvFactor("CTF",INDEX($W$3:$W$5,$H$10),G55,F55/100,AW55)</f>
        <v>#VALUE!</v>
      </c>
      <c r="AY55" t="e">
        <f t="shared" si="23"/>
        <v>#VALUE!</v>
      </c>
    </row>
    <row r="59" spans="1:51" x14ac:dyDescent="0.2">
      <c r="A59" s="6">
        <v>1</v>
      </c>
      <c r="B59" t="str">
        <f ca="1">INDEX(AJ22:AJ51,A59)</f>
        <v>CN150003=</v>
      </c>
      <c r="C59" t="str">
        <f t="shared" ref="C59:C66" ca="1" si="37">$B$59&amp;B3</f>
        <v>CN150003=CDCT</v>
      </c>
      <c r="E59" t="str">
        <f ca="1">INDEX(E22:E55,$A$60)</f>
        <v>15附息国债03</v>
      </c>
      <c r="F59">
        <f ca="1">_xll.RData(B59,$F$21)</f>
        <v>3.31</v>
      </c>
      <c r="G59">
        <f ca="1">_xll.RData(B59,$G$21)</f>
        <v>43866</v>
      </c>
      <c r="I59">
        <f ca="1">INDEX(I22:I55,$A$60)</f>
        <v>1.0132000000000001</v>
      </c>
      <c r="J59">
        <f ca="1">_xll.RData(C59,IF($I$12=1,C3,E3))</f>
        <v>99.883800000000008</v>
      </c>
      <c r="K59" s="2">
        <f ca="1">_xll.RData(C59,$K$21)</f>
        <v>0.76557870370370373</v>
      </c>
      <c r="L59" s="3">
        <f ca="1">_xll.RData(C59,$L$21)</f>
        <v>42081</v>
      </c>
      <c r="M59" t="str">
        <f ca="1">_xll.RData(C59,IF($I$12=1,D3,F3))</f>
        <v>CCDC-INT VAL</v>
      </c>
      <c r="N59">
        <f ca="1">J59-$N$21*I59</f>
        <v>0.64085999999998933</v>
      </c>
      <c r="O59" s="7" t="str">
        <f ca="1">_xll.RData(B59,$O$21:$Q$21)</f>
        <v xml:space="preserve">ACC:AA CCM:BBAA CFADJ:NO CLDR:CHN_FI DATED:05FEB2015 DMC:F EMC:S FRCD:05FEB2016 FRQ:1 ISSUE:04FEB2015 NOTIONAL:1 PX:C PXRND:1E-6:NEAR REFDATE:MATURITY RP:1 SETTLE:1WD XD:NO YLDRND:1E-6:NEAR </v>
      </c>
      <c r="R59">
        <f ca="1">R51</f>
        <v>42083</v>
      </c>
      <c r="S59">
        <f>S51</f>
        <v>42171</v>
      </c>
      <c r="T59" s="8">
        <f ca="1">IF(OR(J59=0,LEFT(J59,1)="*"),-ROW()/10,_xll.BdRepo(R59,S59,J59,$N$21*I59,0,G59,F59,O59:Q59,"RR:MMA5 RES:IMPRATE FV:C NPV:C CF:NO"))</f>
        <v>6.5010786090036188E-3</v>
      </c>
      <c r="U59" t="str">
        <f ca="1">_xll.RData(B59,$U$21)</f>
        <v>CLDRADJ:NO DCB:AA EY:1 LLP:AA RATEFRQ:FRQ RATETYPE:ACT RM:YTA</v>
      </c>
      <c r="V59" s="9">
        <f ca="1">_xll.AdBondYield(R59,J59/100,G59,F59/100,$O$59:$Q$59,$U$59)</f>
        <v>3.3348999999999997E-2</v>
      </c>
      <c r="W59" s="9">
        <f ca="1">_xll.AdBondYield(R59,$N$21/100*I59,G59,F59/100,$O$59:$Q$59,$U$59)</f>
        <v>3.4799999999999998E-2</v>
      </c>
      <c r="X59">
        <f ca="1">_xll.AdAccrued(R59,G59,F59,O59:Q59)</f>
        <v>0.38994520547945205</v>
      </c>
      <c r="Y59">
        <f t="shared" ref="Y59:Y66" ca="1" si="38">J59+X59</f>
        <v>100.27374520547946</v>
      </c>
      <c r="Z59">
        <f ca="1">_xll.BdRepo(R59,S59,J59,0,$Z$21,G59,F59,$O$59:$Q$59,"RR:MMA5 RES:FV FV:C NPV:C CF:NO")/I59</f>
        <v>99.011772191949035</v>
      </c>
      <c r="AA59">
        <f t="shared" ca="1" si="16"/>
        <v>1.0617721919490322</v>
      </c>
      <c r="AB59">
        <f t="shared" ref="AB59:AB66" ca="1" si="39">N59-AL59+Y59*$Z$21/365*(S59-R59)</f>
        <v>1.0757875848827518</v>
      </c>
      <c r="AK59">
        <f ca="1">_xll.AdAccrued(S59,G59,F59,O59:Q59)-X59</f>
        <v>0.79802739726027405</v>
      </c>
      <c r="AL59">
        <f t="shared" ref="AL59:AL66" ca="1" si="40">IF(AK59&lt;0,AK59+F59/IF(H59="每半年",2,1),AK59)</f>
        <v>0.79802739726027405</v>
      </c>
    </row>
    <row r="60" spans="1:51" x14ac:dyDescent="0.2">
      <c r="A60">
        <f ca="1">INDEX(AG22:AG51,A59)</f>
        <v>3</v>
      </c>
      <c r="C60" t="str">
        <f t="shared" ca="1" si="37"/>
        <v>CN150003=CDC</v>
      </c>
      <c r="E60" t="str">
        <f ca="1">E59</f>
        <v>15附息国债03</v>
      </c>
      <c r="F60">
        <f ca="1">F59</f>
        <v>3.31</v>
      </c>
      <c r="G60">
        <f ca="1">G59</f>
        <v>43866</v>
      </c>
      <c r="I60">
        <f ca="1">I59</f>
        <v>1.0132000000000001</v>
      </c>
      <c r="J60">
        <f ca="1">_xll.RData(C60,IF($I$12=1,C4,E4))</f>
        <v>99.906000000000006</v>
      </c>
      <c r="K60" s="2">
        <f ca="1">_xll.RData(C60,$K$21)</f>
        <v>0.42180555555555554</v>
      </c>
      <c r="L60" s="3">
        <f ca="1">_xll.RData(C60,$L$21)</f>
        <v>42082</v>
      </c>
      <c r="M60" t="str">
        <f ca="1">_xll.RData(C60,IF($I$12=1,D4,F4))</f>
        <v xml:space="preserve">CCDC-SETTLE </v>
      </c>
      <c r="N60">
        <f t="shared" ref="N60:N66" ca="1" si="41">J60-$N$21*I60</f>
        <v>0.66305999999998733</v>
      </c>
      <c r="R60">
        <f ca="1">R59</f>
        <v>42083</v>
      </c>
      <c r="S60">
        <f>S59</f>
        <v>42171</v>
      </c>
      <c r="T60" s="8">
        <f ca="1">IF(OR(J60=0,LEFT(J60,1)="*"),-ROW()/10,_xll.BdRepo(R60,S60,J60,$N$21*I60,0,G60,F60,O60:Q60,"RR:MMA5 RES:IMPRATE FV:C NPV:C CF:NO"))</f>
        <v>5.581561182743628E-3</v>
      </c>
      <c r="V60" s="9">
        <f ca="1">_xll.AdBondYield(R60,J60/100,G60,F60/100,$O$59:$Q$59,$U$59)</f>
        <v>3.3298999999999995E-2</v>
      </c>
      <c r="W60" s="9">
        <f ca="1">_xll.AdBondYield(R60,$N$21/100*I60,G60,F60/100,$O$59:$Q$59,$U$59)</f>
        <v>3.4799999999999998E-2</v>
      </c>
      <c r="X60">
        <f ca="1">_xll.AdAccrued(R60,G60,F60,O60:Q60)</f>
        <v>0.38994520547945205</v>
      </c>
      <c r="Y60">
        <f t="shared" ca="1" si="38"/>
        <v>100.29594520547946</v>
      </c>
      <c r="Z60">
        <f ca="1">_xll.BdRepo(R60,S60,J60,0,$Z$21,G60,F60,$O$59:$Q$59,"RR:MMA5 RES:FV FV:C NPV:C CF:NO")/I60</f>
        <v>99.033952382204788</v>
      </c>
      <c r="AA60">
        <f t="shared" ca="1" si="16"/>
        <v>1.0839523822047852</v>
      </c>
      <c r="AB60">
        <f t="shared" ca="1" si="39"/>
        <v>1.0982605536498731</v>
      </c>
      <c r="AK60">
        <f ca="1">_xll.AdAccrued(S60,G60,F60,O60:Q60)-X60</f>
        <v>0.79802739726027405</v>
      </c>
      <c r="AL60">
        <f t="shared" ca="1" si="40"/>
        <v>0.79802739726027405</v>
      </c>
    </row>
    <row r="61" spans="1:51" x14ac:dyDescent="0.2">
      <c r="C61" t="str">
        <f t="shared" ca="1" si="37"/>
        <v>CN150003=CDCS</v>
      </c>
      <c r="E61" t="str">
        <f t="shared" ref="E61:E66" ca="1" si="42">E60</f>
        <v>15附息国债03</v>
      </c>
      <c r="F61">
        <f t="shared" ref="F61:F66" ca="1" si="43">F60</f>
        <v>3.31</v>
      </c>
      <c r="G61">
        <f t="shared" ref="G61:G66" ca="1" si="44">G60</f>
        <v>43866</v>
      </c>
      <c r="I61">
        <f t="shared" ref="I61:I66" ca="1" si="45">I60</f>
        <v>1.0132000000000001</v>
      </c>
      <c r="J61">
        <f ca="1">_xll.RData(C61,IF($I$12=1,C5,E5))</f>
        <v>99.884799999999998</v>
      </c>
      <c r="K61" s="2">
        <f ca="1">_xll.RData(C61,$K$21)</f>
        <v>0.76557870370370373</v>
      </c>
      <c r="L61" s="3">
        <f ca="1">_xll.RData(C61,$L$21)</f>
        <v>42081</v>
      </c>
      <c r="M61" t="str">
        <f ca="1">_xll.RData(C61,IF($I$12=1,D5,F5))</f>
        <v>CCDC-SSE VAL</v>
      </c>
      <c r="N61">
        <f t="shared" ca="1" si="41"/>
        <v>0.64185999999997989</v>
      </c>
      <c r="R61">
        <f t="shared" ref="R61:R66" ca="1" si="46">R60</f>
        <v>42083</v>
      </c>
      <c r="S61">
        <f t="shared" ref="S61:S66" si="47">S60</f>
        <v>42171</v>
      </c>
      <c r="T61" s="8">
        <f ca="1">IF(OR(J61=0,LEFT(J61,1)="*"),-ROW()/10,_xll.BdRepo(R61,S61,J61,$N$21*I61,0,G61,F61,O61:Q61,"RR:MMA5 RES:IMPRATE FV:C NPV:C CF:NO"))</f>
        <v>6.4596501482001223E-3</v>
      </c>
      <c r="V61" s="9">
        <f ca="1">_xll.AdBondYield(R61,J61/100,G61,F61/100,$O$59:$Q$59,$U$59)</f>
        <v>3.3347000000000002E-2</v>
      </c>
      <c r="W61" s="9">
        <f ca="1">_xll.AdBondYield(R61,$N$21/100*I61,G61,F61/100,$O$59:$Q$59,$U$59)</f>
        <v>3.4799999999999998E-2</v>
      </c>
      <c r="X61">
        <f ca="1">_xll.AdAccrued(R61,G61,F61,O61:Q61)</f>
        <v>0.38994520547945205</v>
      </c>
      <c r="Y61">
        <f t="shared" ca="1" si="38"/>
        <v>100.27474520547945</v>
      </c>
      <c r="Z61">
        <f ca="1">_xll.BdRepo(R61,S61,J61,0,$Z$21,G61,F61,$O$59:$Q$59,"RR:MMA5 RES:FV FV:C NPV:C CF:NO")/I61</f>
        <v>99.012771299618194</v>
      </c>
      <c r="AA61">
        <f t="shared" ca="1" si="16"/>
        <v>1.0627712996181913</v>
      </c>
      <c r="AB61">
        <f t="shared" ca="1" si="39"/>
        <v>1.0767998807731531</v>
      </c>
      <c r="AK61">
        <f ca="1">_xll.AdAccrued(S61,G61,F61,O61:Q61)-X61</f>
        <v>0.79802739726027405</v>
      </c>
      <c r="AL61">
        <f t="shared" ca="1" si="40"/>
        <v>0.79802739726027405</v>
      </c>
    </row>
    <row r="62" spans="1:51" x14ac:dyDescent="0.2">
      <c r="C62" t="str">
        <f t="shared" ca="1" si="37"/>
        <v>CN150003=CDCZ</v>
      </c>
      <c r="E62" t="str">
        <f t="shared" ca="1" si="42"/>
        <v>15附息国债03</v>
      </c>
      <c r="F62">
        <f t="shared" ca="1" si="43"/>
        <v>3.31</v>
      </c>
      <c r="G62">
        <f t="shared" ca="1" si="44"/>
        <v>43866</v>
      </c>
      <c r="I62">
        <f t="shared" ca="1" si="45"/>
        <v>1.0132000000000001</v>
      </c>
      <c r="J62">
        <f ca="1">_xll.RData(C62,IF($I$12=1,C6,E6))</f>
        <v>99.884799999999998</v>
      </c>
      <c r="K62" s="2">
        <f ca="1">_xll.RData(C62,$K$21)</f>
        <v>0.76557870370370373</v>
      </c>
      <c r="L62" s="3">
        <f ca="1">_xll.RData(C62,$L$21)</f>
        <v>42081</v>
      </c>
      <c r="M62" t="str">
        <f ca="1">_xll.RData(C62,IF($I$12=1,D6,F6))</f>
        <v>CCDC-SZE VAL</v>
      </c>
      <c r="N62">
        <f t="shared" ca="1" si="41"/>
        <v>0.64185999999997989</v>
      </c>
      <c r="R62">
        <f t="shared" ca="1" si="46"/>
        <v>42083</v>
      </c>
      <c r="S62">
        <f t="shared" si="47"/>
        <v>42171</v>
      </c>
      <c r="T62" s="8">
        <f ca="1">IF(OR(J62=0,LEFT(J62,1)="*"),-ROW()/10,_xll.BdRepo(R62,S62,J62,$N$21*I62,0,G62,F62,O62:Q62,"RR:MMA5 RES:IMPRATE FV:C NPV:C CF:NO"))</f>
        <v>6.4596501482001223E-3</v>
      </c>
      <c r="V62" s="9">
        <f ca="1">_xll.AdBondYield(R62,J62/100,G62,F62/100,$O$59:$Q$59,$U$59)</f>
        <v>3.3347000000000002E-2</v>
      </c>
      <c r="W62" s="9">
        <f ca="1">_xll.AdBondYield(R62,$N$21/100*I62,G62,F62/100,$O$59:$Q$59,$U$59)</f>
        <v>3.4799999999999998E-2</v>
      </c>
      <c r="X62">
        <f ca="1">_xll.AdAccrued(R62,G62,F62,O62:Q62)</f>
        <v>0.38994520547945205</v>
      </c>
      <c r="Y62">
        <f t="shared" ca="1" si="38"/>
        <v>100.27474520547945</v>
      </c>
      <c r="Z62">
        <f ca="1">_xll.BdRepo(R62,S62,J62,0,$Z$21,G62,F62,$O$59:$Q$59,"RR:MMA5 RES:FV FV:C NPV:C CF:NO")/I62</f>
        <v>99.012771299618194</v>
      </c>
      <c r="AA62">
        <f t="shared" ca="1" si="16"/>
        <v>1.0627712996181913</v>
      </c>
      <c r="AB62">
        <f t="shared" ca="1" si="39"/>
        <v>1.0767998807731531</v>
      </c>
      <c r="AK62">
        <f ca="1">_xll.AdAccrued(S62,G62,F62,O62:Q62)-X62</f>
        <v>0.79802739726027405</v>
      </c>
      <c r="AL62">
        <f t="shared" ca="1" si="40"/>
        <v>0.79802739726027405</v>
      </c>
    </row>
    <row r="63" spans="1:51" x14ac:dyDescent="0.2">
      <c r="C63" t="str">
        <f t="shared" ca="1" si="37"/>
        <v>CN150003=CFXM</v>
      </c>
      <c r="E63" t="str">
        <f t="shared" ca="1" si="42"/>
        <v>15附息国债03</v>
      </c>
      <c r="F63">
        <f t="shared" ca="1" si="43"/>
        <v>3.31</v>
      </c>
      <c r="G63">
        <f t="shared" ca="1" si="44"/>
        <v>43866</v>
      </c>
      <c r="I63">
        <f t="shared" ca="1" si="45"/>
        <v>1.0132000000000001</v>
      </c>
      <c r="J63">
        <f ca="1">_xll.RData(C63,IF($I$12=1,C7,E7))</f>
        <v>99.95</v>
      </c>
      <c r="K63" s="2">
        <f ca="1">_xll.RData(C63,$K$21)</f>
        <v>0.57805555555555554</v>
      </c>
      <c r="L63" s="3">
        <f ca="1">_xll.RData(C63,$L$21)</f>
        <v>42082</v>
      </c>
      <c r="M63" t="str">
        <f ca="1">_xll.RData(C63,IF($I$12=1,D7,F7))</f>
        <v xml:space="preserve">江苏银行        </v>
      </c>
      <c r="N63">
        <f t="shared" ca="1" si="41"/>
        <v>0.70705999999998426</v>
      </c>
      <c r="R63">
        <f t="shared" ca="1" si="46"/>
        <v>42083</v>
      </c>
      <c r="S63">
        <f t="shared" si="47"/>
        <v>42171</v>
      </c>
      <c r="T63" s="8">
        <f ca="1">IF(OR(J63=0,LEFT(J63,1)="*"),-ROW()/10,_xll.BdRepo(R63,S63,J63,$N$21*I63,0,G63,F63,O63:Q63,"RR:MMA5 RES:IMPRATE FV:C NPV:C CF:NO"))</f>
        <v>3.7602965974603427E-3</v>
      </c>
      <c r="V63" s="9">
        <f ca="1">_xll.AdBondYield(R63,J63/100,G63,F63/100,$O$59:$Q$59,$U$59)</f>
        <v>3.32E-2</v>
      </c>
      <c r="W63" s="9">
        <f ca="1">_xll.AdBondYield(R63,$N$21/100*I63,G63,F63/100,$O$59:$Q$59,$U$59)</f>
        <v>3.4799999999999998E-2</v>
      </c>
      <c r="X63">
        <f ca="1">_xll.AdAccrued(R63,G63,F63,O63:Q63)</f>
        <v>0.38994520547945205</v>
      </c>
      <c r="Y63">
        <f t="shared" ca="1" si="38"/>
        <v>100.33994520547945</v>
      </c>
      <c r="Z63">
        <f ca="1">_xll.BdRepo(R63,S63,J63,0,$Z$21,G63,F63,$O$59:$Q$59,"RR:MMA5 RES:FV FV:C NPV:C CF:NO")/I63</f>
        <v>99.077913119648599</v>
      </c>
      <c r="AA63">
        <f t="shared" ca="1" si="16"/>
        <v>1.1279131196485963</v>
      </c>
      <c r="AB63">
        <f t="shared" ca="1" si="39"/>
        <v>1.1428015728279524</v>
      </c>
      <c r="AK63">
        <f ca="1">_xll.AdAccrued(S63,G63,F63,O63:Q63)-X63</f>
        <v>0.79802739726027405</v>
      </c>
      <c r="AL63">
        <f t="shared" ca="1" si="40"/>
        <v>0.79802739726027405</v>
      </c>
    </row>
    <row r="64" spans="1:51" x14ac:dyDescent="0.2">
      <c r="C64" t="str">
        <f t="shared" ca="1" si="37"/>
        <v>CN150003=CFXS</v>
      </c>
      <c r="E64" t="str">
        <f t="shared" ca="1" si="42"/>
        <v>15附息国债03</v>
      </c>
      <c r="F64">
        <f t="shared" ca="1" si="43"/>
        <v>3.31</v>
      </c>
      <c r="G64">
        <f t="shared" ca="1" si="44"/>
        <v>43866</v>
      </c>
      <c r="I64">
        <f t="shared" ca="1" si="45"/>
        <v>1.0132000000000001</v>
      </c>
      <c r="J64">
        <f ca="1">_xll.RData(C64,IF($I$12=1,C8,E8))</f>
        <v>99.816900000000004</v>
      </c>
      <c r="K64" s="2">
        <f ca="1">_xll.RData(C64,$K$21)</f>
        <v>0.57771990740740742</v>
      </c>
      <c r="L64" s="3">
        <f ca="1">_xll.RData(C64,$L$21)</f>
        <v>42082</v>
      </c>
      <c r="M64" t="str">
        <f ca="1">_xll.RData(C64,IF($I$12=1,D8,F8))</f>
        <v>中国外汇交易中心</v>
      </c>
      <c r="N64">
        <f t="shared" ca="1" si="41"/>
        <v>0.57395999999998537</v>
      </c>
      <c r="R64">
        <f t="shared" ca="1" si="46"/>
        <v>42083</v>
      </c>
      <c r="S64">
        <f t="shared" si="47"/>
        <v>42171</v>
      </c>
      <c r="T64" s="8">
        <f ca="1">IF(OR(J64=0,LEFT(J64,1)="*"),-ROW()/10,_xll.BdRepo(R64,S64,J64,$N$21*I64,0,G64,F64,O64:Q64,"RR:MMA5 RES:IMPRATE FV:C NPV:C CF:NO"))</f>
        <v>9.2745206441710078E-3</v>
      </c>
      <c r="V64" s="9">
        <f ca="1">_xll.AdBondYield(R64,J64/100,G64,F64/100,$O$59:$Q$59,$U$59)</f>
        <v>3.3499999999999995E-2</v>
      </c>
      <c r="W64" s="9">
        <f ca="1">_xll.AdBondYield(R64,$N$21/100*I64,G64,F64/100,$O$59:$Q$59,$U$59)</f>
        <v>3.4799999999999998E-2</v>
      </c>
      <c r="X64">
        <f ca="1">_xll.AdAccrued(R64,G64,F64,O64:Q64)</f>
        <v>0.38994520547945205</v>
      </c>
      <c r="Y64">
        <f t="shared" ca="1" si="38"/>
        <v>100.20684520547945</v>
      </c>
      <c r="Z64">
        <f ca="1">_xll.BdRepo(R64,S64,J64,0,$Z$21,G64,F64,$O$59:$Q$59,"RR:MMA5 RES:FV FV:C NPV:C CF:NO")/I64</f>
        <v>98.944931888881044</v>
      </c>
      <c r="AA64">
        <f t="shared" ca="1" si="16"/>
        <v>0.994931888881041</v>
      </c>
      <c r="AB64">
        <f t="shared" ca="1" si="39"/>
        <v>1.0080649898142546</v>
      </c>
      <c r="AK64">
        <f ca="1">_xll.AdAccrued(S64,G64,F64,O64:Q64)-X64</f>
        <v>0.79802739726027405</v>
      </c>
      <c r="AL64">
        <f t="shared" ca="1" si="40"/>
        <v>0.79802739726027405</v>
      </c>
    </row>
    <row r="65" spans="3:38" x14ac:dyDescent="0.2">
      <c r="C65" t="str">
        <f t="shared" ca="1" si="37"/>
        <v>CN150003=RRPS</v>
      </c>
      <c r="E65" t="str">
        <f t="shared" ca="1" si="42"/>
        <v>15附息国债03</v>
      </c>
      <c r="F65">
        <f t="shared" ca="1" si="43"/>
        <v>3.31</v>
      </c>
      <c r="G65">
        <f t="shared" ca="1" si="44"/>
        <v>43866</v>
      </c>
      <c r="I65">
        <f t="shared" ca="1" si="45"/>
        <v>1.0132000000000001</v>
      </c>
      <c r="J65">
        <f ca="1">_xll.RData(C65,IF($I$12=1,C9,E9))</f>
        <v>100.26600000000001</v>
      </c>
      <c r="K65" s="2">
        <f ca="1">_xll.RData(C65,$K$21)</f>
        <v>0.53278935185185183</v>
      </c>
      <c r="L65" s="3">
        <f ca="1">_xll.RData(C65,$L$21)</f>
        <v>42082</v>
      </c>
      <c r="M65" t="str">
        <f ca="1">_xll.RData(C65,IF($I$12=1,D9,F9))</f>
        <v xml:space="preserve">TR PRICING  </v>
      </c>
      <c r="N65">
        <f t="shared" ca="1" si="41"/>
        <v>1.0230599999999868</v>
      </c>
      <c r="R65">
        <f t="shared" ca="1" si="46"/>
        <v>42083</v>
      </c>
      <c r="S65">
        <f t="shared" si="47"/>
        <v>42171</v>
      </c>
      <c r="T65" s="8">
        <f ca="1">IF(OR(J65=0,LEFT(J65,1)="*"),-ROW()/10,_xll.BdRepo(R65,S65,J65,$N$21*I65,0,G65,F65,O65:Q65,"RR:MMA5 RES:IMPRATE FV:C NPV:C CF:NO"))</f>
        <v>-9.2729134054718252E-3</v>
      </c>
      <c r="V65" s="9">
        <f ca="1">_xll.AdBondYield(R65,J65/100,G65,F65/100,$O$59:$Q$59,$U$59)</f>
        <v>3.2489999999999998E-2</v>
      </c>
      <c r="W65" s="9">
        <f ca="1">_xll.AdBondYield(R65,$N$21/100*I65,G65,F65/100,$O$59:$Q$59,$U$59)</f>
        <v>3.4799999999999998E-2</v>
      </c>
      <c r="X65">
        <f ca="1">_xll.AdAccrued(R65,G65,F65,O65:Q65)</f>
        <v>0.38994520547945205</v>
      </c>
      <c r="Y65">
        <f t="shared" ca="1" si="38"/>
        <v>100.65594520547945</v>
      </c>
      <c r="Z65">
        <f ca="1">_xll.BdRepo(R65,S65,J65,0,$Z$21,G65,F65,$O$59:$Q$59,"RR:MMA5 RES:FV FV:C NPV:C CF:NO")/I65</f>
        <v>99.393631143108792</v>
      </c>
      <c r="AA65">
        <f t="shared" ca="1" si="16"/>
        <v>1.4436311431087887</v>
      </c>
      <c r="AB65">
        <f t="shared" ca="1" si="39"/>
        <v>1.462687074197818</v>
      </c>
      <c r="AK65">
        <f ca="1">_xll.AdAccrued(S65,G65,F65,O65:Q65)-X65</f>
        <v>0.79802739726027405</v>
      </c>
      <c r="AL65">
        <f t="shared" ca="1" si="40"/>
        <v>0.79802739726027405</v>
      </c>
    </row>
    <row r="66" spans="3:38" x14ac:dyDescent="0.2">
      <c r="C66" t="str">
        <f t="shared" ca="1" si="37"/>
        <v>CN150003=</v>
      </c>
      <c r="E66" t="str">
        <f t="shared" ca="1" si="42"/>
        <v>15附息国债03</v>
      </c>
      <c r="F66">
        <f t="shared" ca="1" si="43"/>
        <v>3.31</v>
      </c>
      <c r="G66">
        <f t="shared" ca="1" si="44"/>
        <v>43866</v>
      </c>
      <c r="I66">
        <f t="shared" ca="1" si="45"/>
        <v>1.0132000000000001</v>
      </c>
      <c r="J66">
        <f ca="1">_xll.RData(C66,IF($I$12=1,C10,E10))</f>
        <v>99.994</v>
      </c>
      <c r="K66" s="2">
        <f ca="1">_xll.RData(C66,$K$21)</f>
        <v>0.58026620370370374</v>
      </c>
      <c r="L66" s="3">
        <f ca="1">_xll.RData(C66,$L$21)</f>
        <v>42082</v>
      </c>
      <c r="M66" t="str">
        <f ca="1">_xll.RData(C66,IF($I$12=1,D10,F10))</f>
        <v>TR COMPOSITE</v>
      </c>
      <c r="N66">
        <f t="shared" ca="1" si="41"/>
        <v>0.75105999999998119</v>
      </c>
      <c r="R66">
        <f t="shared" ca="1" si="46"/>
        <v>42083</v>
      </c>
      <c r="S66">
        <f t="shared" si="47"/>
        <v>42171</v>
      </c>
      <c r="T66" s="8">
        <f ca="1">IF(OR(J66=0,LEFT(J66,1)="*"),-ROW()/10,_xll.BdRepo(R66,S66,J66,$N$21*I66,0,G66,F66,O66:Q66,"RR:MMA5 RES:IMPRATE FV:C NPV:C CF:NO"))</f>
        <v>1.9406285950084035E-3</v>
      </c>
      <c r="V66" s="9">
        <f ca="1">_xll.AdBondYield(R66,J66/100,G66,F66/100,$O$59:$Q$59,$U$59)</f>
        <v>3.3100999999999998E-2</v>
      </c>
      <c r="W66" s="9">
        <f ca="1">_xll.AdBondYield(R66,$N$21/100*I66,G66,F66/100,$O$59:$Q$59,$U$59)</f>
        <v>3.4799999999999998E-2</v>
      </c>
      <c r="X66">
        <f ca="1">_xll.AdAccrued(R66,G66,F66,O66:Q66)</f>
        <v>0.38994520547945205</v>
      </c>
      <c r="Y66">
        <f t="shared" ca="1" si="38"/>
        <v>100.38394520547945</v>
      </c>
      <c r="Z66">
        <f ca="1">_xll.BdRepo(R66,S66,J66,0,$Z$21,G66,F66,$O$59:$Q$59,"RR:MMA5 RES:FV FV:C NPV:C CF:NO")/I66</f>
        <v>99.121873857092424</v>
      </c>
      <c r="AA66">
        <f t="shared" ca="1" si="16"/>
        <v>1.1718738570924216</v>
      </c>
      <c r="AB66">
        <f t="shared" ca="1" si="39"/>
        <v>1.1873425920060314</v>
      </c>
      <c r="AK66">
        <f ca="1">_xll.AdAccrued(S66,G66,F66,O66:Q66)-X66</f>
        <v>0.79802739726027405</v>
      </c>
      <c r="AL66">
        <f t="shared" ca="1" si="40"/>
        <v>0.79802739726027405</v>
      </c>
    </row>
    <row r="72" spans="3:38" x14ac:dyDescent="0.2">
      <c r="D72" s="1" t="s">
        <v>135</v>
      </c>
      <c r="E72" s="1" t="s">
        <v>136</v>
      </c>
      <c r="F72" s="1" t="s">
        <v>137</v>
      </c>
      <c r="G72" s="1" t="s">
        <v>138</v>
      </c>
      <c r="H72" s="1" t="s">
        <v>139</v>
      </c>
    </row>
    <row r="73" spans="3:38" x14ac:dyDescent="0.2">
      <c r="D73">
        <v>393</v>
      </c>
      <c r="E73">
        <v>1003</v>
      </c>
      <c r="F73">
        <v>875</v>
      </c>
      <c r="G73">
        <v>1010</v>
      </c>
      <c r="H73">
        <v>953</v>
      </c>
      <c r="N73" s="1" t="s">
        <v>143</v>
      </c>
    </row>
    <row r="74" spans="3:38" x14ac:dyDescent="0.2">
      <c r="C74" t="s">
        <v>134</v>
      </c>
      <c r="D74">
        <f>_xll.RData(C74,D73:H73)</f>
        <v>3.47</v>
      </c>
      <c r="E74" t="s">
        <v>150</v>
      </c>
      <c r="F74" s="3">
        <v>42082</v>
      </c>
      <c r="G74" s="2">
        <v>0.57262731481481477</v>
      </c>
      <c r="H74">
        <v>3.2989000000000002</v>
      </c>
      <c r="I74" s="3">
        <f>IF(ISNUMBER(F74),_xll.DfAddPeriod("CHN_FI",$N$3,E74),0)</f>
        <v>42083</v>
      </c>
      <c r="J74">
        <f>D74</f>
        <v>3.47</v>
      </c>
      <c r="K74">
        <f>H74</f>
        <v>3.2989000000000002</v>
      </c>
      <c r="L74">
        <f>COUNT(I74:I84)</f>
        <v>11</v>
      </c>
      <c r="N74">
        <f ca="1">_xll.AdInterp(N16,OFFSET(I74,0,0,L74),OFFSET(J74,0,0,L74),"IM:LIN ND:DIS")</f>
        <v>5.1000000000001879</v>
      </c>
    </row>
    <row r="75" spans="3:38" x14ac:dyDescent="0.2">
      <c r="D75">
        <v>4.28</v>
      </c>
      <c r="E75" t="s">
        <v>146</v>
      </c>
      <c r="F75" s="3">
        <v>42082</v>
      </c>
      <c r="G75" s="2">
        <v>0.5703125</v>
      </c>
      <c r="H75">
        <v>4.3826000000000001</v>
      </c>
      <c r="I75" s="3">
        <f>IF(ISNUMBER(F75),_xll.DfAddPeriod("CHN_FI",$N$3,E75),0)</f>
        <v>42089</v>
      </c>
      <c r="J75">
        <f t="shared" ref="J75:J84" si="48">D75</f>
        <v>4.28</v>
      </c>
      <c r="K75">
        <f t="shared" ref="K75:K84" si="49">H75</f>
        <v>4.3826000000000001</v>
      </c>
    </row>
    <row r="76" spans="3:38" x14ac:dyDescent="0.2">
      <c r="D76">
        <v>4.6100000000000003</v>
      </c>
      <c r="E76" t="s">
        <v>148</v>
      </c>
      <c r="F76" s="3">
        <v>42082</v>
      </c>
      <c r="G76" s="2">
        <v>0.56482638888888892</v>
      </c>
      <c r="H76">
        <v>4.5219000000000005</v>
      </c>
      <c r="I76" s="3">
        <f>IF(ISNUMBER(F76),_xll.DfAddPeriod("CHN_FI",$N$3,E76),0)</f>
        <v>42096</v>
      </c>
      <c r="J76">
        <f t="shared" si="48"/>
        <v>4.6100000000000003</v>
      </c>
      <c r="K76">
        <f t="shared" si="49"/>
        <v>4.5219000000000005</v>
      </c>
    </row>
    <row r="77" spans="3:38" x14ac:dyDescent="0.2">
      <c r="D77">
        <v>5.12</v>
      </c>
      <c r="E77" t="s">
        <v>151</v>
      </c>
      <c r="F77" s="3">
        <v>42082</v>
      </c>
      <c r="G77" s="2">
        <v>0.48216435185185186</v>
      </c>
      <c r="H77">
        <v>4.9800000000000004</v>
      </c>
      <c r="I77" s="3">
        <f>IF(ISNUMBER(F77),_xll.DfAddPeriod("CHN_FI",$N$3,E77),0)</f>
        <v>42103</v>
      </c>
      <c r="J77">
        <f t="shared" si="48"/>
        <v>5.12</v>
      </c>
      <c r="K77">
        <f t="shared" si="49"/>
        <v>4.9800000000000004</v>
      </c>
    </row>
    <row r="78" spans="3:38" x14ac:dyDescent="0.2">
      <c r="D78">
        <v>5.15</v>
      </c>
      <c r="E78" t="s">
        <v>152</v>
      </c>
      <c r="F78" s="3">
        <v>42082</v>
      </c>
      <c r="G78" s="2">
        <v>0.5658333333333333</v>
      </c>
      <c r="H78">
        <v>5.0447000000000006</v>
      </c>
      <c r="I78" s="3">
        <f>IF(ISNUMBER(F78),_xll.DfAddPeriod("CHN_FI",$N$3,E78),0)</f>
        <v>42114</v>
      </c>
      <c r="J78">
        <f t="shared" si="48"/>
        <v>5.15</v>
      </c>
      <c r="K78">
        <f t="shared" si="49"/>
        <v>5.0447000000000006</v>
      </c>
    </row>
    <row r="79" spans="3:38" x14ac:dyDescent="0.2">
      <c r="D79">
        <v>5.1000000000000005</v>
      </c>
      <c r="E79" t="s">
        <v>153</v>
      </c>
      <c r="F79" s="3">
        <v>42082</v>
      </c>
      <c r="G79" s="2">
        <v>0.44263888888888892</v>
      </c>
      <c r="H79">
        <v>5.1000000000000005</v>
      </c>
      <c r="I79" s="3">
        <f>IF(ISNUMBER(F79),_xll.DfAddPeriod("CHN_FI",$N$3,E79),0)</f>
        <v>42143</v>
      </c>
      <c r="J79">
        <f t="shared" si="48"/>
        <v>5.1000000000000005</v>
      </c>
      <c r="K79">
        <f t="shared" si="49"/>
        <v>5.1000000000000005</v>
      </c>
    </row>
    <row r="80" spans="3:38" x14ac:dyDescent="0.2">
      <c r="D80">
        <v>5.1000000000000005</v>
      </c>
      <c r="E80" t="s">
        <v>154</v>
      </c>
      <c r="F80" s="3">
        <v>42082</v>
      </c>
      <c r="G80" s="2">
        <v>0.56347222222222226</v>
      </c>
      <c r="H80">
        <v>5.0512000000000006</v>
      </c>
      <c r="I80" s="3">
        <f>IF(ISNUMBER(F80),_xll.DfAddPeriod("CHN_FI",$N$3,E80),0)</f>
        <v>42174</v>
      </c>
      <c r="J80">
        <f t="shared" si="48"/>
        <v>5.1000000000000005</v>
      </c>
      <c r="K80">
        <f t="shared" si="49"/>
        <v>5.0512000000000006</v>
      </c>
    </row>
    <row r="81" spans="4:11" x14ac:dyDescent="0.2">
      <c r="D81">
        <v>5</v>
      </c>
      <c r="E81" t="s">
        <v>155</v>
      </c>
      <c r="F81" s="3">
        <v>42082</v>
      </c>
      <c r="G81" s="2">
        <v>0.48373842592592592</v>
      </c>
      <c r="H81">
        <v>5</v>
      </c>
      <c r="I81" s="3">
        <f>IF(ISNUMBER(F81),_xll.DfAddPeriod("CHN_FI",$N$3,E81),0)</f>
        <v>42205</v>
      </c>
      <c r="J81">
        <f t="shared" si="48"/>
        <v>5</v>
      </c>
      <c r="K81">
        <f t="shared" si="49"/>
        <v>5</v>
      </c>
    </row>
    <row r="82" spans="4:11" x14ac:dyDescent="0.2">
      <c r="D82">
        <v>0</v>
      </c>
      <c r="E82" t="s">
        <v>156</v>
      </c>
      <c r="F82" s="3" t="s">
        <v>149</v>
      </c>
      <c r="G82" s="2" t="s">
        <v>158</v>
      </c>
      <c r="H82">
        <v>0</v>
      </c>
      <c r="I82" s="3">
        <f>IF(ISNUMBER(F82),_xll.DfAddPeriod("CHN_FI",$N$3,E82),0)</f>
        <v>0</v>
      </c>
      <c r="J82">
        <f t="shared" si="48"/>
        <v>0</v>
      </c>
      <c r="K82">
        <f t="shared" si="49"/>
        <v>0</v>
      </c>
    </row>
    <row r="83" spans="4:11" x14ac:dyDescent="0.2">
      <c r="D83">
        <v>0</v>
      </c>
      <c r="E83" t="s">
        <v>147</v>
      </c>
      <c r="F83" s="3" t="s">
        <v>149</v>
      </c>
      <c r="G83" s="2" t="s">
        <v>158</v>
      </c>
      <c r="H83">
        <v>0</v>
      </c>
      <c r="I83" s="3">
        <f>IF(ISNUMBER(F83),_xll.DfAddPeriod("CHN_FI",$N$3,E83),0)</f>
        <v>0</v>
      </c>
      <c r="J83">
        <f t="shared" si="48"/>
        <v>0</v>
      </c>
      <c r="K83">
        <f t="shared" si="49"/>
        <v>0</v>
      </c>
    </row>
    <row r="84" spans="4:11" x14ac:dyDescent="0.2">
      <c r="D84">
        <v>0</v>
      </c>
      <c r="E84" t="s">
        <v>159</v>
      </c>
      <c r="F84" s="3" t="s">
        <v>149</v>
      </c>
      <c r="G84" s="2" t="s">
        <v>158</v>
      </c>
      <c r="H84">
        <v>0</v>
      </c>
      <c r="I84" s="3">
        <f>IF(ISNUMBER(F84),_xll.DfAddPeriod("CHN_FI",$N$3,E84),0)</f>
        <v>0</v>
      </c>
      <c r="J84">
        <f t="shared" si="48"/>
        <v>0</v>
      </c>
      <c r="K84">
        <f t="shared" si="49"/>
        <v>0</v>
      </c>
    </row>
  </sheetData>
  <phoneticPr fontId="3" type="noConversion"/>
  <conditionalFormatting sqref="A59 A22:A51">
    <cfRule type="cellIs" dxfId="0" priority="1" operator="equal">
      <formula>"*The record could not be found"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4"/>
  <sheetViews>
    <sheetView workbookViewId="0">
      <selection activeCell="D15" sqref="D15"/>
    </sheetView>
  </sheetViews>
  <sheetFormatPr defaultRowHeight="12.75" x14ac:dyDescent="0.2"/>
  <cols>
    <col min="2" max="2" width="11.28515625" bestFit="1" customWidth="1"/>
  </cols>
  <sheetData>
    <row r="6" spans="2:4" x14ac:dyDescent="0.2">
      <c r="B6" s="3">
        <v>41899</v>
      </c>
      <c r="C6">
        <v>1.08</v>
      </c>
      <c r="D6" t="s">
        <v>119</v>
      </c>
    </row>
    <row r="7" spans="2:4" x14ac:dyDescent="0.2">
      <c r="B7" s="3">
        <v>41927</v>
      </c>
      <c r="D7" t="s">
        <v>121</v>
      </c>
    </row>
    <row r="8" spans="2:4" x14ac:dyDescent="0.2">
      <c r="B8" s="3">
        <v>41942</v>
      </c>
      <c r="D8" t="s">
        <v>123</v>
      </c>
    </row>
    <row r="9" spans="2:4" x14ac:dyDescent="0.2">
      <c r="B9" s="3">
        <v>41946</v>
      </c>
      <c r="D9" t="s">
        <v>124</v>
      </c>
    </row>
    <row r="10" spans="2:4" x14ac:dyDescent="0.2">
      <c r="D10" t="s">
        <v>126</v>
      </c>
    </row>
    <row r="11" spans="2:4" x14ac:dyDescent="0.2">
      <c r="D11" t="s">
        <v>133</v>
      </c>
    </row>
    <row r="12" spans="2:4" x14ac:dyDescent="0.2">
      <c r="D12" t="s">
        <v>142</v>
      </c>
    </row>
    <row r="13" spans="2:4" x14ac:dyDescent="0.2">
      <c r="B13" s="3">
        <v>41948</v>
      </c>
      <c r="D13" t="s">
        <v>145</v>
      </c>
    </row>
    <row r="14" spans="2:4" x14ac:dyDescent="0.2">
      <c r="B14" s="3">
        <v>42082</v>
      </c>
      <c r="C14">
        <v>1.0900000000000001</v>
      </c>
      <c r="D14" t="s">
        <v>168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CTF Monitor</vt:lpstr>
      <vt:lpstr>Data</vt:lpstr>
      <vt:lpstr>Version</vt:lpstr>
    </vt:vector>
  </TitlesOfParts>
  <Company>Thomson 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Wei (CPA) (GGO)</dc:creator>
  <cp:lastModifiedBy>Wang, Wei (Neil) (GGO)</cp:lastModifiedBy>
  <dcterms:created xsi:type="dcterms:W3CDTF">2013-09-06T03:39:43Z</dcterms:created>
  <dcterms:modified xsi:type="dcterms:W3CDTF">2015-03-19T05:56:24Z</dcterms:modified>
</cp:coreProperties>
</file>