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2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63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109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55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  <comment ref="C1185" authorId="0" shapeId="0">
      <text>
        <t>MOQ(最小発注量)を入力してください（手書きでOK）</t>
      </text>
    </comment>
    <comment ref="C1199" authorId="0" shapeId="0">
      <text>
        <t>MOQ(最小発注量)を入力してください（手書きでOK）</t>
      </text>
    </comment>
    <comment ref="C1213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'Grid_Requirement'!B37</f>
        <v/>
      </c>
      <c r="E814">
        <f>'Grid_Requirement'!C37</f>
        <v/>
      </c>
      <c r="F814">
        <f>'Grid_Requirement'!D37</f>
        <v/>
      </c>
      <c r="G814">
        <f>'Grid_Requirement'!E37</f>
        <v/>
      </c>
      <c r="H814">
        <f>'Grid_Requirement'!F37</f>
        <v/>
      </c>
      <c r="I814">
        <f>'Grid_Requirement'!G37</f>
        <v/>
      </c>
      <c r="J814">
        <f>'Grid_Requirement'!H37</f>
        <v/>
      </c>
      <c r="K814">
        <f>'Grid_Requirement'!I37</f>
        <v/>
      </c>
      <c r="L814">
        <f>'Grid_Requirement'!J37</f>
        <v/>
      </c>
      <c r="M814">
        <f>'Grid_Requirement'!K37</f>
        <v/>
      </c>
      <c r="N814">
        <f>'Grid_Requirement'!L37</f>
        <v/>
      </c>
      <c r="O814">
        <f>'Grid_Requirement'!M37</f>
        <v/>
      </c>
      <c r="P814">
        <f>'Grid_Requirement'!N37</f>
        <v/>
      </c>
      <c r="Q814">
        <f>'Grid_Requirement'!O37</f>
        <v/>
      </c>
      <c r="R814">
        <f>'Grid_Requirement'!P37</f>
        <v/>
      </c>
      <c r="S814">
        <f>'Grid_Requirement'!Q37</f>
        <v/>
      </c>
      <c r="T814">
        <f>'Grid_Requirement'!R37</f>
        <v/>
      </c>
      <c r="U814">
        <f>'Grid_Requirement'!S37</f>
        <v/>
      </c>
      <c r="V814">
        <f>'Grid_Requirement'!T37</f>
        <v/>
      </c>
      <c r="W814">
        <f>'Grid_Requirement'!U37</f>
        <v/>
      </c>
      <c r="X814">
        <f>'Grid_Requirement'!V37</f>
        <v/>
      </c>
      <c r="Y814">
        <f>'Grid_Requirement'!W37</f>
        <v/>
      </c>
      <c r="Z814">
        <f>'Grid_Requirement'!X37</f>
        <v/>
      </c>
      <c r="AA814">
        <f>'Grid_Requirement'!Y37</f>
        <v/>
      </c>
      <c r="AB814">
        <f>'Grid_Requirement'!Z37</f>
        <v/>
      </c>
      <c r="AC814">
        <f>'Grid_Requirement'!AA37</f>
        <v/>
      </c>
      <c r="AD814">
        <f>'Grid_Requirement'!AB37</f>
        <v/>
      </c>
      <c r="AE814">
        <f>'Grid_Requirement'!AC37</f>
        <v/>
      </c>
      <c r="AF814">
        <f>'Grid_Requirement'!AD37</f>
        <v/>
      </c>
      <c r="AG814">
        <f>'Grid_Requirement'!AE37</f>
        <v/>
      </c>
      <c r="AH814">
        <f>'Grid_Requirement'!AF37</f>
        <v/>
      </c>
      <c r="AI814">
        <f>'Grid_Requirement'!AG37</f>
        <v/>
      </c>
      <c r="AJ814">
        <f>'Grid_Requirement'!AH37</f>
        <v/>
      </c>
      <c r="AK814">
        <f>'Grid_Requirement'!AI37</f>
        <v/>
      </c>
      <c r="AL814">
        <f>'Grid_Requirement'!AJ37</f>
        <v/>
      </c>
      <c r="AM814">
        <f>'Grid_Requirement'!AK37</f>
        <v/>
      </c>
      <c r="AN814">
        <f>'Grid_Requirement'!AL37</f>
        <v/>
      </c>
      <c r="AO814">
        <f>'Grid_Requirement'!AM37</f>
        <v/>
      </c>
      <c r="AP814">
        <f>'Grid_Requirement'!AN37</f>
        <v/>
      </c>
      <c r="AQ814">
        <f>'Grid_Requirement'!AO37</f>
        <v/>
      </c>
      <c r="AR814">
        <f>'Grid_Requirement'!AP37</f>
        <v/>
      </c>
      <c r="AS814">
        <f>'Grid_Requirement'!AQ37</f>
        <v/>
      </c>
      <c r="AT814">
        <f>'Grid_Requirement'!AR37</f>
        <v/>
      </c>
      <c r="AU814">
        <f>'Grid_Requirement'!AS37</f>
        <v/>
      </c>
      <c r="AV814">
        <f>'Grid_Requirement'!AT37</f>
        <v/>
      </c>
      <c r="AW814">
        <f>'Grid_Requirement'!AU37</f>
        <v/>
      </c>
      <c r="AX814">
        <f>'Grid_Requirement'!AV37</f>
        <v/>
      </c>
      <c r="AY814">
        <f>'Grid_Requirement'!AW37</f>
        <v/>
      </c>
      <c r="AZ814">
        <f>'Grid_Requirement'!AX37</f>
        <v/>
      </c>
      <c r="BA814">
        <f>'Grid_Requirement'!AY37</f>
        <v/>
      </c>
      <c r="BB814">
        <f>'Grid_Requirement'!AZ37</f>
        <v/>
      </c>
      <c r="BC814">
        <f>'Grid_Requirement'!BA37</f>
        <v/>
      </c>
      <c r="BD814">
        <f>'Grid_Requirement'!BB37</f>
        <v/>
      </c>
      <c r="BE814">
        <f>'Grid_Requirement'!BC37</f>
        <v/>
      </c>
      <c r="BF814">
        <f>'Grid_Requirement'!BD37</f>
        <v/>
      </c>
      <c r="BG814">
        <f>'Grid_Requirement'!BE37</f>
        <v/>
      </c>
      <c r="BH814">
        <f>'Grid_Requirement'!BF37</f>
        <v/>
      </c>
      <c r="BI814">
        <f>'Grid_Requirement'!BG37</f>
        <v/>
      </c>
      <c r="BJ814">
        <f>'Grid_Requirement'!BH37</f>
        <v/>
      </c>
      <c r="BK814">
        <f>'Grid_Requirement'!BI37</f>
        <v/>
      </c>
      <c r="BL814">
        <f>'Grid_Requirement'!BJ37</f>
        <v/>
      </c>
      <c r="BM814">
        <f>'Grid_Requirement'!BK37</f>
        <v/>
      </c>
      <c r="BN814">
        <f>'Grid_Requirement'!BL37</f>
        <v/>
      </c>
      <c r="BO814">
        <f>'Grid_Requirement'!BM37</f>
        <v/>
      </c>
      <c r="BP814">
        <f>'Grid_Requirement'!BN37</f>
        <v/>
      </c>
      <c r="BQ814">
        <f>'Grid_Requirement'!BO37</f>
        <v/>
      </c>
      <c r="BR814">
        <f>'Grid_Requirement'!BP37</f>
        <v/>
      </c>
      <c r="BS814">
        <f>'Grid_Requirement'!BQ37</f>
        <v/>
      </c>
      <c r="BT814">
        <f>'Grid_Requirement'!BR37</f>
        <v/>
      </c>
      <c r="BU814">
        <f>'Grid_Requirement'!BS37</f>
        <v/>
      </c>
      <c r="BV814">
        <f>'Grid_Requirement'!BT37</f>
        <v/>
      </c>
      <c r="BW814">
        <f>'Grid_Requirement'!BU37</f>
        <v/>
      </c>
      <c r="BX814">
        <f>'Grid_Requirement'!BV37</f>
        <v/>
      </c>
      <c r="BY814">
        <f>'Grid_Requirement'!BW37</f>
        <v/>
      </c>
      <c r="BZ814">
        <f>'Grid_Requirement'!BX37</f>
        <v/>
      </c>
      <c r="CA814">
        <f>'Grid_Requirement'!BY37</f>
        <v/>
      </c>
      <c r="CB814">
        <f>'Grid_Requirement'!BZ37</f>
        <v/>
      </c>
      <c r="CC814">
        <f>'Grid_Requirement'!CA37</f>
        <v/>
      </c>
      <c r="CD814">
        <f>'Grid_Requirement'!CB37</f>
        <v/>
      </c>
      <c r="CE814">
        <f>'Grid_Requirement'!CC37</f>
        <v/>
      </c>
      <c r="CF814">
        <f>'Grid_Requirement'!CD37</f>
        <v/>
      </c>
      <c r="CG814">
        <f>'Grid_Requirement'!CE37</f>
        <v/>
      </c>
      <c r="CH814">
        <f>'Grid_Requirement'!CF37</f>
        <v/>
      </c>
      <c r="CI814">
        <f>'Grid_Requirement'!CG37</f>
        <v/>
      </c>
      <c r="CJ814">
        <f>'Grid_Requirement'!CH37</f>
        <v/>
      </c>
      <c r="CK814">
        <f>'Grid_Requirement'!CI37</f>
        <v/>
      </c>
      <c r="CL814">
        <f>'Grid_Requirement'!CJ37</f>
        <v/>
      </c>
      <c r="CM814">
        <f>'Grid_Requirement'!CK37</f>
        <v/>
      </c>
      <c r="CN814">
        <f>'Grid_Requirement'!CL37</f>
        <v/>
      </c>
      <c r="CO814">
        <f>'Grid_Requirement'!CM37</f>
        <v/>
      </c>
      <c r="CP814">
        <f>'Grid_Requirement'!CN37</f>
        <v/>
      </c>
      <c r="CQ814">
        <f>'Grid_Requirement'!CO37</f>
        <v/>
      </c>
      <c r="CR814">
        <f>'Grid_Requirement'!CP37</f>
        <v/>
      </c>
      <c r="CS814">
        <f>'Grid_Requirement'!CQ37</f>
        <v/>
      </c>
      <c r="CT814">
        <f>'Grid_Requirement'!CR37</f>
        <v/>
      </c>
      <c r="CU814">
        <f>'Grid_Requirement'!CS37</f>
        <v/>
      </c>
      <c r="CV814">
        <f>'Grid_Requirement'!CT37</f>
        <v/>
      </c>
      <c r="CW814">
        <f>'Grid_Requirement'!CU37</f>
        <v/>
      </c>
      <c r="CX814">
        <f>'Grid_Requirement'!CV37</f>
        <v/>
      </c>
      <c r="CY814">
        <f>'Grid_Requirement'!CW37</f>
        <v/>
      </c>
      <c r="CZ814">
        <f>'Grid_Requirement'!CX37</f>
        <v/>
      </c>
      <c r="DA814">
        <f>'Grid_Requirement'!CY37</f>
        <v/>
      </c>
      <c r="DB814">
        <f>'Grid_Requirement'!CZ37</f>
        <v/>
      </c>
      <c r="DC814">
        <f>'Grid_Requirement'!DA37</f>
        <v/>
      </c>
    </row>
    <row r="815">
      <c r="B815" t="inlineStr">
        <is>
          <t>TTAF在庫(実績,kg)</t>
        </is>
      </c>
      <c r="D815">
        <f>'T_TTAFStock'!B41</f>
        <v/>
      </c>
      <c r="E815">
        <f>'T_TTAFStock'!C41</f>
        <v/>
      </c>
      <c r="F815">
        <f>'T_TTAFStock'!D41</f>
        <v/>
      </c>
      <c r="G815">
        <f>'T_TTAFStock'!E41</f>
        <v/>
      </c>
      <c r="H815">
        <f>'T_TTAFStock'!F41</f>
        <v/>
      </c>
      <c r="I815">
        <f>'T_TTAFStock'!G41</f>
        <v/>
      </c>
      <c r="J815">
        <f>'T_TTAFStock'!H41</f>
        <v/>
      </c>
      <c r="K815">
        <f>'T_TTAFStock'!I41</f>
        <v/>
      </c>
      <c r="L815">
        <f>'T_TTAFStock'!J41</f>
        <v/>
      </c>
      <c r="M815">
        <f>'T_TTAFStock'!K41</f>
        <v/>
      </c>
      <c r="N815">
        <f>'T_TTAFStock'!L41</f>
        <v/>
      </c>
      <c r="O815">
        <f>'T_TTAFStock'!M41</f>
        <v/>
      </c>
      <c r="P815">
        <f>'T_TTAFStock'!N41</f>
        <v/>
      </c>
      <c r="Q815">
        <f>'T_TTAFStock'!O41</f>
        <v/>
      </c>
      <c r="R815">
        <f>'T_TTAFStock'!P41</f>
        <v/>
      </c>
      <c r="S815">
        <f>'T_TTAFStock'!Q41</f>
        <v/>
      </c>
      <c r="T815">
        <f>'T_TTAFStock'!R41</f>
        <v/>
      </c>
      <c r="U815">
        <f>'T_TTAFStock'!S41</f>
        <v/>
      </c>
      <c r="V815">
        <f>'T_TTAFStock'!T41</f>
        <v/>
      </c>
      <c r="W815">
        <f>'T_TTAFStock'!U41</f>
        <v/>
      </c>
      <c r="X815">
        <f>'T_TTAFStock'!V41</f>
        <v/>
      </c>
      <c r="Y815">
        <f>'T_TTAFStock'!W41</f>
        <v/>
      </c>
      <c r="Z815">
        <f>'T_TTAFStock'!X41</f>
        <v/>
      </c>
      <c r="AA815">
        <f>'T_TTAFStock'!Y41</f>
        <v/>
      </c>
      <c r="AB815">
        <f>'T_TTAFStock'!Z41</f>
        <v/>
      </c>
      <c r="AC815">
        <f>'T_TTAFStock'!AA41</f>
        <v/>
      </c>
      <c r="AD815">
        <f>'T_TTAFStock'!AB41</f>
        <v/>
      </c>
      <c r="AE815">
        <f>'T_TTAFStock'!AC41</f>
        <v/>
      </c>
      <c r="AF815">
        <f>'T_TTAFStock'!AD41</f>
        <v/>
      </c>
      <c r="AG815">
        <f>'T_TTAFStock'!AE41</f>
        <v/>
      </c>
      <c r="AH815">
        <f>'T_TTAFStock'!AF41</f>
        <v/>
      </c>
      <c r="AI815">
        <f>'T_TTAFStock'!AG41</f>
        <v/>
      </c>
      <c r="AJ815">
        <f>'T_TTAFStock'!AH41</f>
        <v/>
      </c>
      <c r="AK815">
        <f>'T_TTAFStock'!AI41</f>
        <v/>
      </c>
      <c r="AL815">
        <f>'T_TTAFStock'!AJ41</f>
        <v/>
      </c>
      <c r="AM815">
        <f>'T_TTAFStock'!AK41</f>
        <v/>
      </c>
      <c r="AN815">
        <f>'T_TTAFStock'!AL41</f>
        <v/>
      </c>
      <c r="AO815">
        <f>'T_TTAFStock'!AM41</f>
        <v/>
      </c>
      <c r="AP815">
        <f>'T_TTAFStock'!AN41</f>
        <v/>
      </c>
      <c r="AQ815">
        <f>'T_TTAFStock'!AO41</f>
        <v/>
      </c>
      <c r="AR815">
        <f>'T_TTAFStock'!AP41</f>
        <v/>
      </c>
      <c r="AS815">
        <f>'T_TTAFStock'!AQ41</f>
        <v/>
      </c>
      <c r="AT815">
        <f>'T_TTAFStock'!AR41</f>
        <v/>
      </c>
      <c r="AU815">
        <f>'T_TTAFStock'!AS41</f>
        <v/>
      </c>
      <c r="AV815">
        <f>'T_TTAFStock'!AT41</f>
        <v/>
      </c>
      <c r="AW815">
        <f>'T_TTAFStock'!AU41</f>
        <v/>
      </c>
      <c r="AX815">
        <f>'T_TTAFStock'!AV41</f>
        <v/>
      </c>
      <c r="AY815">
        <f>'T_TTAFStock'!AW41</f>
        <v/>
      </c>
      <c r="AZ815">
        <f>'T_TTAFStock'!AX41</f>
        <v/>
      </c>
      <c r="BA815">
        <f>'T_TTAFStock'!AY41</f>
        <v/>
      </c>
      <c r="BB815">
        <f>'T_TTAFStock'!AZ41</f>
        <v/>
      </c>
      <c r="BC815">
        <f>'T_TTAFStock'!BA41</f>
        <v/>
      </c>
      <c r="BD815">
        <f>'T_TTAFStock'!BB41</f>
        <v/>
      </c>
      <c r="BE815">
        <f>'T_TTAFStock'!BC41</f>
        <v/>
      </c>
      <c r="BF815">
        <f>'T_TTAFStock'!BD41</f>
        <v/>
      </c>
      <c r="BG815">
        <f>'T_TTAFStock'!BE41</f>
        <v/>
      </c>
      <c r="BH815">
        <f>'T_TTAFStock'!BF41</f>
        <v/>
      </c>
      <c r="BI815">
        <f>'T_TTAFStock'!BG41</f>
        <v/>
      </c>
      <c r="BJ815">
        <f>'T_TTAFStock'!BH41</f>
        <v/>
      </c>
      <c r="BK815">
        <f>'T_TTAFStock'!BI41</f>
        <v/>
      </c>
      <c r="BL815">
        <f>'T_TTAFStock'!BJ41</f>
        <v/>
      </c>
      <c r="BM815">
        <f>'T_TTAFStock'!BK41</f>
        <v/>
      </c>
      <c r="BN815">
        <f>'T_TTAFStock'!BL41</f>
        <v/>
      </c>
      <c r="BO815">
        <f>'T_TTAFStock'!BM41</f>
        <v/>
      </c>
      <c r="BP815">
        <f>'T_TTAFStock'!BN41</f>
        <v/>
      </c>
      <c r="BQ815">
        <f>'T_TTAFStock'!BO41</f>
        <v/>
      </c>
      <c r="BR815">
        <f>'T_TTAFStock'!BP41</f>
        <v/>
      </c>
      <c r="BS815">
        <f>'T_TTAFStock'!BQ41</f>
        <v/>
      </c>
      <c r="BT815">
        <f>'T_TTAFStock'!BR41</f>
        <v/>
      </c>
      <c r="BU815">
        <f>'T_TTAFStock'!BS41</f>
        <v/>
      </c>
      <c r="BV815">
        <f>'T_TTAFStock'!BT41</f>
        <v/>
      </c>
      <c r="BW815">
        <f>'T_TTAFStock'!BU41</f>
        <v/>
      </c>
      <c r="BX815">
        <f>'T_TTAFStock'!BV41</f>
        <v/>
      </c>
      <c r="BY815">
        <f>'T_TTAFStock'!BW41</f>
        <v/>
      </c>
      <c r="BZ815">
        <f>'T_TTAFStock'!BX41</f>
        <v/>
      </c>
      <c r="CA815">
        <f>'T_TTAFStock'!BY41</f>
        <v/>
      </c>
      <c r="CB815">
        <f>'T_TTAFStock'!BZ41</f>
        <v/>
      </c>
      <c r="CC815">
        <f>'T_TTAFStock'!CA41</f>
        <v/>
      </c>
      <c r="CD815">
        <f>'T_TTAFStock'!CB41</f>
        <v/>
      </c>
      <c r="CE815">
        <f>'T_TTAFStock'!CC41</f>
        <v/>
      </c>
      <c r="CF815">
        <f>'T_TTAFStock'!CD41</f>
        <v/>
      </c>
      <c r="CG815">
        <f>'T_TTAFStock'!CE41</f>
        <v/>
      </c>
      <c r="CH815">
        <f>'T_TTAFStock'!CF41</f>
        <v/>
      </c>
      <c r="CI815">
        <f>'T_TTAFStock'!CG41</f>
        <v/>
      </c>
      <c r="CJ815">
        <f>'T_TTAFStock'!CH41</f>
        <v/>
      </c>
      <c r="CK815">
        <f>'T_TTAFStock'!CI41</f>
        <v/>
      </c>
      <c r="CL815">
        <f>'T_TTAFStock'!CJ41</f>
        <v/>
      </c>
      <c r="CM815">
        <f>'T_TTAFStock'!CK41</f>
        <v/>
      </c>
      <c r="CN815">
        <f>'T_TTAFStock'!CL41</f>
        <v/>
      </c>
      <c r="CO815">
        <f>'T_TTAFStock'!CM41</f>
        <v/>
      </c>
      <c r="CP815">
        <f>'T_TTAFStock'!CN41</f>
        <v/>
      </c>
      <c r="CQ815">
        <f>'T_TTAFStock'!CO41</f>
        <v/>
      </c>
      <c r="CR815">
        <f>'T_TTAFStock'!CP41</f>
        <v/>
      </c>
      <c r="CS815">
        <f>'T_TTAFStock'!CQ41</f>
        <v/>
      </c>
      <c r="CT815">
        <f>'T_TTAFStock'!CR41</f>
        <v/>
      </c>
      <c r="CU815">
        <f>'T_TTAFStock'!CS41</f>
        <v/>
      </c>
      <c r="CV815">
        <f>'T_TTAFStock'!CT41</f>
        <v/>
      </c>
      <c r="CW815">
        <f>'T_TTAFStock'!CU41</f>
        <v/>
      </c>
      <c r="CX815">
        <f>'T_TTAFStock'!CV41</f>
        <v/>
      </c>
      <c r="CY815">
        <f>'T_TTAFStock'!CW41</f>
        <v/>
      </c>
      <c r="CZ815">
        <f>'T_TTAFStock'!CX41</f>
        <v/>
      </c>
      <c r="DA815">
        <f>'T_TTAFStock'!CY41</f>
        <v/>
      </c>
      <c r="DB815">
        <f>'T_TTAFStock'!CZ41</f>
        <v/>
      </c>
      <c r="DC815">
        <f>'T_TTAFStock'!DA41</f>
        <v/>
      </c>
    </row>
    <row r="816">
      <c r="B816" t="inlineStr">
        <is>
          <t>自社在庫(実績,kg)</t>
        </is>
      </c>
      <c r="D816">
        <f>'T_SelfStock'!B41</f>
        <v/>
      </c>
      <c r="E816">
        <f>'T_SelfStock'!C41</f>
        <v/>
      </c>
      <c r="F816">
        <f>'T_SelfStock'!D41</f>
        <v/>
      </c>
      <c r="G816">
        <f>'T_SelfStock'!E41</f>
        <v/>
      </c>
      <c r="H816">
        <f>'T_SelfStock'!F41</f>
        <v/>
      </c>
      <c r="I816">
        <f>'T_SelfStock'!G41</f>
        <v/>
      </c>
      <c r="J816">
        <f>'T_SelfStock'!H41</f>
        <v/>
      </c>
      <c r="K816">
        <f>'T_SelfStock'!I41</f>
        <v/>
      </c>
      <c r="L816">
        <f>'T_SelfStock'!J41</f>
        <v/>
      </c>
      <c r="M816">
        <f>'T_SelfStock'!K41</f>
        <v/>
      </c>
      <c r="N816">
        <f>'T_SelfStock'!L41</f>
        <v/>
      </c>
      <c r="O816">
        <f>'T_SelfStock'!M41</f>
        <v/>
      </c>
      <c r="P816">
        <f>'T_SelfStock'!N41</f>
        <v/>
      </c>
      <c r="Q816">
        <f>'T_SelfStock'!O41</f>
        <v/>
      </c>
      <c r="R816">
        <f>'T_SelfStock'!P41</f>
        <v/>
      </c>
      <c r="S816">
        <f>'T_SelfStock'!Q41</f>
        <v/>
      </c>
      <c r="T816">
        <f>'T_SelfStock'!R41</f>
        <v/>
      </c>
      <c r="U816">
        <f>'T_SelfStock'!S41</f>
        <v/>
      </c>
      <c r="V816">
        <f>'T_SelfStock'!T41</f>
        <v/>
      </c>
      <c r="W816">
        <f>'T_SelfStock'!U41</f>
        <v/>
      </c>
      <c r="X816">
        <f>'T_SelfStock'!V41</f>
        <v/>
      </c>
      <c r="Y816">
        <f>'T_SelfStock'!W41</f>
        <v/>
      </c>
      <c r="Z816">
        <f>'T_SelfStock'!X41</f>
        <v/>
      </c>
      <c r="AA816">
        <f>'T_SelfStock'!Y41</f>
        <v/>
      </c>
      <c r="AB816">
        <f>'T_SelfStock'!Z41</f>
        <v/>
      </c>
      <c r="AC816">
        <f>'T_SelfStock'!AA41</f>
        <v/>
      </c>
      <c r="AD816">
        <f>'T_SelfStock'!AB41</f>
        <v/>
      </c>
      <c r="AE816">
        <f>'T_SelfStock'!AC41</f>
        <v/>
      </c>
      <c r="AF816">
        <f>'T_SelfStock'!AD41</f>
        <v/>
      </c>
      <c r="AG816">
        <f>'T_SelfStock'!AE41</f>
        <v/>
      </c>
      <c r="AH816">
        <f>'T_SelfStock'!AF41</f>
        <v/>
      </c>
      <c r="AI816">
        <f>'T_SelfStock'!AG41</f>
        <v/>
      </c>
      <c r="AJ816">
        <f>'T_SelfStock'!AH41</f>
        <v/>
      </c>
      <c r="AK816">
        <f>'T_SelfStock'!AI41</f>
        <v/>
      </c>
      <c r="AL816">
        <f>'T_SelfStock'!AJ41</f>
        <v/>
      </c>
      <c r="AM816">
        <f>'T_SelfStock'!AK41</f>
        <v/>
      </c>
      <c r="AN816">
        <f>'T_SelfStock'!AL41</f>
        <v/>
      </c>
      <c r="AO816">
        <f>'T_SelfStock'!AM41</f>
        <v/>
      </c>
      <c r="AP816">
        <f>'T_SelfStock'!AN41</f>
        <v/>
      </c>
      <c r="AQ816">
        <f>'T_SelfStock'!AO41</f>
        <v/>
      </c>
      <c r="AR816">
        <f>'T_SelfStock'!AP41</f>
        <v/>
      </c>
      <c r="AS816">
        <f>'T_SelfStock'!AQ41</f>
        <v/>
      </c>
      <c r="AT816">
        <f>'T_SelfStock'!AR41</f>
        <v/>
      </c>
      <c r="AU816">
        <f>'T_SelfStock'!AS41</f>
        <v/>
      </c>
      <c r="AV816">
        <f>'T_SelfStock'!AT41</f>
        <v/>
      </c>
      <c r="AW816">
        <f>'T_SelfStock'!AU41</f>
        <v/>
      </c>
      <c r="AX816">
        <f>'T_SelfStock'!AV41</f>
        <v/>
      </c>
      <c r="AY816">
        <f>'T_SelfStock'!AW41</f>
        <v/>
      </c>
      <c r="AZ816">
        <f>'T_SelfStock'!AX41</f>
        <v/>
      </c>
      <c r="BA816">
        <f>'T_SelfStock'!AY41</f>
        <v/>
      </c>
      <c r="BB816">
        <f>'T_SelfStock'!AZ41</f>
        <v/>
      </c>
      <c r="BC816">
        <f>'T_SelfStock'!BA41</f>
        <v/>
      </c>
      <c r="BD816">
        <f>'T_SelfStock'!BB41</f>
        <v/>
      </c>
      <c r="BE816">
        <f>'T_SelfStock'!BC41</f>
        <v/>
      </c>
      <c r="BF816">
        <f>'T_SelfStock'!BD41</f>
        <v/>
      </c>
      <c r="BG816">
        <f>'T_SelfStock'!BE41</f>
        <v/>
      </c>
      <c r="BH816">
        <f>'T_SelfStock'!BF41</f>
        <v/>
      </c>
      <c r="BI816">
        <f>'T_SelfStock'!BG41</f>
        <v/>
      </c>
      <c r="BJ816">
        <f>'T_SelfStock'!BH41</f>
        <v/>
      </c>
      <c r="BK816">
        <f>'T_SelfStock'!BI41</f>
        <v/>
      </c>
      <c r="BL816">
        <f>'T_SelfStock'!BJ41</f>
        <v/>
      </c>
      <c r="BM816">
        <f>'T_SelfStock'!BK41</f>
        <v/>
      </c>
      <c r="BN816">
        <f>'T_SelfStock'!BL41</f>
        <v/>
      </c>
      <c r="BO816">
        <f>'T_SelfStock'!BM41</f>
        <v/>
      </c>
      <c r="BP816">
        <f>'T_SelfStock'!BN41</f>
        <v/>
      </c>
      <c r="BQ816">
        <f>'T_SelfStock'!BO41</f>
        <v/>
      </c>
      <c r="BR816">
        <f>'T_SelfStock'!BP41</f>
        <v/>
      </c>
      <c r="BS816">
        <f>'T_SelfStock'!BQ41</f>
        <v/>
      </c>
      <c r="BT816">
        <f>'T_SelfStock'!BR41</f>
        <v/>
      </c>
      <c r="BU816">
        <f>'T_SelfStock'!BS41</f>
        <v/>
      </c>
      <c r="BV816">
        <f>'T_SelfStock'!BT41</f>
        <v/>
      </c>
      <c r="BW816">
        <f>'T_SelfStock'!BU41</f>
        <v/>
      </c>
      <c r="BX816">
        <f>'T_SelfStock'!BV41</f>
        <v/>
      </c>
      <c r="BY816">
        <f>'T_SelfStock'!BW41</f>
        <v/>
      </c>
      <c r="BZ816">
        <f>'T_SelfStock'!BX41</f>
        <v/>
      </c>
      <c r="CA816">
        <f>'T_SelfStock'!BY41</f>
        <v/>
      </c>
      <c r="CB816">
        <f>'T_SelfStock'!BZ41</f>
        <v/>
      </c>
      <c r="CC816">
        <f>'T_SelfStock'!CA41</f>
        <v/>
      </c>
      <c r="CD816">
        <f>'T_SelfStock'!CB41</f>
        <v/>
      </c>
      <c r="CE816">
        <f>'T_SelfStock'!CC41</f>
        <v/>
      </c>
      <c r="CF816">
        <f>'T_SelfStock'!CD41</f>
        <v/>
      </c>
      <c r="CG816">
        <f>'T_SelfStock'!CE41</f>
        <v/>
      </c>
      <c r="CH816">
        <f>'T_SelfStock'!CF41</f>
        <v/>
      </c>
      <c r="CI816">
        <f>'T_SelfStock'!CG41</f>
        <v/>
      </c>
      <c r="CJ816">
        <f>'T_SelfStock'!CH41</f>
        <v/>
      </c>
      <c r="CK816">
        <f>'T_SelfStock'!CI41</f>
        <v/>
      </c>
      <c r="CL816">
        <f>'T_SelfStock'!CJ41</f>
        <v/>
      </c>
      <c r="CM816">
        <f>'T_SelfStock'!CK41</f>
        <v/>
      </c>
      <c r="CN816">
        <f>'T_SelfStock'!CL41</f>
        <v/>
      </c>
      <c r="CO816">
        <f>'T_SelfStock'!CM41</f>
        <v/>
      </c>
      <c r="CP816">
        <f>'T_SelfStock'!CN41</f>
        <v/>
      </c>
      <c r="CQ816">
        <f>'T_SelfStock'!CO41</f>
        <v/>
      </c>
      <c r="CR816">
        <f>'T_SelfStock'!CP41</f>
        <v/>
      </c>
      <c r="CS816">
        <f>'T_SelfStock'!CQ41</f>
        <v/>
      </c>
      <c r="CT816">
        <f>'T_SelfStock'!CR41</f>
        <v/>
      </c>
      <c r="CU816">
        <f>'T_SelfStock'!CS41</f>
        <v/>
      </c>
      <c r="CV816">
        <f>'T_SelfStock'!CT41</f>
        <v/>
      </c>
      <c r="CW816">
        <f>'T_SelfStock'!CU41</f>
        <v/>
      </c>
      <c r="CX816">
        <f>'T_SelfStock'!CV41</f>
        <v/>
      </c>
      <c r="CY816">
        <f>'T_SelfStock'!CW41</f>
        <v/>
      </c>
      <c r="CZ816">
        <f>'T_SelfStock'!CX41</f>
        <v/>
      </c>
      <c r="DA816">
        <f>'T_SelfStock'!CY41</f>
        <v/>
      </c>
      <c r="DB816">
        <f>'T_SelfStock'!CZ41</f>
        <v/>
      </c>
      <c r="DC816">
        <f>'T_SelfStock'!DA41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'Grid_Stock'!B37</f>
        <v/>
      </c>
      <c r="E818">
        <f>'Grid_Stock'!C37</f>
        <v/>
      </c>
      <c r="F818">
        <f>'Grid_Stock'!D37</f>
        <v/>
      </c>
      <c r="G818">
        <f>'Grid_Stock'!E37</f>
        <v/>
      </c>
      <c r="H818">
        <f>'Grid_Stock'!F37</f>
        <v/>
      </c>
      <c r="I818">
        <f>'Grid_Stock'!G37</f>
        <v/>
      </c>
      <c r="J818">
        <f>'Grid_Stock'!H37</f>
        <v/>
      </c>
      <c r="K818">
        <f>'Grid_Stock'!I37</f>
        <v/>
      </c>
      <c r="L818">
        <f>'Grid_Stock'!J37</f>
        <v/>
      </c>
      <c r="M818">
        <f>'Grid_Stock'!K37</f>
        <v/>
      </c>
      <c r="N818">
        <f>'Grid_Stock'!L37</f>
        <v/>
      </c>
      <c r="O818">
        <f>'Grid_Stock'!M37</f>
        <v/>
      </c>
      <c r="P818">
        <f>'Grid_Stock'!N37</f>
        <v/>
      </c>
      <c r="Q818">
        <f>'Grid_Stock'!O37</f>
        <v/>
      </c>
      <c r="R818">
        <f>'Grid_Stock'!P37</f>
        <v/>
      </c>
      <c r="S818">
        <f>'Grid_Stock'!Q37</f>
        <v/>
      </c>
      <c r="T818">
        <f>'Grid_Stock'!R37</f>
        <v/>
      </c>
      <c r="U818">
        <f>'Grid_Stock'!S37</f>
        <v/>
      </c>
      <c r="V818">
        <f>'Grid_Stock'!T37</f>
        <v/>
      </c>
      <c r="W818">
        <f>'Grid_Stock'!U37</f>
        <v/>
      </c>
      <c r="X818">
        <f>'Grid_Stock'!V37</f>
        <v/>
      </c>
      <c r="Y818">
        <f>'Grid_Stock'!W37</f>
        <v/>
      </c>
      <c r="Z818">
        <f>'Grid_Stock'!X37</f>
        <v/>
      </c>
      <c r="AA818">
        <f>'Grid_Stock'!Y37</f>
        <v/>
      </c>
      <c r="AB818">
        <f>'Grid_Stock'!Z37</f>
        <v/>
      </c>
      <c r="AC818">
        <f>'Grid_Stock'!AA37</f>
        <v/>
      </c>
      <c r="AD818">
        <f>'Grid_Stock'!AB37</f>
        <v/>
      </c>
      <c r="AE818">
        <f>'Grid_Stock'!AC37</f>
        <v/>
      </c>
      <c r="AF818">
        <f>'Grid_Stock'!AD37</f>
        <v/>
      </c>
      <c r="AG818">
        <f>'Grid_Stock'!AE37</f>
        <v/>
      </c>
      <c r="AH818">
        <f>'Grid_Stock'!AF37</f>
        <v/>
      </c>
      <c r="AI818">
        <f>'Grid_Stock'!AG37</f>
        <v/>
      </c>
      <c r="AJ818">
        <f>'Grid_Stock'!AH37</f>
        <v/>
      </c>
      <c r="AK818">
        <f>'Grid_Stock'!AI37</f>
        <v/>
      </c>
      <c r="AL818">
        <f>'Grid_Stock'!AJ37</f>
        <v/>
      </c>
      <c r="AM818">
        <f>'Grid_Stock'!AK37</f>
        <v/>
      </c>
      <c r="AN818">
        <f>'Grid_Stock'!AL37</f>
        <v/>
      </c>
      <c r="AO818">
        <f>'Grid_Stock'!AM37</f>
        <v/>
      </c>
      <c r="AP818">
        <f>'Grid_Stock'!AN37</f>
        <v/>
      </c>
      <c r="AQ818">
        <f>'Grid_Stock'!AO37</f>
        <v/>
      </c>
      <c r="AR818">
        <f>'Grid_Stock'!AP37</f>
        <v/>
      </c>
      <c r="AS818">
        <f>'Grid_Stock'!AQ37</f>
        <v/>
      </c>
      <c r="AT818">
        <f>'Grid_Stock'!AR37</f>
        <v/>
      </c>
      <c r="AU818">
        <f>'Grid_Stock'!AS37</f>
        <v/>
      </c>
      <c r="AV818">
        <f>'Grid_Stock'!AT37</f>
        <v/>
      </c>
      <c r="AW818">
        <f>'Grid_Stock'!AU37</f>
        <v/>
      </c>
      <c r="AX818">
        <f>'Grid_Stock'!AV37</f>
        <v/>
      </c>
      <c r="AY818">
        <f>'Grid_Stock'!AW37</f>
        <v/>
      </c>
      <c r="AZ818">
        <f>'Grid_Stock'!AX37</f>
        <v/>
      </c>
      <c r="BA818">
        <f>'Grid_Stock'!AY37</f>
        <v/>
      </c>
      <c r="BB818">
        <f>'Grid_Stock'!AZ37</f>
        <v/>
      </c>
      <c r="BC818">
        <f>'Grid_Stock'!BA37</f>
        <v/>
      </c>
      <c r="BD818">
        <f>'Grid_Stock'!BB37</f>
        <v/>
      </c>
      <c r="BE818">
        <f>'Grid_Stock'!BC37</f>
        <v/>
      </c>
      <c r="BF818">
        <f>'Grid_Stock'!BD37</f>
        <v/>
      </c>
      <c r="BG818">
        <f>'Grid_Stock'!BE37</f>
        <v/>
      </c>
      <c r="BH818">
        <f>'Grid_Stock'!BF37</f>
        <v/>
      </c>
      <c r="BI818">
        <f>'Grid_Stock'!BG37</f>
        <v/>
      </c>
      <c r="BJ818">
        <f>'Grid_Stock'!BH37</f>
        <v/>
      </c>
      <c r="BK818">
        <f>'Grid_Stock'!BI37</f>
        <v/>
      </c>
      <c r="BL818">
        <f>'Grid_Stock'!BJ37</f>
        <v/>
      </c>
      <c r="BM818">
        <f>'Grid_Stock'!BK37</f>
        <v/>
      </c>
      <c r="BN818">
        <f>'Grid_Stock'!BL37</f>
        <v/>
      </c>
      <c r="BO818">
        <f>'Grid_Stock'!BM37</f>
        <v/>
      </c>
      <c r="BP818">
        <f>'Grid_Stock'!BN37</f>
        <v/>
      </c>
      <c r="BQ818">
        <f>'Grid_Stock'!BO37</f>
        <v/>
      </c>
      <c r="BR818">
        <f>'Grid_Stock'!BP37</f>
        <v/>
      </c>
      <c r="BS818">
        <f>'Grid_Stock'!BQ37</f>
        <v/>
      </c>
      <c r="BT818">
        <f>'Grid_Stock'!BR37</f>
        <v/>
      </c>
      <c r="BU818">
        <f>'Grid_Stock'!BS37</f>
        <v/>
      </c>
      <c r="BV818">
        <f>'Grid_Stock'!BT37</f>
        <v/>
      </c>
      <c r="BW818">
        <f>'Grid_Stock'!BU37</f>
        <v/>
      </c>
      <c r="BX818">
        <f>'Grid_Stock'!BV37</f>
        <v/>
      </c>
      <c r="BY818">
        <f>'Grid_Stock'!BW37</f>
        <v/>
      </c>
      <c r="BZ818">
        <f>'Grid_Stock'!BX37</f>
        <v/>
      </c>
      <c r="CA818">
        <f>'Grid_Stock'!BY37</f>
        <v/>
      </c>
      <c r="CB818">
        <f>'Grid_Stock'!BZ37</f>
        <v/>
      </c>
      <c r="CC818">
        <f>'Grid_Stock'!CA37</f>
        <v/>
      </c>
      <c r="CD818">
        <f>'Grid_Stock'!CB37</f>
        <v/>
      </c>
      <c r="CE818">
        <f>'Grid_Stock'!CC37</f>
        <v/>
      </c>
      <c r="CF818">
        <f>'Grid_Stock'!CD37</f>
        <v/>
      </c>
      <c r="CG818">
        <f>'Grid_Stock'!CE37</f>
        <v/>
      </c>
      <c r="CH818">
        <f>'Grid_Stock'!CF37</f>
        <v/>
      </c>
      <c r="CI818">
        <f>'Grid_Stock'!CG37</f>
        <v/>
      </c>
      <c r="CJ818">
        <f>'Grid_Stock'!CH37</f>
        <v/>
      </c>
      <c r="CK818">
        <f>'Grid_Stock'!CI37</f>
        <v/>
      </c>
      <c r="CL818">
        <f>'Grid_Stock'!CJ37</f>
        <v/>
      </c>
      <c r="CM818">
        <f>'Grid_Stock'!CK37</f>
        <v/>
      </c>
      <c r="CN818">
        <f>'Grid_Stock'!CL37</f>
        <v/>
      </c>
      <c r="CO818">
        <f>'Grid_Stock'!CM37</f>
        <v/>
      </c>
      <c r="CP818">
        <f>'Grid_Stock'!CN37</f>
        <v/>
      </c>
      <c r="CQ818">
        <f>'Grid_Stock'!CO37</f>
        <v/>
      </c>
      <c r="CR818">
        <f>'Grid_Stock'!CP37</f>
        <v/>
      </c>
      <c r="CS818">
        <f>'Grid_Stock'!CQ37</f>
        <v/>
      </c>
      <c r="CT818">
        <f>'Grid_Stock'!CR37</f>
        <v/>
      </c>
      <c r="CU818">
        <f>'Grid_Stock'!CS37</f>
        <v/>
      </c>
      <c r="CV818">
        <f>'Grid_Stock'!CT37</f>
        <v/>
      </c>
      <c r="CW818">
        <f>'Grid_Stock'!CU37</f>
        <v/>
      </c>
      <c r="CX818">
        <f>'Grid_Stock'!CV37</f>
        <v/>
      </c>
      <c r="CY818">
        <f>'Grid_Stock'!CW37</f>
        <v/>
      </c>
      <c r="CZ818">
        <f>'Grid_Stock'!CX37</f>
        <v/>
      </c>
      <c r="DA818">
        <f>'Grid_Stock'!CY37</f>
        <v/>
      </c>
      <c r="DB818">
        <f>'Grid_Stock'!CZ37</f>
        <v/>
      </c>
      <c r="DC818">
        <f>'Grid_Stock'!DA37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'Grid_Requirement'!B38</f>
        <v/>
      </c>
      <c r="E824">
        <f>'Grid_Requirement'!C38</f>
        <v/>
      </c>
      <c r="F824">
        <f>'Grid_Requirement'!D38</f>
        <v/>
      </c>
      <c r="G824">
        <f>'Grid_Requirement'!E38</f>
        <v/>
      </c>
      <c r="H824">
        <f>'Grid_Requirement'!F38</f>
        <v/>
      </c>
      <c r="I824">
        <f>'Grid_Requirement'!G38</f>
        <v/>
      </c>
      <c r="J824">
        <f>'Grid_Requirement'!H38</f>
        <v/>
      </c>
      <c r="K824">
        <f>'Grid_Requirement'!I38</f>
        <v/>
      </c>
      <c r="L824">
        <f>'Grid_Requirement'!J38</f>
        <v/>
      </c>
      <c r="M824">
        <f>'Grid_Requirement'!K38</f>
        <v/>
      </c>
      <c r="N824">
        <f>'Grid_Requirement'!L38</f>
        <v/>
      </c>
      <c r="O824">
        <f>'Grid_Requirement'!M38</f>
        <v/>
      </c>
      <c r="P824">
        <f>'Grid_Requirement'!N38</f>
        <v/>
      </c>
      <c r="Q824">
        <f>'Grid_Requirement'!O38</f>
        <v/>
      </c>
      <c r="R824">
        <f>'Grid_Requirement'!P38</f>
        <v/>
      </c>
      <c r="S824">
        <f>'Grid_Requirement'!Q38</f>
        <v/>
      </c>
      <c r="T824">
        <f>'Grid_Requirement'!R38</f>
        <v/>
      </c>
      <c r="U824">
        <f>'Grid_Requirement'!S38</f>
        <v/>
      </c>
      <c r="V824">
        <f>'Grid_Requirement'!T38</f>
        <v/>
      </c>
      <c r="W824">
        <f>'Grid_Requirement'!U38</f>
        <v/>
      </c>
      <c r="X824">
        <f>'Grid_Requirement'!V38</f>
        <v/>
      </c>
      <c r="Y824">
        <f>'Grid_Requirement'!W38</f>
        <v/>
      </c>
      <c r="Z824">
        <f>'Grid_Requirement'!X38</f>
        <v/>
      </c>
      <c r="AA824">
        <f>'Grid_Requirement'!Y38</f>
        <v/>
      </c>
      <c r="AB824">
        <f>'Grid_Requirement'!Z38</f>
        <v/>
      </c>
      <c r="AC824">
        <f>'Grid_Requirement'!AA38</f>
        <v/>
      </c>
      <c r="AD824">
        <f>'Grid_Requirement'!AB38</f>
        <v/>
      </c>
      <c r="AE824">
        <f>'Grid_Requirement'!AC38</f>
        <v/>
      </c>
      <c r="AF824">
        <f>'Grid_Requirement'!AD38</f>
        <v/>
      </c>
      <c r="AG824">
        <f>'Grid_Requirement'!AE38</f>
        <v/>
      </c>
      <c r="AH824">
        <f>'Grid_Requirement'!AF38</f>
        <v/>
      </c>
      <c r="AI824">
        <f>'Grid_Requirement'!AG38</f>
        <v/>
      </c>
      <c r="AJ824">
        <f>'Grid_Requirement'!AH38</f>
        <v/>
      </c>
      <c r="AK824">
        <f>'Grid_Requirement'!AI38</f>
        <v/>
      </c>
      <c r="AL824">
        <f>'Grid_Requirement'!AJ38</f>
        <v/>
      </c>
      <c r="AM824">
        <f>'Grid_Requirement'!AK38</f>
        <v/>
      </c>
      <c r="AN824">
        <f>'Grid_Requirement'!AL38</f>
        <v/>
      </c>
      <c r="AO824">
        <f>'Grid_Requirement'!AM38</f>
        <v/>
      </c>
      <c r="AP824">
        <f>'Grid_Requirement'!AN38</f>
        <v/>
      </c>
      <c r="AQ824">
        <f>'Grid_Requirement'!AO38</f>
        <v/>
      </c>
      <c r="AR824">
        <f>'Grid_Requirement'!AP38</f>
        <v/>
      </c>
      <c r="AS824">
        <f>'Grid_Requirement'!AQ38</f>
        <v/>
      </c>
      <c r="AT824">
        <f>'Grid_Requirement'!AR38</f>
        <v/>
      </c>
      <c r="AU824">
        <f>'Grid_Requirement'!AS38</f>
        <v/>
      </c>
      <c r="AV824">
        <f>'Grid_Requirement'!AT38</f>
        <v/>
      </c>
      <c r="AW824">
        <f>'Grid_Requirement'!AU38</f>
        <v/>
      </c>
      <c r="AX824">
        <f>'Grid_Requirement'!AV38</f>
        <v/>
      </c>
      <c r="AY824">
        <f>'Grid_Requirement'!AW38</f>
        <v/>
      </c>
      <c r="AZ824">
        <f>'Grid_Requirement'!AX38</f>
        <v/>
      </c>
      <c r="BA824">
        <f>'Grid_Requirement'!AY38</f>
        <v/>
      </c>
      <c r="BB824">
        <f>'Grid_Requirement'!AZ38</f>
        <v/>
      </c>
      <c r="BC824">
        <f>'Grid_Requirement'!BA38</f>
        <v/>
      </c>
      <c r="BD824">
        <f>'Grid_Requirement'!BB38</f>
        <v/>
      </c>
      <c r="BE824">
        <f>'Grid_Requirement'!BC38</f>
        <v/>
      </c>
      <c r="BF824">
        <f>'Grid_Requirement'!BD38</f>
        <v/>
      </c>
      <c r="BG824">
        <f>'Grid_Requirement'!BE38</f>
        <v/>
      </c>
      <c r="BH824">
        <f>'Grid_Requirement'!BF38</f>
        <v/>
      </c>
      <c r="BI824">
        <f>'Grid_Requirement'!BG38</f>
        <v/>
      </c>
      <c r="BJ824">
        <f>'Grid_Requirement'!BH38</f>
        <v/>
      </c>
      <c r="BK824">
        <f>'Grid_Requirement'!BI38</f>
        <v/>
      </c>
      <c r="BL824">
        <f>'Grid_Requirement'!BJ38</f>
        <v/>
      </c>
      <c r="BM824">
        <f>'Grid_Requirement'!BK38</f>
        <v/>
      </c>
      <c r="BN824">
        <f>'Grid_Requirement'!BL38</f>
        <v/>
      </c>
      <c r="BO824">
        <f>'Grid_Requirement'!BM38</f>
        <v/>
      </c>
      <c r="BP824">
        <f>'Grid_Requirement'!BN38</f>
        <v/>
      </c>
      <c r="BQ824">
        <f>'Grid_Requirement'!BO38</f>
        <v/>
      </c>
      <c r="BR824">
        <f>'Grid_Requirement'!BP38</f>
        <v/>
      </c>
      <c r="BS824">
        <f>'Grid_Requirement'!BQ38</f>
        <v/>
      </c>
      <c r="BT824">
        <f>'Grid_Requirement'!BR38</f>
        <v/>
      </c>
      <c r="BU824">
        <f>'Grid_Requirement'!BS38</f>
        <v/>
      </c>
      <c r="BV824">
        <f>'Grid_Requirement'!BT38</f>
        <v/>
      </c>
      <c r="BW824">
        <f>'Grid_Requirement'!BU38</f>
        <v/>
      </c>
      <c r="BX824">
        <f>'Grid_Requirement'!BV38</f>
        <v/>
      </c>
      <c r="BY824">
        <f>'Grid_Requirement'!BW38</f>
        <v/>
      </c>
      <c r="BZ824">
        <f>'Grid_Requirement'!BX38</f>
        <v/>
      </c>
      <c r="CA824">
        <f>'Grid_Requirement'!BY38</f>
        <v/>
      </c>
      <c r="CB824">
        <f>'Grid_Requirement'!BZ38</f>
        <v/>
      </c>
      <c r="CC824">
        <f>'Grid_Requirement'!CA38</f>
        <v/>
      </c>
      <c r="CD824">
        <f>'Grid_Requirement'!CB38</f>
        <v/>
      </c>
      <c r="CE824">
        <f>'Grid_Requirement'!CC38</f>
        <v/>
      </c>
      <c r="CF824">
        <f>'Grid_Requirement'!CD38</f>
        <v/>
      </c>
      <c r="CG824">
        <f>'Grid_Requirement'!CE38</f>
        <v/>
      </c>
      <c r="CH824">
        <f>'Grid_Requirement'!CF38</f>
        <v/>
      </c>
      <c r="CI824">
        <f>'Grid_Requirement'!CG38</f>
        <v/>
      </c>
      <c r="CJ824">
        <f>'Grid_Requirement'!CH38</f>
        <v/>
      </c>
      <c r="CK824">
        <f>'Grid_Requirement'!CI38</f>
        <v/>
      </c>
      <c r="CL824">
        <f>'Grid_Requirement'!CJ38</f>
        <v/>
      </c>
      <c r="CM824">
        <f>'Grid_Requirement'!CK38</f>
        <v/>
      </c>
      <c r="CN824">
        <f>'Grid_Requirement'!CL38</f>
        <v/>
      </c>
      <c r="CO824">
        <f>'Grid_Requirement'!CM38</f>
        <v/>
      </c>
      <c r="CP824">
        <f>'Grid_Requirement'!CN38</f>
        <v/>
      </c>
      <c r="CQ824">
        <f>'Grid_Requirement'!CO38</f>
        <v/>
      </c>
      <c r="CR824">
        <f>'Grid_Requirement'!CP38</f>
        <v/>
      </c>
      <c r="CS824">
        <f>'Grid_Requirement'!CQ38</f>
        <v/>
      </c>
      <c r="CT824">
        <f>'Grid_Requirement'!CR38</f>
        <v/>
      </c>
      <c r="CU824">
        <f>'Grid_Requirement'!CS38</f>
        <v/>
      </c>
      <c r="CV824">
        <f>'Grid_Requirement'!CT38</f>
        <v/>
      </c>
      <c r="CW824">
        <f>'Grid_Requirement'!CU38</f>
        <v/>
      </c>
      <c r="CX824">
        <f>'Grid_Requirement'!CV38</f>
        <v/>
      </c>
      <c r="CY824">
        <f>'Grid_Requirement'!CW38</f>
        <v/>
      </c>
      <c r="CZ824">
        <f>'Grid_Requirement'!CX38</f>
        <v/>
      </c>
      <c r="DA824">
        <f>'Grid_Requirement'!CY38</f>
        <v/>
      </c>
      <c r="DB824">
        <f>'Grid_Requirement'!CZ38</f>
        <v/>
      </c>
      <c r="DC824">
        <f>'Grid_Requirement'!DA38</f>
        <v/>
      </c>
    </row>
    <row r="825">
      <c r="B825" t="inlineStr">
        <is>
          <t>TTAF在庫(実績,kg)</t>
        </is>
      </c>
      <c r="D825">
        <f>'T_TTAFStock'!B42</f>
        <v/>
      </c>
      <c r="E825">
        <f>'T_TTAFStock'!C42</f>
        <v/>
      </c>
      <c r="F825">
        <f>'T_TTAFStock'!D42</f>
        <v/>
      </c>
      <c r="G825">
        <f>'T_TTAFStock'!E42</f>
        <v/>
      </c>
      <c r="H825">
        <f>'T_TTAFStock'!F42</f>
        <v/>
      </c>
      <c r="I825">
        <f>'T_TTAFStock'!G42</f>
        <v/>
      </c>
      <c r="J825">
        <f>'T_TTAFStock'!H42</f>
        <v/>
      </c>
      <c r="K825">
        <f>'T_TTAFStock'!I42</f>
        <v/>
      </c>
      <c r="L825">
        <f>'T_TTAFStock'!J42</f>
        <v/>
      </c>
      <c r="M825">
        <f>'T_TTAFStock'!K42</f>
        <v/>
      </c>
      <c r="N825">
        <f>'T_TTAFStock'!L42</f>
        <v/>
      </c>
      <c r="O825">
        <f>'T_TTAFStock'!M42</f>
        <v/>
      </c>
      <c r="P825">
        <f>'T_TTAFStock'!N42</f>
        <v/>
      </c>
      <c r="Q825">
        <f>'T_TTAFStock'!O42</f>
        <v/>
      </c>
      <c r="R825">
        <f>'T_TTAFStock'!P42</f>
        <v/>
      </c>
      <c r="S825">
        <f>'T_TTAFStock'!Q42</f>
        <v/>
      </c>
      <c r="T825">
        <f>'T_TTAFStock'!R42</f>
        <v/>
      </c>
      <c r="U825">
        <f>'T_TTAFStock'!S42</f>
        <v/>
      </c>
      <c r="V825">
        <f>'T_TTAFStock'!T42</f>
        <v/>
      </c>
      <c r="W825">
        <f>'T_TTAFStock'!U42</f>
        <v/>
      </c>
      <c r="X825">
        <f>'T_TTAFStock'!V42</f>
        <v/>
      </c>
      <c r="Y825">
        <f>'T_TTAFStock'!W42</f>
        <v/>
      </c>
      <c r="Z825">
        <f>'T_TTAFStock'!X42</f>
        <v/>
      </c>
      <c r="AA825">
        <f>'T_TTAFStock'!Y42</f>
        <v/>
      </c>
      <c r="AB825">
        <f>'T_TTAFStock'!Z42</f>
        <v/>
      </c>
      <c r="AC825">
        <f>'T_TTAFStock'!AA42</f>
        <v/>
      </c>
      <c r="AD825">
        <f>'T_TTAFStock'!AB42</f>
        <v/>
      </c>
      <c r="AE825">
        <f>'T_TTAFStock'!AC42</f>
        <v/>
      </c>
      <c r="AF825">
        <f>'T_TTAFStock'!AD42</f>
        <v/>
      </c>
      <c r="AG825">
        <f>'T_TTAFStock'!AE42</f>
        <v/>
      </c>
      <c r="AH825">
        <f>'T_TTAFStock'!AF42</f>
        <v/>
      </c>
      <c r="AI825">
        <f>'T_TTAFStock'!AG42</f>
        <v/>
      </c>
      <c r="AJ825">
        <f>'T_TTAFStock'!AH42</f>
        <v/>
      </c>
      <c r="AK825">
        <f>'T_TTAFStock'!AI42</f>
        <v/>
      </c>
      <c r="AL825">
        <f>'T_TTAFStock'!AJ42</f>
        <v/>
      </c>
      <c r="AM825">
        <f>'T_TTAFStock'!AK42</f>
        <v/>
      </c>
      <c r="AN825">
        <f>'T_TTAFStock'!AL42</f>
        <v/>
      </c>
      <c r="AO825">
        <f>'T_TTAFStock'!AM42</f>
        <v/>
      </c>
      <c r="AP825">
        <f>'T_TTAFStock'!AN42</f>
        <v/>
      </c>
      <c r="AQ825">
        <f>'T_TTAFStock'!AO42</f>
        <v/>
      </c>
      <c r="AR825">
        <f>'T_TTAFStock'!AP42</f>
        <v/>
      </c>
      <c r="AS825">
        <f>'T_TTAFStock'!AQ42</f>
        <v/>
      </c>
      <c r="AT825">
        <f>'T_TTAFStock'!AR42</f>
        <v/>
      </c>
      <c r="AU825">
        <f>'T_TTAFStock'!AS42</f>
        <v/>
      </c>
      <c r="AV825">
        <f>'T_TTAFStock'!AT42</f>
        <v/>
      </c>
      <c r="AW825">
        <f>'T_TTAFStock'!AU42</f>
        <v/>
      </c>
      <c r="AX825">
        <f>'T_TTAFStock'!AV42</f>
        <v/>
      </c>
      <c r="AY825">
        <f>'T_TTAFStock'!AW42</f>
        <v/>
      </c>
      <c r="AZ825">
        <f>'T_TTAFStock'!AX42</f>
        <v/>
      </c>
      <c r="BA825">
        <f>'T_TTAFStock'!AY42</f>
        <v/>
      </c>
      <c r="BB825">
        <f>'T_TTAFStock'!AZ42</f>
        <v/>
      </c>
      <c r="BC825">
        <f>'T_TTAFStock'!BA42</f>
        <v/>
      </c>
      <c r="BD825">
        <f>'T_TTAFStock'!BB42</f>
        <v/>
      </c>
      <c r="BE825">
        <f>'T_TTAFStock'!BC42</f>
        <v/>
      </c>
      <c r="BF825">
        <f>'T_TTAFStock'!BD42</f>
        <v/>
      </c>
      <c r="BG825">
        <f>'T_TTAFStock'!BE42</f>
        <v/>
      </c>
      <c r="BH825">
        <f>'T_TTAFStock'!BF42</f>
        <v/>
      </c>
      <c r="BI825">
        <f>'T_TTAFStock'!BG42</f>
        <v/>
      </c>
      <c r="BJ825">
        <f>'T_TTAFStock'!BH42</f>
        <v/>
      </c>
      <c r="BK825">
        <f>'T_TTAFStock'!BI42</f>
        <v/>
      </c>
      <c r="BL825">
        <f>'T_TTAFStock'!BJ42</f>
        <v/>
      </c>
      <c r="BM825">
        <f>'T_TTAFStock'!BK42</f>
        <v/>
      </c>
      <c r="BN825">
        <f>'T_TTAFStock'!BL42</f>
        <v/>
      </c>
      <c r="BO825">
        <f>'T_TTAFStock'!BM42</f>
        <v/>
      </c>
      <c r="BP825">
        <f>'T_TTAFStock'!BN42</f>
        <v/>
      </c>
      <c r="BQ825">
        <f>'T_TTAFStock'!BO42</f>
        <v/>
      </c>
      <c r="BR825">
        <f>'T_TTAFStock'!BP42</f>
        <v/>
      </c>
      <c r="BS825">
        <f>'T_TTAFStock'!BQ42</f>
        <v/>
      </c>
      <c r="BT825">
        <f>'T_TTAFStock'!BR42</f>
        <v/>
      </c>
      <c r="BU825">
        <f>'T_TTAFStock'!BS42</f>
        <v/>
      </c>
      <c r="BV825">
        <f>'T_TTAFStock'!BT42</f>
        <v/>
      </c>
      <c r="BW825">
        <f>'T_TTAFStock'!BU42</f>
        <v/>
      </c>
      <c r="BX825">
        <f>'T_TTAFStock'!BV42</f>
        <v/>
      </c>
      <c r="BY825">
        <f>'T_TTAFStock'!BW42</f>
        <v/>
      </c>
      <c r="BZ825">
        <f>'T_TTAFStock'!BX42</f>
        <v/>
      </c>
      <c r="CA825">
        <f>'T_TTAFStock'!BY42</f>
        <v/>
      </c>
      <c r="CB825">
        <f>'T_TTAFStock'!BZ42</f>
        <v/>
      </c>
      <c r="CC825">
        <f>'T_TTAFStock'!CA42</f>
        <v/>
      </c>
      <c r="CD825">
        <f>'T_TTAFStock'!CB42</f>
        <v/>
      </c>
      <c r="CE825">
        <f>'T_TTAFStock'!CC42</f>
        <v/>
      </c>
      <c r="CF825">
        <f>'T_TTAFStock'!CD42</f>
        <v/>
      </c>
      <c r="CG825">
        <f>'T_TTAFStock'!CE42</f>
        <v/>
      </c>
      <c r="CH825">
        <f>'T_TTAFStock'!CF42</f>
        <v/>
      </c>
      <c r="CI825">
        <f>'T_TTAFStock'!CG42</f>
        <v/>
      </c>
      <c r="CJ825">
        <f>'T_TTAFStock'!CH42</f>
        <v/>
      </c>
      <c r="CK825">
        <f>'T_TTAFStock'!CI42</f>
        <v/>
      </c>
      <c r="CL825">
        <f>'T_TTAFStock'!CJ42</f>
        <v/>
      </c>
      <c r="CM825">
        <f>'T_TTAFStock'!CK42</f>
        <v/>
      </c>
      <c r="CN825">
        <f>'T_TTAFStock'!CL42</f>
        <v/>
      </c>
      <c r="CO825">
        <f>'T_TTAFStock'!CM42</f>
        <v/>
      </c>
      <c r="CP825">
        <f>'T_TTAFStock'!CN42</f>
        <v/>
      </c>
      <c r="CQ825">
        <f>'T_TTAFStock'!CO42</f>
        <v/>
      </c>
      <c r="CR825">
        <f>'T_TTAFStock'!CP42</f>
        <v/>
      </c>
      <c r="CS825">
        <f>'T_TTAFStock'!CQ42</f>
        <v/>
      </c>
      <c r="CT825">
        <f>'T_TTAFStock'!CR42</f>
        <v/>
      </c>
      <c r="CU825">
        <f>'T_TTAFStock'!CS42</f>
        <v/>
      </c>
      <c r="CV825">
        <f>'T_TTAFStock'!CT42</f>
        <v/>
      </c>
      <c r="CW825">
        <f>'T_TTAFStock'!CU42</f>
        <v/>
      </c>
      <c r="CX825">
        <f>'T_TTAFStock'!CV42</f>
        <v/>
      </c>
      <c r="CY825">
        <f>'T_TTAFStock'!CW42</f>
        <v/>
      </c>
      <c r="CZ825">
        <f>'T_TTAFStock'!CX42</f>
        <v/>
      </c>
      <c r="DA825">
        <f>'T_TTAFStock'!CY42</f>
        <v/>
      </c>
      <c r="DB825">
        <f>'T_TTAFStock'!CZ42</f>
        <v/>
      </c>
      <c r="DC825">
        <f>'T_TTAFStock'!DA42</f>
        <v/>
      </c>
    </row>
    <row r="826">
      <c r="B826" t="inlineStr">
        <is>
          <t>自社在庫(実績,kg)</t>
        </is>
      </c>
      <c r="D826">
        <f>'T_SelfStock'!B42</f>
        <v/>
      </c>
      <c r="E826">
        <f>'T_SelfStock'!C42</f>
        <v/>
      </c>
      <c r="F826">
        <f>'T_SelfStock'!D42</f>
        <v/>
      </c>
      <c r="G826">
        <f>'T_SelfStock'!E42</f>
        <v/>
      </c>
      <c r="H826">
        <f>'T_SelfStock'!F42</f>
        <v/>
      </c>
      <c r="I826">
        <f>'T_SelfStock'!G42</f>
        <v/>
      </c>
      <c r="J826">
        <f>'T_SelfStock'!H42</f>
        <v/>
      </c>
      <c r="K826">
        <f>'T_SelfStock'!I42</f>
        <v/>
      </c>
      <c r="L826">
        <f>'T_SelfStock'!J42</f>
        <v/>
      </c>
      <c r="M826">
        <f>'T_SelfStock'!K42</f>
        <v/>
      </c>
      <c r="N826">
        <f>'T_SelfStock'!L42</f>
        <v/>
      </c>
      <c r="O826">
        <f>'T_SelfStock'!M42</f>
        <v/>
      </c>
      <c r="P826">
        <f>'T_SelfStock'!N42</f>
        <v/>
      </c>
      <c r="Q826">
        <f>'T_SelfStock'!O42</f>
        <v/>
      </c>
      <c r="R826">
        <f>'T_SelfStock'!P42</f>
        <v/>
      </c>
      <c r="S826">
        <f>'T_SelfStock'!Q42</f>
        <v/>
      </c>
      <c r="T826">
        <f>'T_SelfStock'!R42</f>
        <v/>
      </c>
      <c r="U826">
        <f>'T_SelfStock'!S42</f>
        <v/>
      </c>
      <c r="V826">
        <f>'T_SelfStock'!T42</f>
        <v/>
      </c>
      <c r="W826">
        <f>'T_SelfStock'!U42</f>
        <v/>
      </c>
      <c r="X826">
        <f>'T_SelfStock'!V42</f>
        <v/>
      </c>
      <c r="Y826">
        <f>'T_SelfStock'!W42</f>
        <v/>
      </c>
      <c r="Z826">
        <f>'T_SelfStock'!X42</f>
        <v/>
      </c>
      <c r="AA826">
        <f>'T_SelfStock'!Y42</f>
        <v/>
      </c>
      <c r="AB826">
        <f>'T_SelfStock'!Z42</f>
        <v/>
      </c>
      <c r="AC826">
        <f>'T_SelfStock'!AA42</f>
        <v/>
      </c>
      <c r="AD826">
        <f>'T_SelfStock'!AB42</f>
        <v/>
      </c>
      <c r="AE826">
        <f>'T_SelfStock'!AC42</f>
        <v/>
      </c>
      <c r="AF826">
        <f>'T_SelfStock'!AD42</f>
        <v/>
      </c>
      <c r="AG826">
        <f>'T_SelfStock'!AE42</f>
        <v/>
      </c>
      <c r="AH826">
        <f>'T_SelfStock'!AF42</f>
        <v/>
      </c>
      <c r="AI826">
        <f>'T_SelfStock'!AG42</f>
        <v/>
      </c>
      <c r="AJ826">
        <f>'T_SelfStock'!AH42</f>
        <v/>
      </c>
      <c r="AK826">
        <f>'T_SelfStock'!AI42</f>
        <v/>
      </c>
      <c r="AL826">
        <f>'T_SelfStock'!AJ42</f>
        <v/>
      </c>
      <c r="AM826">
        <f>'T_SelfStock'!AK42</f>
        <v/>
      </c>
      <c r="AN826">
        <f>'T_SelfStock'!AL42</f>
        <v/>
      </c>
      <c r="AO826">
        <f>'T_SelfStock'!AM42</f>
        <v/>
      </c>
      <c r="AP826">
        <f>'T_SelfStock'!AN42</f>
        <v/>
      </c>
      <c r="AQ826">
        <f>'T_SelfStock'!AO42</f>
        <v/>
      </c>
      <c r="AR826">
        <f>'T_SelfStock'!AP42</f>
        <v/>
      </c>
      <c r="AS826">
        <f>'T_SelfStock'!AQ42</f>
        <v/>
      </c>
      <c r="AT826">
        <f>'T_SelfStock'!AR42</f>
        <v/>
      </c>
      <c r="AU826">
        <f>'T_SelfStock'!AS42</f>
        <v/>
      </c>
      <c r="AV826">
        <f>'T_SelfStock'!AT42</f>
        <v/>
      </c>
      <c r="AW826">
        <f>'T_SelfStock'!AU42</f>
        <v/>
      </c>
      <c r="AX826">
        <f>'T_SelfStock'!AV42</f>
        <v/>
      </c>
      <c r="AY826">
        <f>'T_SelfStock'!AW42</f>
        <v/>
      </c>
      <c r="AZ826">
        <f>'T_SelfStock'!AX42</f>
        <v/>
      </c>
      <c r="BA826">
        <f>'T_SelfStock'!AY42</f>
        <v/>
      </c>
      <c r="BB826">
        <f>'T_SelfStock'!AZ42</f>
        <v/>
      </c>
      <c r="BC826">
        <f>'T_SelfStock'!BA42</f>
        <v/>
      </c>
      <c r="BD826">
        <f>'T_SelfStock'!BB42</f>
        <v/>
      </c>
      <c r="BE826">
        <f>'T_SelfStock'!BC42</f>
        <v/>
      </c>
      <c r="BF826">
        <f>'T_SelfStock'!BD42</f>
        <v/>
      </c>
      <c r="BG826">
        <f>'T_SelfStock'!BE42</f>
        <v/>
      </c>
      <c r="BH826">
        <f>'T_SelfStock'!BF42</f>
        <v/>
      </c>
      <c r="BI826">
        <f>'T_SelfStock'!BG42</f>
        <v/>
      </c>
      <c r="BJ826">
        <f>'T_SelfStock'!BH42</f>
        <v/>
      </c>
      <c r="BK826">
        <f>'T_SelfStock'!BI42</f>
        <v/>
      </c>
      <c r="BL826">
        <f>'T_SelfStock'!BJ42</f>
        <v/>
      </c>
      <c r="BM826">
        <f>'T_SelfStock'!BK42</f>
        <v/>
      </c>
      <c r="BN826">
        <f>'T_SelfStock'!BL42</f>
        <v/>
      </c>
      <c r="BO826">
        <f>'T_SelfStock'!BM42</f>
        <v/>
      </c>
      <c r="BP826">
        <f>'T_SelfStock'!BN42</f>
        <v/>
      </c>
      <c r="BQ826">
        <f>'T_SelfStock'!BO42</f>
        <v/>
      </c>
      <c r="BR826">
        <f>'T_SelfStock'!BP42</f>
        <v/>
      </c>
      <c r="BS826">
        <f>'T_SelfStock'!BQ42</f>
        <v/>
      </c>
      <c r="BT826">
        <f>'T_SelfStock'!BR42</f>
        <v/>
      </c>
      <c r="BU826">
        <f>'T_SelfStock'!BS42</f>
        <v/>
      </c>
      <c r="BV826">
        <f>'T_SelfStock'!BT42</f>
        <v/>
      </c>
      <c r="BW826">
        <f>'T_SelfStock'!BU42</f>
        <v/>
      </c>
      <c r="BX826">
        <f>'T_SelfStock'!BV42</f>
        <v/>
      </c>
      <c r="BY826">
        <f>'T_SelfStock'!BW42</f>
        <v/>
      </c>
      <c r="BZ826">
        <f>'T_SelfStock'!BX42</f>
        <v/>
      </c>
      <c r="CA826">
        <f>'T_SelfStock'!BY42</f>
        <v/>
      </c>
      <c r="CB826">
        <f>'T_SelfStock'!BZ42</f>
        <v/>
      </c>
      <c r="CC826">
        <f>'T_SelfStock'!CA42</f>
        <v/>
      </c>
      <c r="CD826">
        <f>'T_SelfStock'!CB42</f>
        <v/>
      </c>
      <c r="CE826">
        <f>'T_SelfStock'!CC42</f>
        <v/>
      </c>
      <c r="CF826">
        <f>'T_SelfStock'!CD42</f>
        <v/>
      </c>
      <c r="CG826">
        <f>'T_SelfStock'!CE42</f>
        <v/>
      </c>
      <c r="CH826">
        <f>'T_SelfStock'!CF42</f>
        <v/>
      </c>
      <c r="CI826">
        <f>'T_SelfStock'!CG42</f>
        <v/>
      </c>
      <c r="CJ826">
        <f>'T_SelfStock'!CH42</f>
        <v/>
      </c>
      <c r="CK826">
        <f>'T_SelfStock'!CI42</f>
        <v/>
      </c>
      <c r="CL826">
        <f>'T_SelfStock'!CJ42</f>
        <v/>
      </c>
      <c r="CM826">
        <f>'T_SelfStock'!CK42</f>
        <v/>
      </c>
      <c r="CN826">
        <f>'T_SelfStock'!CL42</f>
        <v/>
      </c>
      <c r="CO826">
        <f>'T_SelfStock'!CM42</f>
        <v/>
      </c>
      <c r="CP826">
        <f>'T_SelfStock'!CN42</f>
        <v/>
      </c>
      <c r="CQ826">
        <f>'T_SelfStock'!CO42</f>
        <v/>
      </c>
      <c r="CR826">
        <f>'T_SelfStock'!CP42</f>
        <v/>
      </c>
      <c r="CS826">
        <f>'T_SelfStock'!CQ42</f>
        <v/>
      </c>
      <c r="CT826">
        <f>'T_SelfStock'!CR42</f>
        <v/>
      </c>
      <c r="CU826">
        <f>'T_SelfStock'!CS42</f>
        <v/>
      </c>
      <c r="CV826">
        <f>'T_SelfStock'!CT42</f>
        <v/>
      </c>
      <c r="CW826">
        <f>'T_SelfStock'!CU42</f>
        <v/>
      </c>
      <c r="CX826">
        <f>'T_SelfStock'!CV42</f>
        <v/>
      </c>
      <c r="CY826">
        <f>'T_SelfStock'!CW42</f>
        <v/>
      </c>
      <c r="CZ826">
        <f>'T_SelfStock'!CX42</f>
        <v/>
      </c>
      <c r="DA826">
        <f>'T_SelfStock'!CY42</f>
        <v/>
      </c>
      <c r="DB826">
        <f>'T_SelfStock'!CZ42</f>
        <v/>
      </c>
      <c r="DC826">
        <f>'T_SelfStock'!DA42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'Grid_Stock'!B38</f>
        <v/>
      </c>
      <c r="E828">
        <f>'Grid_Stock'!C38</f>
        <v/>
      </c>
      <c r="F828">
        <f>'Grid_Stock'!D38</f>
        <v/>
      </c>
      <c r="G828">
        <f>'Grid_Stock'!E38</f>
        <v/>
      </c>
      <c r="H828">
        <f>'Grid_Stock'!F38</f>
        <v/>
      </c>
      <c r="I828">
        <f>'Grid_Stock'!G38</f>
        <v/>
      </c>
      <c r="J828">
        <f>'Grid_Stock'!H38</f>
        <v/>
      </c>
      <c r="K828">
        <f>'Grid_Stock'!I38</f>
        <v/>
      </c>
      <c r="L828">
        <f>'Grid_Stock'!J38</f>
        <v/>
      </c>
      <c r="M828">
        <f>'Grid_Stock'!K38</f>
        <v/>
      </c>
      <c r="N828">
        <f>'Grid_Stock'!L38</f>
        <v/>
      </c>
      <c r="O828">
        <f>'Grid_Stock'!M38</f>
        <v/>
      </c>
      <c r="P828">
        <f>'Grid_Stock'!N38</f>
        <v/>
      </c>
      <c r="Q828">
        <f>'Grid_Stock'!O38</f>
        <v/>
      </c>
      <c r="R828">
        <f>'Grid_Stock'!P38</f>
        <v/>
      </c>
      <c r="S828">
        <f>'Grid_Stock'!Q38</f>
        <v/>
      </c>
      <c r="T828">
        <f>'Grid_Stock'!R38</f>
        <v/>
      </c>
      <c r="U828">
        <f>'Grid_Stock'!S38</f>
        <v/>
      </c>
      <c r="V828">
        <f>'Grid_Stock'!T38</f>
        <v/>
      </c>
      <c r="W828">
        <f>'Grid_Stock'!U38</f>
        <v/>
      </c>
      <c r="X828">
        <f>'Grid_Stock'!V38</f>
        <v/>
      </c>
      <c r="Y828">
        <f>'Grid_Stock'!W38</f>
        <v/>
      </c>
      <c r="Z828">
        <f>'Grid_Stock'!X38</f>
        <v/>
      </c>
      <c r="AA828">
        <f>'Grid_Stock'!Y38</f>
        <v/>
      </c>
      <c r="AB828">
        <f>'Grid_Stock'!Z38</f>
        <v/>
      </c>
      <c r="AC828">
        <f>'Grid_Stock'!AA38</f>
        <v/>
      </c>
      <c r="AD828">
        <f>'Grid_Stock'!AB38</f>
        <v/>
      </c>
      <c r="AE828">
        <f>'Grid_Stock'!AC38</f>
        <v/>
      </c>
      <c r="AF828">
        <f>'Grid_Stock'!AD38</f>
        <v/>
      </c>
      <c r="AG828">
        <f>'Grid_Stock'!AE38</f>
        <v/>
      </c>
      <c r="AH828">
        <f>'Grid_Stock'!AF38</f>
        <v/>
      </c>
      <c r="AI828">
        <f>'Grid_Stock'!AG38</f>
        <v/>
      </c>
      <c r="AJ828">
        <f>'Grid_Stock'!AH38</f>
        <v/>
      </c>
      <c r="AK828">
        <f>'Grid_Stock'!AI38</f>
        <v/>
      </c>
      <c r="AL828">
        <f>'Grid_Stock'!AJ38</f>
        <v/>
      </c>
      <c r="AM828">
        <f>'Grid_Stock'!AK38</f>
        <v/>
      </c>
      <c r="AN828">
        <f>'Grid_Stock'!AL38</f>
        <v/>
      </c>
      <c r="AO828">
        <f>'Grid_Stock'!AM38</f>
        <v/>
      </c>
      <c r="AP828">
        <f>'Grid_Stock'!AN38</f>
        <v/>
      </c>
      <c r="AQ828">
        <f>'Grid_Stock'!AO38</f>
        <v/>
      </c>
      <c r="AR828">
        <f>'Grid_Stock'!AP38</f>
        <v/>
      </c>
      <c r="AS828">
        <f>'Grid_Stock'!AQ38</f>
        <v/>
      </c>
      <c r="AT828">
        <f>'Grid_Stock'!AR38</f>
        <v/>
      </c>
      <c r="AU828">
        <f>'Grid_Stock'!AS38</f>
        <v/>
      </c>
      <c r="AV828">
        <f>'Grid_Stock'!AT38</f>
        <v/>
      </c>
      <c r="AW828">
        <f>'Grid_Stock'!AU38</f>
        <v/>
      </c>
      <c r="AX828">
        <f>'Grid_Stock'!AV38</f>
        <v/>
      </c>
      <c r="AY828">
        <f>'Grid_Stock'!AW38</f>
        <v/>
      </c>
      <c r="AZ828">
        <f>'Grid_Stock'!AX38</f>
        <v/>
      </c>
      <c r="BA828">
        <f>'Grid_Stock'!AY38</f>
        <v/>
      </c>
      <c r="BB828">
        <f>'Grid_Stock'!AZ38</f>
        <v/>
      </c>
      <c r="BC828">
        <f>'Grid_Stock'!BA38</f>
        <v/>
      </c>
      <c r="BD828">
        <f>'Grid_Stock'!BB38</f>
        <v/>
      </c>
      <c r="BE828">
        <f>'Grid_Stock'!BC38</f>
        <v/>
      </c>
      <c r="BF828">
        <f>'Grid_Stock'!BD38</f>
        <v/>
      </c>
      <c r="BG828">
        <f>'Grid_Stock'!BE38</f>
        <v/>
      </c>
      <c r="BH828">
        <f>'Grid_Stock'!BF38</f>
        <v/>
      </c>
      <c r="BI828">
        <f>'Grid_Stock'!BG38</f>
        <v/>
      </c>
      <c r="BJ828">
        <f>'Grid_Stock'!BH38</f>
        <v/>
      </c>
      <c r="BK828">
        <f>'Grid_Stock'!BI38</f>
        <v/>
      </c>
      <c r="BL828">
        <f>'Grid_Stock'!BJ38</f>
        <v/>
      </c>
      <c r="BM828">
        <f>'Grid_Stock'!BK38</f>
        <v/>
      </c>
      <c r="BN828">
        <f>'Grid_Stock'!BL38</f>
        <v/>
      </c>
      <c r="BO828">
        <f>'Grid_Stock'!BM38</f>
        <v/>
      </c>
      <c r="BP828">
        <f>'Grid_Stock'!BN38</f>
        <v/>
      </c>
      <c r="BQ828">
        <f>'Grid_Stock'!BO38</f>
        <v/>
      </c>
      <c r="BR828">
        <f>'Grid_Stock'!BP38</f>
        <v/>
      </c>
      <c r="BS828">
        <f>'Grid_Stock'!BQ38</f>
        <v/>
      </c>
      <c r="BT828">
        <f>'Grid_Stock'!BR38</f>
        <v/>
      </c>
      <c r="BU828">
        <f>'Grid_Stock'!BS38</f>
        <v/>
      </c>
      <c r="BV828">
        <f>'Grid_Stock'!BT38</f>
        <v/>
      </c>
      <c r="BW828">
        <f>'Grid_Stock'!BU38</f>
        <v/>
      </c>
      <c r="BX828">
        <f>'Grid_Stock'!BV38</f>
        <v/>
      </c>
      <c r="BY828">
        <f>'Grid_Stock'!BW38</f>
        <v/>
      </c>
      <c r="BZ828">
        <f>'Grid_Stock'!BX38</f>
        <v/>
      </c>
      <c r="CA828">
        <f>'Grid_Stock'!BY38</f>
        <v/>
      </c>
      <c r="CB828">
        <f>'Grid_Stock'!BZ38</f>
        <v/>
      </c>
      <c r="CC828">
        <f>'Grid_Stock'!CA38</f>
        <v/>
      </c>
      <c r="CD828">
        <f>'Grid_Stock'!CB38</f>
        <v/>
      </c>
      <c r="CE828">
        <f>'Grid_Stock'!CC38</f>
        <v/>
      </c>
      <c r="CF828">
        <f>'Grid_Stock'!CD38</f>
        <v/>
      </c>
      <c r="CG828">
        <f>'Grid_Stock'!CE38</f>
        <v/>
      </c>
      <c r="CH828">
        <f>'Grid_Stock'!CF38</f>
        <v/>
      </c>
      <c r="CI828">
        <f>'Grid_Stock'!CG38</f>
        <v/>
      </c>
      <c r="CJ828">
        <f>'Grid_Stock'!CH38</f>
        <v/>
      </c>
      <c r="CK828">
        <f>'Grid_Stock'!CI38</f>
        <v/>
      </c>
      <c r="CL828">
        <f>'Grid_Stock'!CJ38</f>
        <v/>
      </c>
      <c r="CM828">
        <f>'Grid_Stock'!CK38</f>
        <v/>
      </c>
      <c r="CN828">
        <f>'Grid_Stock'!CL38</f>
        <v/>
      </c>
      <c r="CO828">
        <f>'Grid_Stock'!CM38</f>
        <v/>
      </c>
      <c r="CP828">
        <f>'Grid_Stock'!CN38</f>
        <v/>
      </c>
      <c r="CQ828">
        <f>'Grid_Stock'!CO38</f>
        <v/>
      </c>
      <c r="CR828">
        <f>'Grid_Stock'!CP38</f>
        <v/>
      </c>
      <c r="CS828">
        <f>'Grid_Stock'!CQ38</f>
        <v/>
      </c>
      <c r="CT828">
        <f>'Grid_Stock'!CR38</f>
        <v/>
      </c>
      <c r="CU828">
        <f>'Grid_Stock'!CS38</f>
        <v/>
      </c>
      <c r="CV828">
        <f>'Grid_Stock'!CT38</f>
        <v/>
      </c>
      <c r="CW828">
        <f>'Grid_Stock'!CU38</f>
        <v/>
      </c>
      <c r="CX828">
        <f>'Grid_Stock'!CV38</f>
        <v/>
      </c>
      <c r="CY828">
        <f>'Grid_Stock'!CW38</f>
        <v/>
      </c>
      <c r="CZ828">
        <f>'Grid_Stock'!CX38</f>
        <v/>
      </c>
      <c r="DA828">
        <f>'Grid_Stock'!CY38</f>
        <v/>
      </c>
      <c r="DB828">
        <f>'Grid_Stock'!CZ38</f>
        <v/>
      </c>
      <c r="DC828">
        <f>'Grid_Stock'!DA38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'Grid_Requirement'!B39</f>
        <v/>
      </c>
      <c r="E870">
        <f>'Grid_Requirement'!C39</f>
        <v/>
      </c>
      <c r="F870">
        <f>'Grid_Requirement'!D39</f>
        <v/>
      </c>
      <c r="G870">
        <f>'Grid_Requirement'!E39</f>
        <v/>
      </c>
      <c r="H870">
        <f>'Grid_Requirement'!F39</f>
        <v/>
      </c>
      <c r="I870">
        <f>'Grid_Requirement'!G39</f>
        <v/>
      </c>
      <c r="J870">
        <f>'Grid_Requirement'!H39</f>
        <v/>
      </c>
      <c r="K870">
        <f>'Grid_Requirement'!I39</f>
        <v/>
      </c>
      <c r="L870">
        <f>'Grid_Requirement'!J39</f>
        <v/>
      </c>
      <c r="M870">
        <f>'Grid_Requirement'!K39</f>
        <v/>
      </c>
      <c r="N870">
        <f>'Grid_Requirement'!L39</f>
        <v/>
      </c>
      <c r="O870">
        <f>'Grid_Requirement'!M39</f>
        <v/>
      </c>
      <c r="P870">
        <f>'Grid_Requirement'!N39</f>
        <v/>
      </c>
      <c r="Q870">
        <f>'Grid_Requirement'!O39</f>
        <v/>
      </c>
      <c r="R870">
        <f>'Grid_Requirement'!P39</f>
        <v/>
      </c>
      <c r="S870">
        <f>'Grid_Requirement'!Q39</f>
        <v/>
      </c>
      <c r="T870">
        <f>'Grid_Requirement'!R39</f>
        <v/>
      </c>
      <c r="U870">
        <f>'Grid_Requirement'!S39</f>
        <v/>
      </c>
      <c r="V870">
        <f>'Grid_Requirement'!T39</f>
        <v/>
      </c>
      <c r="W870">
        <f>'Grid_Requirement'!U39</f>
        <v/>
      </c>
      <c r="X870">
        <f>'Grid_Requirement'!V39</f>
        <v/>
      </c>
      <c r="Y870">
        <f>'Grid_Requirement'!W39</f>
        <v/>
      </c>
      <c r="Z870">
        <f>'Grid_Requirement'!X39</f>
        <v/>
      </c>
      <c r="AA870">
        <f>'Grid_Requirement'!Y39</f>
        <v/>
      </c>
      <c r="AB870">
        <f>'Grid_Requirement'!Z39</f>
        <v/>
      </c>
      <c r="AC870">
        <f>'Grid_Requirement'!AA39</f>
        <v/>
      </c>
      <c r="AD870">
        <f>'Grid_Requirement'!AB39</f>
        <v/>
      </c>
      <c r="AE870">
        <f>'Grid_Requirement'!AC39</f>
        <v/>
      </c>
      <c r="AF870">
        <f>'Grid_Requirement'!AD39</f>
        <v/>
      </c>
      <c r="AG870">
        <f>'Grid_Requirement'!AE39</f>
        <v/>
      </c>
      <c r="AH870">
        <f>'Grid_Requirement'!AF39</f>
        <v/>
      </c>
      <c r="AI870">
        <f>'Grid_Requirement'!AG39</f>
        <v/>
      </c>
      <c r="AJ870">
        <f>'Grid_Requirement'!AH39</f>
        <v/>
      </c>
      <c r="AK870">
        <f>'Grid_Requirement'!AI39</f>
        <v/>
      </c>
      <c r="AL870">
        <f>'Grid_Requirement'!AJ39</f>
        <v/>
      </c>
      <c r="AM870">
        <f>'Grid_Requirement'!AK39</f>
        <v/>
      </c>
      <c r="AN870">
        <f>'Grid_Requirement'!AL39</f>
        <v/>
      </c>
      <c r="AO870">
        <f>'Grid_Requirement'!AM39</f>
        <v/>
      </c>
      <c r="AP870">
        <f>'Grid_Requirement'!AN39</f>
        <v/>
      </c>
      <c r="AQ870">
        <f>'Grid_Requirement'!AO39</f>
        <v/>
      </c>
      <c r="AR870">
        <f>'Grid_Requirement'!AP39</f>
        <v/>
      </c>
      <c r="AS870">
        <f>'Grid_Requirement'!AQ39</f>
        <v/>
      </c>
      <c r="AT870">
        <f>'Grid_Requirement'!AR39</f>
        <v/>
      </c>
      <c r="AU870">
        <f>'Grid_Requirement'!AS39</f>
        <v/>
      </c>
      <c r="AV870">
        <f>'Grid_Requirement'!AT39</f>
        <v/>
      </c>
      <c r="AW870">
        <f>'Grid_Requirement'!AU39</f>
        <v/>
      </c>
      <c r="AX870">
        <f>'Grid_Requirement'!AV39</f>
        <v/>
      </c>
      <c r="AY870">
        <f>'Grid_Requirement'!AW39</f>
        <v/>
      </c>
      <c r="AZ870">
        <f>'Grid_Requirement'!AX39</f>
        <v/>
      </c>
      <c r="BA870">
        <f>'Grid_Requirement'!AY39</f>
        <v/>
      </c>
      <c r="BB870">
        <f>'Grid_Requirement'!AZ39</f>
        <v/>
      </c>
      <c r="BC870">
        <f>'Grid_Requirement'!BA39</f>
        <v/>
      </c>
      <c r="BD870">
        <f>'Grid_Requirement'!BB39</f>
        <v/>
      </c>
      <c r="BE870">
        <f>'Grid_Requirement'!BC39</f>
        <v/>
      </c>
      <c r="BF870">
        <f>'Grid_Requirement'!BD39</f>
        <v/>
      </c>
      <c r="BG870">
        <f>'Grid_Requirement'!BE39</f>
        <v/>
      </c>
      <c r="BH870">
        <f>'Grid_Requirement'!BF39</f>
        <v/>
      </c>
      <c r="BI870">
        <f>'Grid_Requirement'!BG39</f>
        <v/>
      </c>
      <c r="BJ870">
        <f>'Grid_Requirement'!BH39</f>
        <v/>
      </c>
      <c r="BK870">
        <f>'Grid_Requirement'!BI39</f>
        <v/>
      </c>
      <c r="BL870">
        <f>'Grid_Requirement'!BJ39</f>
        <v/>
      </c>
      <c r="BM870">
        <f>'Grid_Requirement'!BK39</f>
        <v/>
      </c>
      <c r="BN870">
        <f>'Grid_Requirement'!BL39</f>
        <v/>
      </c>
      <c r="BO870">
        <f>'Grid_Requirement'!BM39</f>
        <v/>
      </c>
      <c r="BP870">
        <f>'Grid_Requirement'!BN39</f>
        <v/>
      </c>
      <c r="BQ870">
        <f>'Grid_Requirement'!BO39</f>
        <v/>
      </c>
      <c r="BR870">
        <f>'Grid_Requirement'!BP39</f>
        <v/>
      </c>
      <c r="BS870">
        <f>'Grid_Requirement'!BQ39</f>
        <v/>
      </c>
      <c r="BT870">
        <f>'Grid_Requirement'!BR39</f>
        <v/>
      </c>
      <c r="BU870">
        <f>'Grid_Requirement'!BS39</f>
        <v/>
      </c>
      <c r="BV870">
        <f>'Grid_Requirement'!BT39</f>
        <v/>
      </c>
      <c r="BW870">
        <f>'Grid_Requirement'!BU39</f>
        <v/>
      </c>
      <c r="BX870">
        <f>'Grid_Requirement'!BV39</f>
        <v/>
      </c>
      <c r="BY870">
        <f>'Grid_Requirement'!BW39</f>
        <v/>
      </c>
      <c r="BZ870">
        <f>'Grid_Requirement'!BX39</f>
        <v/>
      </c>
      <c r="CA870">
        <f>'Grid_Requirement'!BY39</f>
        <v/>
      </c>
      <c r="CB870">
        <f>'Grid_Requirement'!BZ39</f>
        <v/>
      </c>
      <c r="CC870">
        <f>'Grid_Requirement'!CA39</f>
        <v/>
      </c>
      <c r="CD870">
        <f>'Grid_Requirement'!CB39</f>
        <v/>
      </c>
      <c r="CE870">
        <f>'Grid_Requirement'!CC39</f>
        <v/>
      </c>
      <c r="CF870">
        <f>'Grid_Requirement'!CD39</f>
        <v/>
      </c>
      <c r="CG870">
        <f>'Grid_Requirement'!CE39</f>
        <v/>
      </c>
      <c r="CH870">
        <f>'Grid_Requirement'!CF39</f>
        <v/>
      </c>
      <c r="CI870">
        <f>'Grid_Requirement'!CG39</f>
        <v/>
      </c>
      <c r="CJ870">
        <f>'Grid_Requirement'!CH39</f>
        <v/>
      </c>
      <c r="CK870">
        <f>'Grid_Requirement'!CI39</f>
        <v/>
      </c>
      <c r="CL870">
        <f>'Grid_Requirement'!CJ39</f>
        <v/>
      </c>
      <c r="CM870">
        <f>'Grid_Requirement'!CK39</f>
        <v/>
      </c>
      <c r="CN870">
        <f>'Grid_Requirement'!CL39</f>
        <v/>
      </c>
      <c r="CO870">
        <f>'Grid_Requirement'!CM39</f>
        <v/>
      </c>
      <c r="CP870">
        <f>'Grid_Requirement'!CN39</f>
        <v/>
      </c>
      <c r="CQ870">
        <f>'Grid_Requirement'!CO39</f>
        <v/>
      </c>
      <c r="CR870">
        <f>'Grid_Requirement'!CP39</f>
        <v/>
      </c>
      <c r="CS870">
        <f>'Grid_Requirement'!CQ39</f>
        <v/>
      </c>
      <c r="CT870">
        <f>'Grid_Requirement'!CR39</f>
        <v/>
      </c>
      <c r="CU870">
        <f>'Grid_Requirement'!CS39</f>
        <v/>
      </c>
      <c r="CV870">
        <f>'Grid_Requirement'!CT39</f>
        <v/>
      </c>
      <c r="CW870">
        <f>'Grid_Requirement'!CU39</f>
        <v/>
      </c>
      <c r="CX870">
        <f>'Grid_Requirement'!CV39</f>
        <v/>
      </c>
      <c r="CY870">
        <f>'Grid_Requirement'!CW39</f>
        <v/>
      </c>
      <c r="CZ870">
        <f>'Grid_Requirement'!CX39</f>
        <v/>
      </c>
      <c r="DA870">
        <f>'Grid_Requirement'!CY39</f>
        <v/>
      </c>
      <c r="DB870">
        <f>'Grid_Requirement'!CZ39</f>
        <v/>
      </c>
      <c r="DC870">
        <f>'Grid_Requirement'!DA39</f>
        <v/>
      </c>
    </row>
    <row r="871">
      <c r="B871" t="inlineStr">
        <is>
          <t>TTAF在庫(実績,kg)</t>
        </is>
      </c>
      <c r="D871">
        <f>'T_TTAFStock'!B43</f>
        <v/>
      </c>
      <c r="E871">
        <f>'T_TTAFStock'!C43</f>
        <v/>
      </c>
      <c r="F871">
        <f>'T_TTAFStock'!D43</f>
        <v/>
      </c>
      <c r="G871">
        <f>'T_TTAFStock'!E43</f>
        <v/>
      </c>
      <c r="H871">
        <f>'T_TTAFStock'!F43</f>
        <v/>
      </c>
      <c r="I871">
        <f>'T_TTAFStock'!G43</f>
        <v/>
      </c>
      <c r="J871">
        <f>'T_TTAFStock'!H43</f>
        <v/>
      </c>
      <c r="K871">
        <f>'T_TTAFStock'!I43</f>
        <v/>
      </c>
      <c r="L871">
        <f>'T_TTAFStock'!J43</f>
        <v/>
      </c>
      <c r="M871">
        <f>'T_TTAFStock'!K43</f>
        <v/>
      </c>
      <c r="N871">
        <f>'T_TTAFStock'!L43</f>
        <v/>
      </c>
      <c r="O871">
        <f>'T_TTAFStock'!M43</f>
        <v/>
      </c>
      <c r="P871">
        <f>'T_TTAFStock'!N43</f>
        <v/>
      </c>
      <c r="Q871">
        <f>'T_TTAFStock'!O43</f>
        <v/>
      </c>
      <c r="R871">
        <f>'T_TTAFStock'!P43</f>
        <v/>
      </c>
      <c r="S871">
        <f>'T_TTAFStock'!Q43</f>
        <v/>
      </c>
      <c r="T871">
        <f>'T_TTAFStock'!R43</f>
        <v/>
      </c>
      <c r="U871">
        <f>'T_TTAFStock'!S43</f>
        <v/>
      </c>
      <c r="V871">
        <f>'T_TTAFStock'!T43</f>
        <v/>
      </c>
      <c r="W871">
        <f>'T_TTAFStock'!U43</f>
        <v/>
      </c>
      <c r="X871">
        <f>'T_TTAFStock'!V43</f>
        <v/>
      </c>
      <c r="Y871">
        <f>'T_TTAFStock'!W43</f>
        <v/>
      </c>
      <c r="Z871">
        <f>'T_TTAFStock'!X43</f>
        <v/>
      </c>
      <c r="AA871">
        <f>'T_TTAFStock'!Y43</f>
        <v/>
      </c>
      <c r="AB871">
        <f>'T_TTAFStock'!Z43</f>
        <v/>
      </c>
      <c r="AC871">
        <f>'T_TTAFStock'!AA43</f>
        <v/>
      </c>
      <c r="AD871">
        <f>'T_TTAFStock'!AB43</f>
        <v/>
      </c>
      <c r="AE871">
        <f>'T_TTAFStock'!AC43</f>
        <v/>
      </c>
      <c r="AF871">
        <f>'T_TTAFStock'!AD43</f>
        <v/>
      </c>
      <c r="AG871">
        <f>'T_TTAFStock'!AE43</f>
        <v/>
      </c>
      <c r="AH871">
        <f>'T_TTAFStock'!AF43</f>
        <v/>
      </c>
      <c r="AI871">
        <f>'T_TTAFStock'!AG43</f>
        <v/>
      </c>
      <c r="AJ871">
        <f>'T_TTAFStock'!AH43</f>
        <v/>
      </c>
      <c r="AK871">
        <f>'T_TTAFStock'!AI43</f>
        <v/>
      </c>
      <c r="AL871">
        <f>'T_TTAFStock'!AJ43</f>
        <v/>
      </c>
      <c r="AM871">
        <f>'T_TTAFStock'!AK43</f>
        <v/>
      </c>
      <c r="AN871">
        <f>'T_TTAFStock'!AL43</f>
        <v/>
      </c>
      <c r="AO871">
        <f>'T_TTAFStock'!AM43</f>
        <v/>
      </c>
      <c r="AP871">
        <f>'T_TTAFStock'!AN43</f>
        <v/>
      </c>
      <c r="AQ871">
        <f>'T_TTAFStock'!AO43</f>
        <v/>
      </c>
      <c r="AR871">
        <f>'T_TTAFStock'!AP43</f>
        <v/>
      </c>
      <c r="AS871">
        <f>'T_TTAFStock'!AQ43</f>
        <v/>
      </c>
      <c r="AT871">
        <f>'T_TTAFStock'!AR43</f>
        <v/>
      </c>
      <c r="AU871">
        <f>'T_TTAFStock'!AS43</f>
        <v/>
      </c>
      <c r="AV871">
        <f>'T_TTAFStock'!AT43</f>
        <v/>
      </c>
      <c r="AW871">
        <f>'T_TTAFStock'!AU43</f>
        <v/>
      </c>
      <c r="AX871">
        <f>'T_TTAFStock'!AV43</f>
        <v/>
      </c>
      <c r="AY871">
        <f>'T_TTAFStock'!AW43</f>
        <v/>
      </c>
      <c r="AZ871">
        <f>'T_TTAFStock'!AX43</f>
        <v/>
      </c>
      <c r="BA871">
        <f>'T_TTAFStock'!AY43</f>
        <v/>
      </c>
      <c r="BB871">
        <f>'T_TTAFStock'!AZ43</f>
        <v/>
      </c>
      <c r="BC871">
        <f>'T_TTAFStock'!BA43</f>
        <v/>
      </c>
      <c r="BD871">
        <f>'T_TTAFStock'!BB43</f>
        <v/>
      </c>
      <c r="BE871">
        <f>'T_TTAFStock'!BC43</f>
        <v/>
      </c>
      <c r="BF871">
        <f>'T_TTAFStock'!BD43</f>
        <v/>
      </c>
      <c r="BG871">
        <f>'T_TTAFStock'!BE43</f>
        <v/>
      </c>
      <c r="BH871">
        <f>'T_TTAFStock'!BF43</f>
        <v/>
      </c>
      <c r="BI871">
        <f>'T_TTAFStock'!BG43</f>
        <v/>
      </c>
      <c r="BJ871">
        <f>'T_TTAFStock'!BH43</f>
        <v/>
      </c>
      <c r="BK871">
        <f>'T_TTAFStock'!BI43</f>
        <v/>
      </c>
      <c r="BL871">
        <f>'T_TTAFStock'!BJ43</f>
        <v/>
      </c>
      <c r="BM871">
        <f>'T_TTAFStock'!BK43</f>
        <v/>
      </c>
      <c r="BN871">
        <f>'T_TTAFStock'!BL43</f>
        <v/>
      </c>
      <c r="BO871">
        <f>'T_TTAFStock'!BM43</f>
        <v/>
      </c>
      <c r="BP871">
        <f>'T_TTAFStock'!BN43</f>
        <v/>
      </c>
      <c r="BQ871">
        <f>'T_TTAFStock'!BO43</f>
        <v/>
      </c>
      <c r="BR871">
        <f>'T_TTAFStock'!BP43</f>
        <v/>
      </c>
      <c r="BS871">
        <f>'T_TTAFStock'!BQ43</f>
        <v/>
      </c>
      <c r="BT871">
        <f>'T_TTAFStock'!BR43</f>
        <v/>
      </c>
      <c r="BU871">
        <f>'T_TTAFStock'!BS43</f>
        <v/>
      </c>
      <c r="BV871">
        <f>'T_TTAFStock'!BT43</f>
        <v/>
      </c>
      <c r="BW871">
        <f>'T_TTAFStock'!BU43</f>
        <v/>
      </c>
      <c r="BX871">
        <f>'T_TTAFStock'!BV43</f>
        <v/>
      </c>
      <c r="BY871">
        <f>'T_TTAFStock'!BW43</f>
        <v/>
      </c>
      <c r="BZ871">
        <f>'T_TTAFStock'!BX43</f>
        <v/>
      </c>
      <c r="CA871">
        <f>'T_TTAFStock'!BY43</f>
        <v/>
      </c>
      <c r="CB871">
        <f>'T_TTAFStock'!BZ43</f>
        <v/>
      </c>
      <c r="CC871">
        <f>'T_TTAFStock'!CA43</f>
        <v/>
      </c>
      <c r="CD871">
        <f>'T_TTAFStock'!CB43</f>
        <v/>
      </c>
      <c r="CE871">
        <f>'T_TTAFStock'!CC43</f>
        <v/>
      </c>
      <c r="CF871">
        <f>'T_TTAFStock'!CD43</f>
        <v/>
      </c>
      <c r="CG871">
        <f>'T_TTAFStock'!CE43</f>
        <v/>
      </c>
      <c r="CH871">
        <f>'T_TTAFStock'!CF43</f>
        <v/>
      </c>
      <c r="CI871">
        <f>'T_TTAFStock'!CG43</f>
        <v/>
      </c>
      <c r="CJ871">
        <f>'T_TTAFStock'!CH43</f>
        <v/>
      </c>
      <c r="CK871">
        <f>'T_TTAFStock'!CI43</f>
        <v/>
      </c>
      <c r="CL871">
        <f>'T_TTAFStock'!CJ43</f>
        <v/>
      </c>
      <c r="CM871">
        <f>'T_TTAFStock'!CK43</f>
        <v/>
      </c>
      <c r="CN871">
        <f>'T_TTAFStock'!CL43</f>
        <v/>
      </c>
      <c r="CO871">
        <f>'T_TTAFStock'!CM43</f>
        <v/>
      </c>
      <c r="CP871">
        <f>'T_TTAFStock'!CN43</f>
        <v/>
      </c>
      <c r="CQ871">
        <f>'T_TTAFStock'!CO43</f>
        <v/>
      </c>
      <c r="CR871">
        <f>'T_TTAFStock'!CP43</f>
        <v/>
      </c>
      <c r="CS871">
        <f>'T_TTAFStock'!CQ43</f>
        <v/>
      </c>
      <c r="CT871">
        <f>'T_TTAFStock'!CR43</f>
        <v/>
      </c>
      <c r="CU871">
        <f>'T_TTAFStock'!CS43</f>
        <v/>
      </c>
      <c r="CV871">
        <f>'T_TTAFStock'!CT43</f>
        <v/>
      </c>
      <c r="CW871">
        <f>'T_TTAFStock'!CU43</f>
        <v/>
      </c>
      <c r="CX871">
        <f>'T_TTAFStock'!CV43</f>
        <v/>
      </c>
      <c r="CY871">
        <f>'T_TTAFStock'!CW43</f>
        <v/>
      </c>
      <c r="CZ871">
        <f>'T_TTAFStock'!CX43</f>
        <v/>
      </c>
      <c r="DA871">
        <f>'T_TTAFStock'!CY43</f>
        <v/>
      </c>
      <c r="DB871">
        <f>'T_TTAFStock'!CZ43</f>
        <v/>
      </c>
      <c r="DC871">
        <f>'T_TTAFStock'!DA43</f>
        <v/>
      </c>
    </row>
    <row r="872">
      <c r="B872" t="inlineStr">
        <is>
          <t>自社在庫(実績,kg)</t>
        </is>
      </c>
      <c r="D872">
        <f>'T_SelfStock'!B43</f>
        <v/>
      </c>
      <c r="E872">
        <f>'T_SelfStock'!C43</f>
        <v/>
      </c>
      <c r="F872">
        <f>'T_SelfStock'!D43</f>
        <v/>
      </c>
      <c r="G872">
        <f>'T_SelfStock'!E43</f>
        <v/>
      </c>
      <c r="H872">
        <f>'T_SelfStock'!F43</f>
        <v/>
      </c>
      <c r="I872">
        <f>'T_SelfStock'!G43</f>
        <v/>
      </c>
      <c r="J872">
        <f>'T_SelfStock'!H43</f>
        <v/>
      </c>
      <c r="K872">
        <f>'T_SelfStock'!I43</f>
        <v/>
      </c>
      <c r="L872">
        <f>'T_SelfStock'!J43</f>
        <v/>
      </c>
      <c r="M872">
        <f>'T_SelfStock'!K43</f>
        <v/>
      </c>
      <c r="N872">
        <f>'T_SelfStock'!L43</f>
        <v/>
      </c>
      <c r="O872">
        <f>'T_SelfStock'!M43</f>
        <v/>
      </c>
      <c r="P872">
        <f>'T_SelfStock'!N43</f>
        <v/>
      </c>
      <c r="Q872">
        <f>'T_SelfStock'!O43</f>
        <v/>
      </c>
      <c r="R872">
        <f>'T_SelfStock'!P43</f>
        <v/>
      </c>
      <c r="S872">
        <f>'T_SelfStock'!Q43</f>
        <v/>
      </c>
      <c r="T872">
        <f>'T_SelfStock'!R43</f>
        <v/>
      </c>
      <c r="U872">
        <f>'T_SelfStock'!S43</f>
        <v/>
      </c>
      <c r="V872">
        <f>'T_SelfStock'!T43</f>
        <v/>
      </c>
      <c r="W872">
        <f>'T_SelfStock'!U43</f>
        <v/>
      </c>
      <c r="X872">
        <f>'T_SelfStock'!V43</f>
        <v/>
      </c>
      <c r="Y872">
        <f>'T_SelfStock'!W43</f>
        <v/>
      </c>
      <c r="Z872">
        <f>'T_SelfStock'!X43</f>
        <v/>
      </c>
      <c r="AA872">
        <f>'T_SelfStock'!Y43</f>
        <v/>
      </c>
      <c r="AB872">
        <f>'T_SelfStock'!Z43</f>
        <v/>
      </c>
      <c r="AC872">
        <f>'T_SelfStock'!AA43</f>
        <v/>
      </c>
      <c r="AD872">
        <f>'T_SelfStock'!AB43</f>
        <v/>
      </c>
      <c r="AE872">
        <f>'T_SelfStock'!AC43</f>
        <v/>
      </c>
      <c r="AF872">
        <f>'T_SelfStock'!AD43</f>
        <v/>
      </c>
      <c r="AG872">
        <f>'T_SelfStock'!AE43</f>
        <v/>
      </c>
      <c r="AH872">
        <f>'T_SelfStock'!AF43</f>
        <v/>
      </c>
      <c r="AI872">
        <f>'T_SelfStock'!AG43</f>
        <v/>
      </c>
      <c r="AJ872">
        <f>'T_SelfStock'!AH43</f>
        <v/>
      </c>
      <c r="AK872">
        <f>'T_SelfStock'!AI43</f>
        <v/>
      </c>
      <c r="AL872">
        <f>'T_SelfStock'!AJ43</f>
        <v/>
      </c>
      <c r="AM872">
        <f>'T_SelfStock'!AK43</f>
        <v/>
      </c>
      <c r="AN872">
        <f>'T_SelfStock'!AL43</f>
        <v/>
      </c>
      <c r="AO872">
        <f>'T_SelfStock'!AM43</f>
        <v/>
      </c>
      <c r="AP872">
        <f>'T_SelfStock'!AN43</f>
        <v/>
      </c>
      <c r="AQ872">
        <f>'T_SelfStock'!AO43</f>
        <v/>
      </c>
      <c r="AR872">
        <f>'T_SelfStock'!AP43</f>
        <v/>
      </c>
      <c r="AS872">
        <f>'T_SelfStock'!AQ43</f>
        <v/>
      </c>
      <c r="AT872">
        <f>'T_SelfStock'!AR43</f>
        <v/>
      </c>
      <c r="AU872">
        <f>'T_SelfStock'!AS43</f>
        <v/>
      </c>
      <c r="AV872">
        <f>'T_SelfStock'!AT43</f>
        <v/>
      </c>
      <c r="AW872">
        <f>'T_SelfStock'!AU43</f>
        <v/>
      </c>
      <c r="AX872">
        <f>'T_SelfStock'!AV43</f>
        <v/>
      </c>
      <c r="AY872">
        <f>'T_SelfStock'!AW43</f>
        <v/>
      </c>
      <c r="AZ872">
        <f>'T_SelfStock'!AX43</f>
        <v/>
      </c>
      <c r="BA872">
        <f>'T_SelfStock'!AY43</f>
        <v/>
      </c>
      <c r="BB872">
        <f>'T_SelfStock'!AZ43</f>
        <v/>
      </c>
      <c r="BC872">
        <f>'T_SelfStock'!BA43</f>
        <v/>
      </c>
      <c r="BD872">
        <f>'T_SelfStock'!BB43</f>
        <v/>
      </c>
      <c r="BE872">
        <f>'T_SelfStock'!BC43</f>
        <v/>
      </c>
      <c r="BF872">
        <f>'T_SelfStock'!BD43</f>
        <v/>
      </c>
      <c r="BG872">
        <f>'T_SelfStock'!BE43</f>
        <v/>
      </c>
      <c r="BH872">
        <f>'T_SelfStock'!BF43</f>
        <v/>
      </c>
      <c r="BI872">
        <f>'T_SelfStock'!BG43</f>
        <v/>
      </c>
      <c r="BJ872">
        <f>'T_SelfStock'!BH43</f>
        <v/>
      </c>
      <c r="BK872">
        <f>'T_SelfStock'!BI43</f>
        <v/>
      </c>
      <c r="BL872">
        <f>'T_SelfStock'!BJ43</f>
        <v/>
      </c>
      <c r="BM872">
        <f>'T_SelfStock'!BK43</f>
        <v/>
      </c>
      <c r="BN872">
        <f>'T_SelfStock'!BL43</f>
        <v/>
      </c>
      <c r="BO872">
        <f>'T_SelfStock'!BM43</f>
        <v/>
      </c>
      <c r="BP872">
        <f>'T_SelfStock'!BN43</f>
        <v/>
      </c>
      <c r="BQ872">
        <f>'T_SelfStock'!BO43</f>
        <v/>
      </c>
      <c r="BR872">
        <f>'T_SelfStock'!BP43</f>
        <v/>
      </c>
      <c r="BS872">
        <f>'T_SelfStock'!BQ43</f>
        <v/>
      </c>
      <c r="BT872">
        <f>'T_SelfStock'!BR43</f>
        <v/>
      </c>
      <c r="BU872">
        <f>'T_SelfStock'!BS43</f>
        <v/>
      </c>
      <c r="BV872">
        <f>'T_SelfStock'!BT43</f>
        <v/>
      </c>
      <c r="BW872">
        <f>'T_SelfStock'!BU43</f>
        <v/>
      </c>
      <c r="BX872">
        <f>'T_SelfStock'!BV43</f>
        <v/>
      </c>
      <c r="BY872">
        <f>'T_SelfStock'!BW43</f>
        <v/>
      </c>
      <c r="BZ872">
        <f>'T_SelfStock'!BX43</f>
        <v/>
      </c>
      <c r="CA872">
        <f>'T_SelfStock'!BY43</f>
        <v/>
      </c>
      <c r="CB872">
        <f>'T_SelfStock'!BZ43</f>
        <v/>
      </c>
      <c r="CC872">
        <f>'T_SelfStock'!CA43</f>
        <v/>
      </c>
      <c r="CD872">
        <f>'T_SelfStock'!CB43</f>
        <v/>
      </c>
      <c r="CE872">
        <f>'T_SelfStock'!CC43</f>
        <v/>
      </c>
      <c r="CF872">
        <f>'T_SelfStock'!CD43</f>
        <v/>
      </c>
      <c r="CG872">
        <f>'T_SelfStock'!CE43</f>
        <v/>
      </c>
      <c r="CH872">
        <f>'T_SelfStock'!CF43</f>
        <v/>
      </c>
      <c r="CI872">
        <f>'T_SelfStock'!CG43</f>
        <v/>
      </c>
      <c r="CJ872">
        <f>'T_SelfStock'!CH43</f>
        <v/>
      </c>
      <c r="CK872">
        <f>'T_SelfStock'!CI43</f>
        <v/>
      </c>
      <c r="CL872">
        <f>'T_SelfStock'!CJ43</f>
        <v/>
      </c>
      <c r="CM872">
        <f>'T_SelfStock'!CK43</f>
        <v/>
      </c>
      <c r="CN872">
        <f>'T_SelfStock'!CL43</f>
        <v/>
      </c>
      <c r="CO872">
        <f>'T_SelfStock'!CM43</f>
        <v/>
      </c>
      <c r="CP872">
        <f>'T_SelfStock'!CN43</f>
        <v/>
      </c>
      <c r="CQ872">
        <f>'T_SelfStock'!CO43</f>
        <v/>
      </c>
      <c r="CR872">
        <f>'T_SelfStock'!CP43</f>
        <v/>
      </c>
      <c r="CS872">
        <f>'T_SelfStock'!CQ43</f>
        <v/>
      </c>
      <c r="CT872">
        <f>'T_SelfStock'!CR43</f>
        <v/>
      </c>
      <c r="CU872">
        <f>'T_SelfStock'!CS43</f>
        <v/>
      </c>
      <c r="CV872">
        <f>'T_SelfStock'!CT43</f>
        <v/>
      </c>
      <c r="CW872">
        <f>'T_SelfStock'!CU43</f>
        <v/>
      </c>
      <c r="CX872">
        <f>'T_SelfStock'!CV43</f>
        <v/>
      </c>
      <c r="CY872">
        <f>'T_SelfStock'!CW43</f>
        <v/>
      </c>
      <c r="CZ872">
        <f>'T_SelfStock'!CX43</f>
        <v/>
      </c>
      <c r="DA872">
        <f>'T_SelfStock'!CY43</f>
        <v/>
      </c>
      <c r="DB872">
        <f>'T_SelfStock'!CZ43</f>
        <v/>
      </c>
      <c r="DC872">
        <f>'T_SelfStock'!DA43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'Grid_Stock'!B39</f>
        <v/>
      </c>
      <c r="E874">
        <f>'Grid_Stock'!C39</f>
        <v/>
      </c>
      <c r="F874">
        <f>'Grid_Stock'!D39</f>
        <v/>
      </c>
      <c r="G874">
        <f>'Grid_Stock'!E39</f>
        <v/>
      </c>
      <c r="H874">
        <f>'Grid_Stock'!F39</f>
        <v/>
      </c>
      <c r="I874">
        <f>'Grid_Stock'!G39</f>
        <v/>
      </c>
      <c r="J874">
        <f>'Grid_Stock'!H39</f>
        <v/>
      </c>
      <c r="K874">
        <f>'Grid_Stock'!I39</f>
        <v/>
      </c>
      <c r="L874">
        <f>'Grid_Stock'!J39</f>
        <v/>
      </c>
      <c r="M874">
        <f>'Grid_Stock'!K39</f>
        <v/>
      </c>
      <c r="N874">
        <f>'Grid_Stock'!L39</f>
        <v/>
      </c>
      <c r="O874">
        <f>'Grid_Stock'!M39</f>
        <v/>
      </c>
      <c r="P874">
        <f>'Grid_Stock'!N39</f>
        <v/>
      </c>
      <c r="Q874">
        <f>'Grid_Stock'!O39</f>
        <v/>
      </c>
      <c r="R874">
        <f>'Grid_Stock'!P39</f>
        <v/>
      </c>
      <c r="S874">
        <f>'Grid_Stock'!Q39</f>
        <v/>
      </c>
      <c r="T874">
        <f>'Grid_Stock'!R39</f>
        <v/>
      </c>
      <c r="U874">
        <f>'Grid_Stock'!S39</f>
        <v/>
      </c>
      <c r="V874">
        <f>'Grid_Stock'!T39</f>
        <v/>
      </c>
      <c r="W874">
        <f>'Grid_Stock'!U39</f>
        <v/>
      </c>
      <c r="X874">
        <f>'Grid_Stock'!V39</f>
        <v/>
      </c>
      <c r="Y874">
        <f>'Grid_Stock'!W39</f>
        <v/>
      </c>
      <c r="Z874">
        <f>'Grid_Stock'!X39</f>
        <v/>
      </c>
      <c r="AA874">
        <f>'Grid_Stock'!Y39</f>
        <v/>
      </c>
      <c r="AB874">
        <f>'Grid_Stock'!Z39</f>
        <v/>
      </c>
      <c r="AC874">
        <f>'Grid_Stock'!AA39</f>
        <v/>
      </c>
      <c r="AD874">
        <f>'Grid_Stock'!AB39</f>
        <v/>
      </c>
      <c r="AE874">
        <f>'Grid_Stock'!AC39</f>
        <v/>
      </c>
      <c r="AF874">
        <f>'Grid_Stock'!AD39</f>
        <v/>
      </c>
      <c r="AG874">
        <f>'Grid_Stock'!AE39</f>
        <v/>
      </c>
      <c r="AH874">
        <f>'Grid_Stock'!AF39</f>
        <v/>
      </c>
      <c r="AI874">
        <f>'Grid_Stock'!AG39</f>
        <v/>
      </c>
      <c r="AJ874">
        <f>'Grid_Stock'!AH39</f>
        <v/>
      </c>
      <c r="AK874">
        <f>'Grid_Stock'!AI39</f>
        <v/>
      </c>
      <c r="AL874">
        <f>'Grid_Stock'!AJ39</f>
        <v/>
      </c>
      <c r="AM874">
        <f>'Grid_Stock'!AK39</f>
        <v/>
      </c>
      <c r="AN874">
        <f>'Grid_Stock'!AL39</f>
        <v/>
      </c>
      <c r="AO874">
        <f>'Grid_Stock'!AM39</f>
        <v/>
      </c>
      <c r="AP874">
        <f>'Grid_Stock'!AN39</f>
        <v/>
      </c>
      <c r="AQ874">
        <f>'Grid_Stock'!AO39</f>
        <v/>
      </c>
      <c r="AR874">
        <f>'Grid_Stock'!AP39</f>
        <v/>
      </c>
      <c r="AS874">
        <f>'Grid_Stock'!AQ39</f>
        <v/>
      </c>
      <c r="AT874">
        <f>'Grid_Stock'!AR39</f>
        <v/>
      </c>
      <c r="AU874">
        <f>'Grid_Stock'!AS39</f>
        <v/>
      </c>
      <c r="AV874">
        <f>'Grid_Stock'!AT39</f>
        <v/>
      </c>
      <c r="AW874">
        <f>'Grid_Stock'!AU39</f>
        <v/>
      </c>
      <c r="AX874">
        <f>'Grid_Stock'!AV39</f>
        <v/>
      </c>
      <c r="AY874">
        <f>'Grid_Stock'!AW39</f>
        <v/>
      </c>
      <c r="AZ874">
        <f>'Grid_Stock'!AX39</f>
        <v/>
      </c>
      <c r="BA874">
        <f>'Grid_Stock'!AY39</f>
        <v/>
      </c>
      <c r="BB874">
        <f>'Grid_Stock'!AZ39</f>
        <v/>
      </c>
      <c r="BC874">
        <f>'Grid_Stock'!BA39</f>
        <v/>
      </c>
      <c r="BD874">
        <f>'Grid_Stock'!BB39</f>
        <v/>
      </c>
      <c r="BE874">
        <f>'Grid_Stock'!BC39</f>
        <v/>
      </c>
      <c r="BF874">
        <f>'Grid_Stock'!BD39</f>
        <v/>
      </c>
      <c r="BG874">
        <f>'Grid_Stock'!BE39</f>
        <v/>
      </c>
      <c r="BH874">
        <f>'Grid_Stock'!BF39</f>
        <v/>
      </c>
      <c r="BI874">
        <f>'Grid_Stock'!BG39</f>
        <v/>
      </c>
      <c r="BJ874">
        <f>'Grid_Stock'!BH39</f>
        <v/>
      </c>
      <c r="BK874">
        <f>'Grid_Stock'!BI39</f>
        <v/>
      </c>
      <c r="BL874">
        <f>'Grid_Stock'!BJ39</f>
        <v/>
      </c>
      <c r="BM874">
        <f>'Grid_Stock'!BK39</f>
        <v/>
      </c>
      <c r="BN874">
        <f>'Grid_Stock'!BL39</f>
        <v/>
      </c>
      <c r="BO874">
        <f>'Grid_Stock'!BM39</f>
        <v/>
      </c>
      <c r="BP874">
        <f>'Grid_Stock'!BN39</f>
        <v/>
      </c>
      <c r="BQ874">
        <f>'Grid_Stock'!BO39</f>
        <v/>
      </c>
      <c r="BR874">
        <f>'Grid_Stock'!BP39</f>
        <v/>
      </c>
      <c r="BS874">
        <f>'Grid_Stock'!BQ39</f>
        <v/>
      </c>
      <c r="BT874">
        <f>'Grid_Stock'!BR39</f>
        <v/>
      </c>
      <c r="BU874">
        <f>'Grid_Stock'!BS39</f>
        <v/>
      </c>
      <c r="BV874">
        <f>'Grid_Stock'!BT39</f>
        <v/>
      </c>
      <c r="BW874">
        <f>'Grid_Stock'!BU39</f>
        <v/>
      </c>
      <c r="BX874">
        <f>'Grid_Stock'!BV39</f>
        <v/>
      </c>
      <c r="BY874">
        <f>'Grid_Stock'!BW39</f>
        <v/>
      </c>
      <c r="BZ874">
        <f>'Grid_Stock'!BX39</f>
        <v/>
      </c>
      <c r="CA874">
        <f>'Grid_Stock'!BY39</f>
        <v/>
      </c>
      <c r="CB874">
        <f>'Grid_Stock'!BZ39</f>
        <v/>
      </c>
      <c r="CC874">
        <f>'Grid_Stock'!CA39</f>
        <v/>
      </c>
      <c r="CD874">
        <f>'Grid_Stock'!CB39</f>
        <v/>
      </c>
      <c r="CE874">
        <f>'Grid_Stock'!CC39</f>
        <v/>
      </c>
      <c r="CF874">
        <f>'Grid_Stock'!CD39</f>
        <v/>
      </c>
      <c r="CG874">
        <f>'Grid_Stock'!CE39</f>
        <v/>
      </c>
      <c r="CH874">
        <f>'Grid_Stock'!CF39</f>
        <v/>
      </c>
      <c r="CI874">
        <f>'Grid_Stock'!CG39</f>
        <v/>
      </c>
      <c r="CJ874">
        <f>'Grid_Stock'!CH39</f>
        <v/>
      </c>
      <c r="CK874">
        <f>'Grid_Stock'!CI39</f>
        <v/>
      </c>
      <c r="CL874">
        <f>'Grid_Stock'!CJ39</f>
        <v/>
      </c>
      <c r="CM874">
        <f>'Grid_Stock'!CK39</f>
        <v/>
      </c>
      <c r="CN874">
        <f>'Grid_Stock'!CL39</f>
        <v/>
      </c>
      <c r="CO874">
        <f>'Grid_Stock'!CM39</f>
        <v/>
      </c>
      <c r="CP874">
        <f>'Grid_Stock'!CN39</f>
        <v/>
      </c>
      <c r="CQ874">
        <f>'Grid_Stock'!CO39</f>
        <v/>
      </c>
      <c r="CR874">
        <f>'Grid_Stock'!CP39</f>
        <v/>
      </c>
      <c r="CS874">
        <f>'Grid_Stock'!CQ39</f>
        <v/>
      </c>
      <c r="CT874">
        <f>'Grid_Stock'!CR39</f>
        <v/>
      </c>
      <c r="CU874">
        <f>'Grid_Stock'!CS39</f>
        <v/>
      </c>
      <c r="CV874">
        <f>'Grid_Stock'!CT39</f>
        <v/>
      </c>
      <c r="CW874">
        <f>'Grid_Stock'!CU39</f>
        <v/>
      </c>
      <c r="CX874">
        <f>'Grid_Stock'!CV39</f>
        <v/>
      </c>
      <c r="CY874">
        <f>'Grid_Stock'!CW39</f>
        <v/>
      </c>
      <c r="CZ874">
        <f>'Grid_Stock'!CX39</f>
        <v/>
      </c>
      <c r="DA874">
        <f>'Grid_Stock'!CY39</f>
        <v/>
      </c>
      <c r="DB874">
        <f>'Grid_Stock'!CZ39</f>
        <v/>
      </c>
      <c r="DC874">
        <f>'Grid_Stock'!DA39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'Grid_Requirement'!B40</f>
        <v/>
      </c>
      <c r="E918">
        <f>'Grid_Requirement'!C40</f>
        <v/>
      </c>
      <c r="F918">
        <f>'Grid_Requirement'!D40</f>
        <v/>
      </c>
      <c r="G918">
        <f>'Grid_Requirement'!E40</f>
        <v/>
      </c>
      <c r="H918">
        <f>'Grid_Requirement'!F40</f>
        <v/>
      </c>
      <c r="I918">
        <f>'Grid_Requirement'!G40</f>
        <v/>
      </c>
      <c r="J918">
        <f>'Grid_Requirement'!H40</f>
        <v/>
      </c>
      <c r="K918">
        <f>'Grid_Requirement'!I40</f>
        <v/>
      </c>
      <c r="L918">
        <f>'Grid_Requirement'!J40</f>
        <v/>
      </c>
      <c r="M918">
        <f>'Grid_Requirement'!K40</f>
        <v/>
      </c>
      <c r="N918">
        <f>'Grid_Requirement'!L40</f>
        <v/>
      </c>
      <c r="O918">
        <f>'Grid_Requirement'!M40</f>
        <v/>
      </c>
      <c r="P918">
        <f>'Grid_Requirement'!N40</f>
        <v/>
      </c>
      <c r="Q918">
        <f>'Grid_Requirement'!O40</f>
        <v/>
      </c>
      <c r="R918">
        <f>'Grid_Requirement'!P40</f>
        <v/>
      </c>
      <c r="S918">
        <f>'Grid_Requirement'!Q40</f>
        <v/>
      </c>
      <c r="T918">
        <f>'Grid_Requirement'!R40</f>
        <v/>
      </c>
      <c r="U918">
        <f>'Grid_Requirement'!S40</f>
        <v/>
      </c>
      <c r="V918">
        <f>'Grid_Requirement'!T40</f>
        <v/>
      </c>
      <c r="W918">
        <f>'Grid_Requirement'!U40</f>
        <v/>
      </c>
      <c r="X918">
        <f>'Grid_Requirement'!V40</f>
        <v/>
      </c>
      <c r="Y918">
        <f>'Grid_Requirement'!W40</f>
        <v/>
      </c>
      <c r="Z918">
        <f>'Grid_Requirement'!X40</f>
        <v/>
      </c>
      <c r="AA918">
        <f>'Grid_Requirement'!Y40</f>
        <v/>
      </c>
      <c r="AB918">
        <f>'Grid_Requirement'!Z40</f>
        <v/>
      </c>
      <c r="AC918">
        <f>'Grid_Requirement'!AA40</f>
        <v/>
      </c>
      <c r="AD918">
        <f>'Grid_Requirement'!AB40</f>
        <v/>
      </c>
      <c r="AE918">
        <f>'Grid_Requirement'!AC40</f>
        <v/>
      </c>
      <c r="AF918">
        <f>'Grid_Requirement'!AD40</f>
        <v/>
      </c>
      <c r="AG918">
        <f>'Grid_Requirement'!AE40</f>
        <v/>
      </c>
      <c r="AH918">
        <f>'Grid_Requirement'!AF40</f>
        <v/>
      </c>
      <c r="AI918">
        <f>'Grid_Requirement'!AG40</f>
        <v/>
      </c>
      <c r="AJ918">
        <f>'Grid_Requirement'!AH40</f>
        <v/>
      </c>
      <c r="AK918">
        <f>'Grid_Requirement'!AI40</f>
        <v/>
      </c>
      <c r="AL918">
        <f>'Grid_Requirement'!AJ40</f>
        <v/>
      </c>
      <c r="AM918">
        <f>'Grid_Requirement'!AK40</f>
        <v/>
      </c>
      <c r="AN918">
        <f>'Grid_Requirement'!AL40</f>
        <v/>
      </c>
      <c r="AO918">
        <f>'Grid_Requirement'!AM40</f>
        <v/>
      </c>
      <c r="AP918">
        <f>'Grid_Requirement'!AN40</f>
        <v/>
      </c>
      <c r="AQ918">
        <f>'Grid_Requirement'!AO40</f>
        <v/>
      </c>
      <c r="AR918">
        <f>'Grid_Requirement'!AP40</f>
        <v/>
      </c>
      <c r="AS918">
        <f>'Grid_Requirement'!AQ40</f>
        <v/>
      </c>
      <c r="AT918">
        <f>'Grid_Requirement'!AR40</f>
        <v/>
      </c>
      <c r="AU918">
        <f>'Grid_Requirement'!AS40</f>
        <v/>
      </c>
      <c r="AV918">
        <f>'Grid_Requirement'!AT40</f>
        <v/>
      </c>
      <c r="AW918">
        <f>'Grid_Requirement'!AU40</f>
        <v/>
      </c>
      <c r="AX918">
        <f>'Grid_Requirement'!AV40</f>
        <v/>
      </c>
      <c r="AY918">
        <f>'Grid_Requirement'!AW40</f>
        <v/>
      </c>
      <c r="AZ918">
        <f>'Grid_Requirement'!AX40</f>
        <v/>
      </c>
      <c r="BA918">
        <f>'Grid_Requirement'!AY40</f>
        <v/>
      </c>
      <c r="BB918">
        <f>'Grid_Requirement'!AZ40</f>
        <v/>
      </c>
      <c r="BC918">
        <f>'Grid_Requirement'!BA40</f>
        <v/>
      </c>
      <c r="BD918">
        <f>'Grid_Requirement'!BB40</f>
        <v/>
      </c>
      <c r="BE918">
        <f>'Grid_Requirement'!BC40</f>
        <v/>
      </c>
      <c r="BF918">
        <f>'Grid_Requirement'!BD40</f>
        <v/>
      </c>
      <c r="BG918">
        <f>'Grid_Requirement'!BE40</f>
        <v/>
      </c>
      <c r="BH918">
        <f>'Grid_Requirement'!BF40</f>
        <v/>
      </c>
      <c r="BI918">
        <f>'Grid_Requirement'!BG40</f>
        <v/>
      </c>
      <c r="BJ918">
        <f>'Grid_Requirement'!BH40</f>
        <v/>
      </c>
      <c r="BK918">
        <f>'Grid_Requirement'!BI40</f>
        <v/>
      </c>
      <c r="BL918">
        <f>'Grid_Requirement'!BJ40</f>
        <v/>
      </c>
      <c r="BM918">
        <f>'Grid_Requirement'!BK40</f>
        <v/>
      </c>
      <c r="BN918">
        <f>'Grid_Requirement'!BL40</f>
        <v/>
      </c>
      <c r="BO918">
        <f>'Grid_Requirement'!BM40</f>
        <v/>
      </c>
      <c r="BP918">
        <f>'Grid_Requirement'!BN40</f>
        <v/>
      </c>
      <c r="BQ918">
        <f>'Grid_Requirement'!BO40</f>
        <v/>
      </c>
      <c r="BR918">
        <f>'Grid_Requirement'!BP40</f>
        <v/>
      </c>
      <c r="BS918">
        <f>'Grid_Requirement'!BQ40</f>
        <v/>
      </c>
      <c r="BT918">
        <f>'Grid_Requirement'!BR40</f>
        <v/>
      </c>
      <c r="BU918">
        <f>'Grid_Requirement'!BS40</f>
        <v/>
      </c>
      <c r="BV918">
        <f>'Grid_Requirement'!BT40</f>
        <v/>
      </c>
      <c r="BW918">
        <f>'Grid_Requirement'!BU40</f>
        <v/>
      </c>
      <c r="BX918">
        <f>'Grid_Requirement'!BV40</f>
        <v/>
      </c>
      <c r="BY918">
        <f>'Grid_Requirement'!BW40</f>
        <v/>
      </c>
      <c r="BZ918">
        <f>'Grid_Requirement'!BX40</f>
        <v/>
      </c>
      <c r="CA918">
        <f>'Grid_Requirement'!BY40</f>
        <v/>
      </c>
      <c r="CB918">
        <f>'Grid_Requirement'!BZ40</f>
        <v/>
      </c>
      <c r="CC918">
        <f>'Grid_Requirement'!CA40</f>
        <v/>
      </c>
      <c r="CD918">
        <f>'Grid_Requirement'!CB40</f>
        <v/>
      </c>
      <c r="CE918">
        <f>'Grid_Requirement'!CC40</f>
        <v/>
      </c>
      <c r="CF918">
        <f>'Grid_Requirement'!CD40</f>
        <v/>
      </c>
      <c r="CG918">
        <f>'Grid_Requirement'!CE40</f>
        <v/>
      </c>
      <c r="CH918">
        <f>'Grid_Requirement'!CF40</f>
        <v/>
      </c>
      <c r="CI918">
        <f>'Grid_Requirement'!CG40</f>
        <v/>
      </c>
      <c r="CJ918">
        <f>'Grid_Requirement'!CH40</f>
        <v/>
      </c>
      <c r="CK918">
        <f>'Grid_Requirement'!CI40</f>
        <v/>
      </c>
      <c r="CL918">
        <f>'Grid_Requirement'!CJ40</f>
        <v/>
      </c>
      <c r="CM918">
        <f>'Grid_Requirement'!CK40</f>
        <v/>
      </c>
      <c r="CN918">
        <f>'Grid_Requirement'!CL40</f>
        <v/>
      </c>
      <c r="CO918">
        <f>'Grid_Requirement'!CM40</f>
        <v/>
      </c>
      <c r="CP918">
        <f>'Grid_Requirement'!CN40</f>
        <v/>
      </c>
      <c r="CQ918">
        <f>'Grid_Requirement'!CO40</f>
        <v/>
      </c>
      <c r="CR918">
        <f>'Grid_Requirement'!CP40</f>
        <v/>
      </c>
      <c r="CS918">
        <f>'Grid_Requirement'!CQ40</f>
        <v/>
      </c>
      <c r="CT918">
        <f>'Grid_Requirement'!CR40</f>
        <v/>
      </c>
      <c r="CU918">
        <f>'Grid_Requirement'!CS40</f>
        <v/>
      </c>
      <c r="CV918">
        <f>'Grid_Requirement'!CT40</f>
        <v/>
      </c>
      <c r="CW918">
        <f>'Grid_Requirement'!CU40</f>
        <v/>
      </c>
      <c r="CX918">
        <f>'Grid_Requirement'!CV40</f>
        <v/>
      </c>
      <c r="CY918">
        <f>'Grid_Requirement'!CW40</f>
        <v/>
      </c>
      <c r="CZ918">
        <f>'Grid_Requirement'!CX40</f>
        <v/>
      </c>
      <c r="DA918">
        <f>'Grid_Requirement'!CY40</f>
        <v/>
      </c>
      <c r="DB918">
        <f>'Grid_Requirement'!CZ40</f>
        <v/>
      </c>
      <c r="DC918">
        <f>'Grid_Requirement'!DA40</f>
        <v/>
      </c>
    </row>
    <row r="919">
      <c r="B919" t="inlineStr">
        <is>
          <t>TTAF在庫(実績,kg)</t>
        </is>
      </c>
      <c r="D919">
        <f>'T_TTAFStock'!B44</f>
        <v/>
      </c>
      <c r="E919">
        <f>'T_TTAFStock'!C44</f>
        <v/>
      </c>
      <c r="F919">
        <f>'T_TTAFStock'!D44</f>
        <v/>
      </c>
      <c r="G919">
        <f>'T_TTAFStock'!E44</f>
        <v/>
      </c>
      <c r="H919">
        <f>'T_TTAFStock'!F44</f>
        <v/>
      </c>
      <c r="I919">
        <f>'T_TTAFStock'!G44</f>
        <v/>
      </c>
      <c r="J919">
        <f>'T_TTAFStock'!H44</f>
        <v/>
      </c>
      <c r="K919">
        <f>'T_TTAFStock'!I44</f>
        <v/>
      </c>
      <c r="L919">
        <f>'T_TTAFStock'!J44</f>
        <v/>
      </c>
      <c r="M919">
        <f>'T_TTAFStock'!K44</f>
        <v/>
      </c>
      <c r="N919">
        <f>'T_TTAFStock'!L44</f>
        <v/>
      </c>
      <c r="O919">
        <f>'T_TTAFStock'!M44</f>
        <v/>
      </c>
      <c r="P919">
        <f>'T_TTAFStock'!N44</f>
        <v/>
      </c>
      <c r="Q919">
        <f>'T_TTAFStock'!O44</f>
        <v/>
      </c>
      <c r="R919">
        <f>'T_TTAFStock'!P44</f>
        <v/>
      </c>
      <c r="S919">
        <f>'T_TTAFStock'!Q44</f>
        <v/>
      </c>
      <c r="T919">
        <f>'T_TTAFStock'!R44</f>
        <v/>
      </c>
      <c r="U919">
        <f>'T_TTAFStock'!S44</f>
        <v/>
      </c>
      <c r="V919">
        <f>'T_TTAFStock'!T44</f>
        <v/>
      </c>
      <c r="W919">
        <f>'T_TTAFStock'!U44</f>
        <v/>
      </c>
      <c r="X919">
        <f>'T_TTAFStock'!V44</f>
        <v/>
      </c>
      <c r="Y919">
        <f>'T_TTAFStock'!W44</f>
        <v/>
      </c>
      <c r="Z919">
        <f>'T_TTAFStock'!X44</f>
        <v/>
      </c>
      <c r="AA919">
        <f>'T_TTAFStock'!Y44</f>
        <v/>
      </c>
      <c r="AB919">
        <f>'T_TTAFStock'!Z44</f>
        <v/>
      </c>
      <c r="AC919">
        <f>'T_TTAFStock'!AA44</f>
        <v/>
      </c>
      <c r="AD919">
        <f>'T_TTAFStock'!AB44</f>
        <v/>
      </c>
      <c r="AE919">
        <f>'T_TTAFStock'!AC44</f>
        <v/>
      </c>
      <c r="AF919">
        <f>'T_TTAFStock'!AD44</f>
        <v/>
      </c>
      <c r="AG919">
        <f>'T_TTAFStock'!AE44</f>
        <v/>
      </c>
      <c r="AH919">
        <f>'T_TTAFStock'!AF44</f>
        <v/>
      </c>
      <c r="AI919">
        <f>'T_TTAFStock'!AG44</f>
        <v/>
      </c>
      <c r="AJ919">
        <f>'T_TTAFStock'!AH44</f>
        <v/>
      </c>
      <c r="AK919">
        <f>'T_TTAFStock'!AI44</f>
        <v/>
      </c>
      <c r="AL919">
        <f>'T_TTAFStock'!AJ44</f>
        <v/>
      </c>
      <c r="AM919">
        <f>'T_TTAFStock'!AK44</f>
        <v/>
      </c>
      <c r="AN919">
        <f>'T_TTAFStock'!AL44</f>
        <v/>
      </c>
      <c r="AO919">
        <f>'T_TTAFStock'!AM44</f>
        <v/>
      </c>
      <c r="AP919">
        <f>'T_TTAFStock'!AN44</f>
        <v/>
      </c>
      <c r="AQ919">
        <f>'T_TTAFStock'!AO44</f>
        <v/>
      </c>
      <c r="AR919">
        <f>'T_TTAFStock'!AP44</f>
        <v/>
      </c>
      <c r="AS919">
        <f>'T_TTAFStock'!AQ44</f>
        <v/>
      </c>
      <c r="AT919">
        <f>'T_TTAFStock'!AR44</f>
        <v/>
      </c>
      <c r="AU919">
        <f>'T_TTAFStock'!AS44</f>
        <v/>
      </c>
      <c r="AV919">
        <f>'T_TTAFStock'!AT44</f>
        <v/>
      </c>
      <c r="AW919">
        <f>'T_TTAFStock'!AU44</f>
        <v/>
      </c>
      <c r="AX919">
        <f>'T_TTAFStock'!AV44</f>
        <v/>
      </c>
      <c r="AY919">
        <f>'T_TTAFStock'!AW44</f>
        <v/>
      </c>
      <c r="AZ919">
        <f>'T_TTAFStock'!AX44</f>
        <v/>
      </c>
      <c r="BA919">
        <f>'T_TTAFStock'!AY44</f>
        <v/>
      </c>
      <c r="BB919">
        <f>'T_TTAFStock'!AZ44</f>
        <v/>
      </c>
      <c r="BC919">
        <f>'T_TTAFStock'!BA44</f>
        <v/>
      </c>
      <c r="BD919">
        <f>'T_TTAFStock'!BB44</f>
        <v/>
      </c>
      <c r="BE919">
        <f>'T_TTAFStock'!BC44</f>
        <v/>
      </c>
      <c r="BF919">
        <f>'T_TTAFStock'!BD44</f>
        <v/>
      </c>
      <c r="BG919">
        <f>'T_TTAFStock'!BE44</f>
        <v/>
      </c>
      <c r="BH919">
        <f>'T_TTAFStock'!BF44</f>
        <v/>
      </c>
      <c r="BI919">
        <f>'T_TTAFStock'!BG44</f>
        <v/>
      </c>
      <c r="BJ919">
        <f>'T_TTAFStock'!BH44</f>
        <v/>
      </c>
      <c r="BK919">
        <f>'T_TTAFStock'!BI44</f>
        <v/>
      </c>
      <c r="BL919">
        <f>'T_TTAFStock'!BJ44</f>
        <v/>
      </c>
      <c r="BM919">
        <f>'T_TTAFStock'!BK44</f>
        <v/>
      </c>
      <c r="BN919">
        <f>'T_TTAFStock'!BL44</f>
        <v/>
      </c>
      <c r="BO919">
        <f>'T_TTAFStock'!BM44</f>
        <v/>
      </c>
      <c r="BP919">
        <f>'T_TTAFStock'!BN44</f>
        <v/>
      </c>
      <c r="BQ919">
        <f>'T_TTAFStock'!BO44</f>
        <v/>
      </c>
      <c r="BR919">
        <f>'T_TTAFStock'!BP44</f>
        <v/>
      </c>
      <c r="BS919">
        <f>'T_TTAFStock'!BQ44</f>
        <v/>
      </c>
      <c r="BT919">
        <f>'T_TTAFStock'!BR44</f>
        <v/>
      </c>
      <c r="BU919">
        <f>'T_TTAFStock'!BS44</f>
        <v/>
      </c>
      <c r="BV919">
        <f>'T_TTAFStock'!BT44</f>
        <v/>
      </c>
      <c r="BW919">
        <f>'T_TTAFStock'!BU44</f>
        <v/>
      </c>
      <c r="BX919">
        <f>'T_TTAFStock'!BV44</f>
        <v/>
      </c>
      <c r="BY919">
        <f>'T_TTAFStock'!BW44</f>
        <v/>
      </c>
      <c r="BZ919">
        <f>'T_TTAFStock'!BX44</f>
        <v/>
      </c>
      <c r="CA919">
        <f>'T_TTAFStock'!BY44</f>
        <v/>
      </c>
      <c r="CB919">
        <f>'T_TTAFStock'!BZ44</f>
        <v/>
      </c>
      <c r="CC919">
        <f>'T_TTAFStock'!CA44</f>
        <v/>
      </c>
      <c r="CD919">
        <f>'T_TTAFStock'!CB44</f>
        <v/>
      </c>
      <c r="CE919">
        <f>'T_TTAFStock'!CC44</f>
        <v/>
      </c>
      <c r="CF919">
        <f>'T_TTAFStock'!CD44</f>
        <v/>
      </c>
      <c r="CG919">
        <f>'T_TTAFStock'!CE44</f>
        <v/>
      </c>
      <c r="CH919">
        <f>'T_TTAFStock'!CF44</f>
        <v/>
      </c>
      <c r="CI919">
        <f>'T_TTAFStock'!CG44</f>
        <v/>
      </c>
      <c r="CJ919">
        <f>'T_TTAFStock'!CH44</f>
        <v/>
      </c>
      <c r="CK919">
        <f>'T_TTAFStock'!CI44</f>
        <v/>
      </c>
      <c r="CL919">
        <f>'T_TTAFStock'!CJ44</f>
        <v/>
      </c>
      <c r="CM919">
        <f>'T_TTAFStock'!CK44</f>
        <v/>
      </c>
      <c r="CN919">
        <f>'T_TTAFStock'!CL44</f>
        <v/>
      </c>
      <c r="CO919">
        <f>'T_TTAFStock'!CM44</f>
        <v/>
      </c>
      <c r="CP919">
        <f>'T_TTAFStock'!CN44</f>
        <v/>
      </c>
      <c r="CQ919">
        <f>'T_TTAFStock'!CO44</f>
        <v/>
      </c>
      <c r="CR919">
        <f>'T_TTAFStock'!CP44</f>
        <v/>
      </c>
      <c r="CS919">
        <f>'T_TTAFStock'!CQ44</f>
        <v/>
      </c>
      <c r="CT919">
        <f>'T_TTAFStock'!CR44</f>
        <v/>
      </c>
      <c r="CU919">
        <f>'T_TTAFStock'!CS44</f>
        <v/>
      </c>
      <c r="CV919">
        <f>'T_TTAFStock'!CT44</f>
        <v/>
      </c>
      <c r="CW919">
        <f>'T_TTAFStock'!CU44</f>
        <v/>
      </c>
      <c r="CX919">
        <f>'T_TTAFStock'!CV44</f>
        <v/>
      </c>
      <c r="CY919">
        <f>'T_TTAFStock'!CW44</f>
        <v/>
      </c>
      <c r="CZ919">
        <f>'T_TTAFStock'!CX44</f>
        <v/>
      </c>
      <c r="DA919">
        <f>'T_TTAFStock'!CY44</f>
        <v/>
      </c>
      <c r="DB919">
        <f>'T_TTAFStock'!CZ44</f>
        <v/>
      </c>
      <c r="DC919">
        <f>'T_TTAFStock'!DA44</f>
        <v/>
      </c>
    </row>
    <row r="920">
      <c r="B920" t="inlineStr">
        <is>
          <t>自社在庫(実績,kg)</t>
        </is>
      </c>
      <c r="D920">
        <f>'T_SelfStock'!B44</f>
        <v/>
      </c>
      <c r="E920">
        <f>'T_SelfStock'!C44</f>
        <v/>
      </c>
      <c r="F920">
        <f>'T_SelfStock'!D44</f>
        <v/>
      </c>
      <c r="G920">
        <f>'T_SelfStock'!E44</f>
        <v/>
      </c>
      <c r="H920">
        <f>'T_SelfStock'!F44</f>
        <v/>
      </c>
      <c r="I920">
        <f>'T_SelfStock'!G44</f>
        <v/>
      </c>
      <c r="J920">
        <f>'T_SelfStock'!H44</f>
        <v/>
      </c>
      <c r="K920">
        <f>'T_SelfStock'!I44</f>
        <v/>
      </c>
      <c r="L920">
        <f>'T_SelfStock'!J44</f>
        <v/>
      </c>
      <c r="M920">
        <f>'T_SelfStock'!K44</f>
        <v/>
      </c>
      <c r="N920">
        <f>'T_SelfStock'!L44</f>
        <v/>
      </c>
      <c r="O920">
        <f>'T_SelfStock'!M44</f>
        <v/>
      </c>
      <c r="P920">
        <f>'T_SelfStock'!N44</f>
        <v/>
      </c>
      <c r="Q920">
        <f>'T_SelfStock'!O44</f>
        <v/>
      </c>
      <c r="R920">
        <f>'T_SelfStock'!P44</f>
        <v/>
      </c>
      <c r="S920">
        <f>'T_SelfStock'!Q44</f>
        <v/>
      </c>
      <c r="T920">
        <f>'T_SelfStock'!R44</f>
        <v/>
      </c>
      <c r="U920">
        <f>'T_SelfStock'!S44</f>
        <v/>
      </c>
      <c r="V920">
        <f>'T_SelfStock'!T44</f>
        <v/>
      </c>
      <c r="W920">
        <f>'T_SelfStock'!U44</f>
        <v/>
      </c>
      <c r="X920">
        <f>'T_SelfStock'!V44</f>
        <v/>
      </c>
      <c r="Y920">
        <f>'T_SelfStock'!W44</f>
        <v/>
      </c>
      <c r="Z920">
        <f>'T_SelfStock'!X44</f>
        <v/>
      </c>
      <c r="AA920">
        <f>'T_SelfStock'!Y44</f>
        <v/>
      </c>
      <c r="AB920">
        <f>'T_SelfStock'!Z44</f>
        <v/>
      </c>
      <c r="AC920">
        <f>'T_SelfStock'!AA44</f>
        <v/>
      </c>
      <c r="AD920">
        <f>'T_SelfStock'!AB44</f>
        <v/>
      </c>
      <c r="AE920">
        <f>'T_SelfStock'!AC44</f>
        <v/>
      </c>
      <c r="AF920">
        <f>'T_SelfStock'!AD44</f>
        <v/>
      </c>
      <c r="AG920">
        <f>'T_SelfStock'!AE44</f>
        <v/>
      </c>
      <c r="AH920">
        <f>'T_SelfStock'!AF44</f>
        <v/>
      </c>
      <c r="AI920">
        <f>'T_SelfStock'!AG44</f>
        <v/>
      </c>
      <c r="AJ920">
        <f>'T_SelfStock'!AH44</f>
        <v/>
      </c>
      <c r="AK920">
        <f>'T_SelfStock'!AI44</f>
        <v/>
      </c>
      <c r="AL920">
        <f>'T_SelfStock'!AJ44</f>
        <v/>
      </c>
      <c r="AM920">
        <f>'T_SelfStock'!AK44</f>
        <v/>
      </c>
      <c r="AN920">
        <f>'T_SelfStock'!AL44</f>
        <v/>
      </c>
      <c r="AO920">
        <f>'T_SelfStock'!AM44</f>
        <v/>
      </c>
      <c r="AP920">
        <f>'T_SelfStock'!AN44</f>
        <v/>
      </c>
      <c r="AQ920">
        <f>'T_SelfStock'!AO44</f>
        <v/>
      </c>
      <c r="AR920">
        <f>'T_SelfStock'!AP44</f>
        <v/>
      </c>
      <c r="AS920">
        <f>'T_SelfStock'!AQ44</f>
        <v/>
      </c>
      <c r="AT920">
        <f>'T_SelfStock'!AR44</f>
        <v/>
      </c>
      <c r="AU920">
        <f>'T_SelfStock'!AS44</f>
        <v/>
      </c>
      <c r="AV920">
        <f>'T_SelfStock'!AT44</f>
        <v/>
      </c>
      <c r="AW920">
        <f>'T_SelfStock'!AU44</f>
        <v/>
      </c>
      <c r="AX920">
        <f>'T_SelfStock'!AV44</f>
        <v/>
      </c>
      <c r="AY920">
        <f>'T_SelfStock'!AW44</f>
        <v/>
      </c>
      <c r="AZ920">
        <f>'T_SelfStock'!AX44</f>
        <v/>
      </c>
      <c r="BA920">
        <f>'T_SelfStock'!AY44</f>
        <v/>
      </c>
      <c r="BB920">
        <f>'T_SelfStock'!AZ44</f>
        <v/>
      </c>
      <c r="BC920">
        <f>'T_SelfStock'!BA44</f>
        <v/>
      </c>
      <c r="BD920">
        <f>'T_SelfStock'!BB44</f>
        <v/>
      </c>
      <c r="BE920">
        <f>'T_SelfStock'!BC44</f>
        <v/>
      </c>
      <c r="BF920">
        <f>'T_SelfStock'!BD44</f>
        <v/>
      </c>
      <c r="BG920">
        <f>'T_SelfStock'!BE44</f>
        <v/>
      </c>
      <c r="BH920">
        <f>'T_SelfStock'!BF44</f>
        <v/>
      </c>
      <c r="BI920">
        <f>'T_SelfStock'!BG44</f>
        <v/>
      </c>
      <c r="BJ920">
        <f>'T_SelfStock'!BH44</f>
        <v/>
      </c>
      <c r="BK920">
        <f>'T_SelfStock'!BI44</f>
        <v/>
      </c>
      <c r="BL920">
        <f>'T_SelfStock'!BJ44</f>
        <v/>
      </c>
      <c r="BM920">
        <f>'T_SelfStock'!BK44</f>
        <v/>
      </c>
      <c r="BN920">
        <f>'T_SelfStock'!BL44</f>
        <v/>
      </c>
      <c r="BO920">
        <f>'T_SelfStock'!BM44</f>
        <v/>
      </c>
      <c r="BP920">
        <f>'T_SelfStock'!BN44</f>
        <v/>
      </c>
      <c r="BQ920">
        <f>'T_SelfStock'!BO44</f>
        <v/>
      </c>
      <c r="BR920">
        <f>'T_SelfStock'!BP44</f>
        <v/>
      </c>
      <c r="BS920">
        <f>'T_SelfStock'!BQ44</f>
        <v/>
      </c>
      <c r="BT920">
        <f>'T_SelfStock'!BR44</f>
        <v/>
      </c>
      <c r="BU920">
        <f>'T_SelfStock'!BS44</f>
        <v/>
      </c>
      <c r="BV920">
        <f>'T_SelfStock'!BT44</f>
        <v/>
      </c>
      <c r="BW920">
        <f>'T_SelfStock'!BU44</f>
        <v/>
      </c>
      <c r="BX920">
        <f>'T_SelfStock'!BV44</f>
        <v/>
      </c>
      <c r="BY920">
        <f>'T_SelfStock'!BW44</f>
        <v/>
      </c>
      <c r="BZ920">
        <f>'T_SelfStock'!BX44</f>
        <v/>
      </c>
      <c r="CA920">
        <f>'T_SelfStock'!BY44</f>
        <v/>
      </c>
      <c r="CB920">
        <f>'T_SelfStock'!BZ44</f>
        <v/>
      </c>
      <c r="CC920">
        <f>'T_SelfStock'!CA44</f>
        <v/>
      </c>
      <c r="CD920">
        <f>'T_SelfStock'!CB44</f>
        <v/>
      </c>
      <c r="CE920">
        <f>'T_SelfStock'!CC44</f>
        <v/>
      </c>
      <c r="CF920">
        <f>'T_SelfStock'!CD44</f>
        <v/>
      </c>
      <c r="CG920">
        <f>'T_SelfStock'!CE44</f>
        <v/>
      </c>
      <c r="CH920">
        <f>'T_SelfStock'!CF44</f>
        <v/>
      </c>
      <c r="CI920">
        <f>'T_SelfStock'!CG44</f>
        <v/>
      </c>
      <c r="CJ920">
        <f>'T_SelfStock'!CH44</f>
        <v/>
      </c>
      <c r="CK920">
        <f>'T_SelfStock'!CI44</f>
        <v/>
      </c>
      <c r="CL920">
        <f>'T_SelfStock'!CJ44</f>
        <v/>
      </c>
      <c r="CM920">
        <f>'T_SelfStock'!CK44</f>
        <v/>
      </c>
      <c r="CN920">
        <f>'T_SelfStock'!CL44</f>
        <v/>
      </c>
      <c r="CO920">
        <f>'T_SelfStock'!CM44</f>
        <v/>
      </c>
      <c r="CP920">
        <f>'T_SelfStock'!CN44</f>
        <v/>
      </c>
      <c r="CQ920">
        <f>'T_SelfStock'!CO44</f>
        <v/>
      </c>
      <c r="CR920">
        <f>'T_SelfStock'!CP44</f>
        <v/>
      </c>
      <c r="CS920">
        <f>'T_SelfStock'!CQ44</f>
        <v/>
      </c>
      <c r="CT920">
        <f>'T_SelfStock'!CR44</f>
        <v/>
      </c>
      <c r="CU920">
        <f>'T_SelfStock'!CS44</f>
        <v/>
      </c>
      <c r="CV920">
        <f>'T_SelfStock'!CT44</f>
        <v/>
      </c>
      <c r="CW920">
        <f>'T_SelfStock'!CU44</f>
        <v/>
      </c>
      <c r="CX920">
        <f>'T_SelfStock'!CV44</f>
        <v/>
      </c>
      <c r="CY920">
        <f>'T_SelfStock'!CW44</f>
        <v/>
      </c>
      <c r="CZ920">
        <f>'T_SelfStock'!CX44</f>
        <v/>
      </c>
      <c r="DA920">
        <f>'T_SelfStock'!CY44</f>
        <v/>
      </c>
      <c r="DB920">
        <f>'T_SelfStock'!CZ44</f>
        <v/>
      </c>
      <c r="DC920">
        <f>'T_SelfStock'!DA44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'Grid_Stock'!B40</f>
        <v/>
      </c>
      <c r="E922">
        <f>'Grid_Stock'!C40</f>
        <v/>
      </c>
      <c r="F922">
        <f>'Grid_Stock'!D40</f>
        <v/>
      </c>
      <c r="G922">
        <f>'Grid_Stock'!E40</f>
        <v/>
      </c>
      <c r="H922">
        <f>'Grid_Stock'!F40</f>
        <v/>
      </c>
      <c r="I922">
        <f>'Grid_Stock'!G40</f>
        <v/>
      </c>
      <c r="J922">
        <f>'Grid_Stock'!H40</f>
        <v/>
      </c>
      <c r="K922">
        <f>'Grid_Stock'!I40</f>
        <v/>
      </c>
      <c r="L922">
        <f>'Grid_Stock'!J40</f>
        <v/>
      </c>
      <c r="M922">
        <f>'Grid_Stock'!K40</f>
        <v/>
      </c>
      <c r="N922">
        <f>'Grid_Stock'!L40</f>
        <v/>
      </c>
      <c r="O922">
        <f>'Grid_Stock'!M40</f>
        <v/>
      </c>
      <c r="P922">
        <f>'Grid_Stock'!N40</f>
        <v/>
      </c>
      <c r="Q922">
        <f>'Grid_Stock'!O40</f>
        <v/>
      </c>
      <c r="R922">
        <f>'Grid_Stock'!P40</f>
        <v/>
      </c>
      <c r="S922">
        <f>'Grid_Stock'!Q40</f>
        <v/>
      </c>
      <c r="T922">
        <f>'Grid_Stock'!R40</f>
        <v/>
      </c>
      <c r="U922">
        <f>'Grid_Stock'!S40</f>
        <v/>
      </c>
      <c r="V922">
        <f>'Grid_Stock'!T40</f>
        <v/>
      </c>
      <c r="W922">
        <f>'Grid_Stock'!U40</f>
        <v/>
      </c>
      <c r="X922">
        <f>'Grid_Stock'!V40</f>
        <v/>
      </c>
      <c r="Y922">
        <f>'Grid_Stock'!W40</f>
        <v/>
      </c>
      <c r="Z922">
        <f>'Grid_Stock'!X40</f>
        <v/>
      </c>
      <c r="AA922">
        <f>'Grid_Stock'!Y40</f>
        <v/>
      </c>
      <c r="AB922">
        <f>'Grid_Stock'!Z40</f>
        <v/>
      </c>
      <c r="AC922">
        <f>'Grid_Stock'!AA40</f>
        <v/>
      </c>
      <c r="AD922">
        <f>'Grid_Stock'!AB40</f>
        <v/>
      </c>
      <c r="AE922">
        <f>'Grid_Stock'!AC40</f>
        <v/>
      </c>
      <c r="AF922">
        <f>'Grid_Stock'!AD40</f>
        <v/>
      </c>
      <c r="AG922">
        <f>'Grid_Stock'!AE40</f>
        <v/>
      </c>
      <c r="AH922">
        <f>'Grid_Stock'!AF40</f>
        <v/>
      </c>
      <c r="AI922">
        <f>'Grid_Stock'!AG40</f>
        <v/>
      </c>
      <c r="AJ922">
        <f>'Grid_Stock'!AH40</f>
        <v/>
      </c>
      <c r="AK922">
        <f>'Grid_Stock'!AI40</f>
        <v/>
      </c>
      <c r="AL922">
        <f>'Grid_Stock'!AJ40</f>
        <v/>
      </c>
      <c r="AM922">
        <f>'Grid_Stock'!AK40</f>
        <v/>
      </c>
      <c r="AN922">
        <f>'Grid_Stock'!AL40</f>
        <v/>
      </c>
      <c r="AO922">
        <f>'Grid_Stock'!AM40</f>
        <v/>
      </c>
      <c r="AP922">
        <f>'Grid_Stock'!AN40</f>
        <v/>
      </c>
      <c r="AQ922">
        <f>'Grid_Stock'!AO40</f>
        <v/>
      </c>
      <c r="AR922">
        <f>'Grid_Stock'!AP40</f>
        <v/>
      </c>
      <c r="AS922">
        <f>'Grid_Stock'!AQ40</f>
        <v/>
      </c>
      <c r="AT922">
        <f>'Grid_Stock'!AR40</f>
        <v/>
      </c>
      <c r="AU922">
        <f>'Grid_Stock'!AS40</f>
        <v/>
      </c>
      <c r="AV922">
        <f>'Grid_Stock'!AT40</f>
        <v/>
      </c>
      <c r="AW922">
        <f>'Grid_Stock'!AU40</f>
        <v/>
      </c>
      <c r="AX922">
        <f>'Grid_Stock'!AV40</f>
        <v/>
      </c>
      <c r="AY922">
        <f>'Grid_Stock'!AW40</f>
        <v/>
      </c>
      <c r="AZ922">
        <f>'Grid_Stock'!AX40</f>
        <v/>
      </c>
      <c r="BA922">
        <f>'Grid_Stock'!AY40</f>
        <v/>
      </c>
      <c r="BB922">
        <f>'Grid_Stock'!AZ40</f>
        <v/>
      </c>
      <c r="BC922">
        <f>'Grid_Stock'!BA40</f>
        <v/>
      </c>
      <c r="BD922">
        <f>'Grid_Stock'!BB40</f>
        <v/>
      </c>
      <c r="BE922">
        <f>'Grid_Stock'!BC40</f>
        <v/>
      </c>
      <c r="BF922">
        <f>'Grid_Stock'!BD40</f>
        <v/>
      </c>
      <c r="BG922">
        <f>'Grid_Stock'!BE40</f>
        <v/>
      </c>
      <c r="BH922">
        <f>'Grid_Stock'!BF40</f>
        <v/>
      </c>
      <c r="BI922">
        <f>'Grid_Stock'!BG40</f>
        <v/>
      </c>
      <c r="BJ922">
        <f>'Grid_Stock'!BH40</f>
        <v/>
      </c>
      <c r="BK922">
        <f>'Grid_Stock'!BI40</f>
        <v/>
      </c>
      <c r="BL922">
        <f>'Grid_Stock'!BJ40</f>
        <v/>
      </c>
      <c r="BM922">
        <f>'Grid_Stock'!BK40</f>
        <v/>
      </c>
      <c r="BN922">
        <f>'Grid_Stock'!BL40</f>
        <v/>
      </c>
      <c r="BO922">
        <f>'Grid_Stock'!BM40</f>
        <v/>
      </c>
      <c r="BP922">
        <f>'Grid_Stock'!BN40</f>
        <v/>
      </c>
      <c r="BQ922">
        <f>'Grid_Stock'!BO40</f>
        <v/>
      </c>
      <c r="BR922">
        <f>'Grid_Stock'!BP40</f>
        <v/>
      </c>
      <c r="BS922">
        <f>'Grid_Stock'!BQ40</f>
        <v/>
      </c>
      <c r="BT922">
        <f>'Grid_Stock'!BR40</f>
        <v/>
      </c>
      <c r="BU922">
        <f>'Grid_Stock'!BS40</f>
        <v/>
      </c>
      <c r="BV922">
        <f>'Grid_Stock'!BT40</f>
        <v/>
      </c>
      <c r="BW922">
        <f>'Grid_Stock'!BU40</f>
        <v/>
      </c>
      <c r="BX922">
        <f>'Grid_Stock'!BV40</f>
        <v/>
      </c>
      <c r="BY922">
        <f>'Grid_Stock'!BW40</f>
        <v/>
      </c>
      <c r="BZ922">
        <f>'Grid_Stock'!BX40</f>
        <v/>
      </c>
      <c r="CA922">
        <f>'Grid_Stock'!BY40</f>
        <v/>
      </c>
      <c r="CB922">
        <f>'Grid_Stock'!BZ40</f>
        <v/>
      </c>
      <c r="CC922">
        <f>'Grid_Stock'!CA40</f>
        <v/>
      </c>
      <c r="CD922">
        <f>'Grid_Stock'!CB40</f>
        <v/>
      </c>
      <c r="CE922">
        <f>'Grid_Stock'!CC40</f>
        <v/>
      </c>
      <c r="CF922">
        <f>'Grid_Stock'!CD40</f>
        <v/>
      </c>
      <c r="CG922">
        <f>'Grid_Stock'!CE40</f>
        <v/>
      </c>
      <c r="CH922">
        <f>'Grid_Stock'!CF40</f>
        <v/>
      </c>
      <c r="CI922">
        <f>'Grid_Stock'!CG40</f>
        <v/>
      </c>
      <c r="CJ922">
        <f>'Grid_Stock'!CH40</f>
        <v/>
      </c>
      <c r="CK922">
        <f>'Grid_Stock'!CI40</f>
        <v/>
      </c>
      <c r="CL922">
        <f>'Grid_Stock'!CJ40</f>
        <v/>
      </c>
      <c r="CM922">
        <f>'Grid_Stock'!CK40</f>
        <v/>
      </c>
      <c r="CN922">
        <f>'Grid_Stock'!CL40</f>
        <v/>
      </c>
      <c r="CO922">
        <f>'Grid_Stock'!CM40</f>
        <v/>
      </c>
      <c r="CP922">
        <f>'Grid_Stock'!CN40</f>
        <v/>
      </c>
      <c r="CQ922">
        <f>'Grid_Stock'!CO40</f>
        <v/>
      </c>
      <c r="CR922">
        <f>'Grid_Stock'!CP40</f>
        <v/>
      </c>
      <c r="CS922">
        <f>'Grid_Stock'!CQ40</f>
        <v/>
      </c>
      <c r="CT922">
        <f>'Grid_Stock'!CR40</f>
        <v/>
      </c>
      <c r="CU922">
        <f>'Grid_Stock'!CS40</f>
        <v/>
      </c>
      <c r="CV922">
        <f>'Grid_Stock'!CT40</f>
        <v/>
      </c>
      <c r="CW922">
        <f>'Grid_Stock'!CU40</f>
        <v/>
      </c>
      <c r="CX922">
        <f>'Grid_Stock'!CV40</f>
        <v/>
      </c>
      <c r="CY922">
        <f>'Grid_Stock'!CW40</f>
        <v/>
      </c>
      <c r="CZ922">
        <f>'Grid_Stock'!CX40</f>
        <v/>
      </c>
      <c r="DA922">
        <f>'Grid_Stock'!CY40</f>
        <v/>
      </c>
      <c r="DB922">
        <f>'Grid_Stock'!CZ40</f>
        <v/>
      </c>
      <c r="DC922">
        <f>'Grid_Stock'!DA40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'Grid_Requirement'!B41</f>
        <v/>
      </c>
      <c r="E934">
        <f>'Grid_Requirement'!C41</f>
        <v/>
      </c>
      <c r="F934">
        <f>'Grid_Requirement'!D41</f>
        <v/>
      </c>
      <c r="G934">
        <f>'Grid_Requirement'!E41</f>
        <v/>
      </c>
      <c r="H934">
        <f>'Grid_Requirement'!F41</f>
        <v/>
      </c>
      <c r="I934">
        <f>'Grid_Requirement'!G41</f>
        <v/>
      </c>
      <c r="J934">
        <f>'Grid_Requirement'!H41</f>
        <v/>
      </c>
      <c r="K934">
        <f>'Grid_Requirement'!I41</f>
        <v/>
      </c>
      <c r="L934">
        <f>'Grid_Requirement'!J41</f>
        <v/>
      </c>
      <c r="M934">
        <f>'Grid_Requirement'!K41</f>
        <v/>
      </c>
      <c r="N934">
        <f>'Grid_Requirement'!L41</f>
        <v/>
      </c>
      <c r="O934">
        <f>'Grid_Requirement'!M41</f>
        <v/>
      </c>
      <c r="P934">
        <f>'Grid_Requirement'!N41</f>
        <v/>
      </c>
      <c r="Q934">
        <f>'Grid_Requirement'!O41</f>
        <v/>
      </c>
      <c r="R934">
        <f>'Grid_Requirement'!P41</f>
        <v/>
      </c>
      <c r="S934">
        <f>'Grid_Requirement'!Q41</f>
        <v/>
      </c>
      <c r="T934">
        <f>'Grid_Requirement'!R41</f>
        <v/>
      </c>
      <c r="U934">
        <f>'Grid_Requirement'!S41</f>
        <v/>
      </c>
      <c r="V934">
        <f>'Grid_Requirement'!T41</f>
        <v/>
      </c>
      <c r="W934">
        <f>'Grid_Requirement'!U41</f>
        <v/>
      </c>
      <c r="X934">
        <f>'Grid_Requirement'!V41</f>
        <v/>
      </c>
      <c r="Y934">
        <f>'Grid_Requirement'!W41</f>
        <v/>
      </c>
      <c r="Z934">
        <f>'Grid_Requirement'!X41</f>
        <v/>
      </c>
      <c r="AA934">
        <f>'Grid_Requirement'!Y41</f>
        <v/>
      </c>
      <c r="AB934">
        <f>'Grid_Requirement'!Z41</f>
        <v/>
      </c>
      <c r="AC934">
        <f>'Grid_Requirement'!AA41</f>
        <v/>
      </c>
      <c r="AD934">
        <f>'Grid_Requirement'!AB41</f>
        <v/>
      </c>
      <c r="AE934">
        <f>'Grid_Requirement'!AC41</f>
        <v/>
      </c>
      <c r="AF934">
        <f>'Grid_Requirement'!AD41</f>
        <v/>
      </c>
      <c r="AG934">
        <f>'Grid_Requirement'!AE41</f>
        <v/>
      </c>
      <c r="AH934">
        <f>'Grid_Requirement'!AF41</f>
        <v/>
      </c>
      <c r="AI934">
        <f>'Grid_Requirement'!AG41</f>
        <v/>
      </c>
      <c r="AJ934">
        <f>'Grid_Requirement'!AH41</f>
        <v/>
      </c>
      <c r="AK934">
        <f>'Grid_Requirement'!AI41</f>
        <v/>
      </c>
      <c r="AL934">
        <f>'Grid_Requirement'!AJ41</f>
        <v/>
      </c>
      <c r="AM934">
        <f>'Grid_Requirement'!AK41</f>
        <v/>
      </c>
      <c r="AN934">
        <f>'Grid_Requirement'!AL41</f>
        <v/>
      </c>
      <c r="AO934">
        <f>'Grid_Requirement'!AM41</f>
        <v/>
      </c>
      <c r="AP934">
        <f>'Grid_Requirement'!AN41</f>
        <v/>
      </c>
      <c r="AQ934">
        <f>'Grid_Requirement'!AO41</f>
        <v/>
      </c>
      <c r="AR934">
        <f>'Grid_Requirement'!AP41</f>
        <v/>
      </c>
      <c r="AS934">
        <f>'Grid_Requirement'!AQ41</f>
        <v/>
      </c>
      <c r="AT934">
        <f>'Grid_Requirement'!AR41</f>
        <v/>
      </c>
      <c r="AU934">
        <f>'Grid_Requirement'!AS41</f>
        <v/>
      </c>
      <c r="AV934">
        <f>'Grid_Requirement'!AT41</f>
        <v/>
      </c>
      <c r="AW934">
        <f>'Grid_Requirement'!AU41</f>
        <v/>
      </c>
      <c r="AX934">
        <f>'Grid_Requirement'!AV41</f>
        <v/>
      </c>
      <c r="AY934">
        <f>'Grid_Requirement'!AW41</f>
        <v/>
      </c>
      <c r="AZ934">
        <f>'Grid_Requirement'!AX41</f>
        <v/>
      </c>
      <c r="BA934">
        <f>'Grid_Requirement'!AY41</f>
        <v/>
      </c>
      <c r="BB934">
        <f>'Grid_Requirement'!AZ41</f>
        <v/>
      </c>
      <c r="BC934">
        <f>'Grid_Requirement'!BA41</f>
        <v/>
      </c>
      <c r="BD934">
        <f>'Grid_Requirement'!BB41</f>
        <v/>
      </c>
      <c r="BE934">
        <f>'Grid_Requirement'!BC41</f>
        <v/>
      </c>
      <c r="BF934">
        <f>'Grid_Requirement'!BD41</f>
        <v/>
      </c>
      <c r="BG934">
        <f>'Grid_Requirement'!BE41</f>
        <v/>
      </c>
      <c r="BH934">
        <f>'Grid_Requirement'!BF41</f>
        <v/>
      </c>
      <c r="BI934">
        <f>'Grid_Requirement'!BG41</f>
        <v/>
      </c>
      <c r="BJ934">
        <f>'Grid_Requirement'!BH41</f>
        <v/>
      </c>
      <c r="BK934">
        <f>'Grid_Requirement'!BI41</f>
        <v/>
      </c>
      <c r="BL934">
        <f>'Grid_Requirement'!BJ41</f>
        <v/>
      </c>
      <c r="BM934">
        <f>'Grid_Requirement'!BK41</f>
        <v/>
      </c>
      <c r="BN934">
        <f>'Grid_Requirement'!BL41</f>
        <v/>
      </c>
      <c r="BO934">
        <f>'Grid_Requirement'!BM41</f>
        <v/>
      </c>
      <c r="BP934">
        <f>'Grid_Requirement'!BN41</f>
        <v/>
      </c>
      <c r="BQ934">
        <f>'Grid_Requirement'!BO41</f>
        <v/>
      </c>
      <c r="BR934">
        <f>'Grid_Requirement'!BP41</f>
        <v/>
      </c>
      <c r="BS934">
        <f>'Grid_Requirement'!BQ41</f>
        <v/>
      </c>
      <c r="BT934">
        <f>'Grid_Requirement'!BR41</f>
        <v/>
      </c>
      <c r="BU934">
        <f>'Grid_Requirement'!BS41</f>
        <v/>
      </c>
      <c r="BV934">
        <f>'Grid_Requirement'!BT41</f>
        <v/>
      </c>
      <c r="BW934">
        <f>'Grid_Requirement'!BU41</f>
        <v/>
      </c>
      <c r="BX934">
        <f>'Grid_Requirement'!BV41</f>
        <v/>
      </c>
      <c r="BY934">
        <f>'Grid_Requirement'!BW41</f>
        <v/>
      </c>
      <c r="BZ934">
        <f>'Grid_Requirement'!BX41</f>
        <v/>
      </c>
      <c r="CA934">
        <f>'Grid_Requirement'!BY41</f>
        <v/>
      </c>
      <c r="CB934">
        <f>'Grid_Requirement'!BZ41</f>
        <v/>
      </c>
      <c r="CC934">
        <f>'Grid_Requirement'!CA41</f>
        <v/>
      </c>
      <c r="CD934">
        <f>'Grid_Requirement'!CB41</f>
        <v/>
      </c>
      <c r="CE934">
        <f>'Grid_Requirement'!CC41</f>
        <v/>
      </c>
      <c r="CF934">
        <f>'Grid_Requirement'!CD41</f>
        <v/>
      </c>
      <c r="CG934">
        <f>'Grid_Requirement'!CE41</f>
        <v/>
      </c>
      <c r="CH934">
        <f>'Grid_Requirement'!CF41</f>
        <v/>
      </c>
      <c r="CI934">
        <f>'Grid_Requirement'!CG41</f>
        <v/>
      </c>
      <c r="CJ934">
        <f>'Grid_Requirement'!CH41</f>
        <v/>
      </c>
      <c r="CK934">
        <f>'Grid_Requirement'!CI41</f>
        <v/>
      </c>
      <c r="CL934">
        <f>'Grid_Requirement'!CJ41</f>
        <v/>
      </c>
      <c r="CM934">
        <f>'Grid_Requirement'!CK41</f>
        <v/>
      </c>
      <c r="CN934">
        <f>'Grid_Requirement'!CL41</f>
        <v/>
      </c>
      <c r="CO934">
        <f>'Grid_Requirement'!CM41</f>
        <v/>
      </c>
      <c r="CP934">
        <f>'Grid_Requirement'!CN41</f>
        <v/>
      </c>
      <c r="CQ934">
        <f>'Grid_Requirement'!CO41</f>
        <v/>
      </c>
      <c r="CR934">
        <f>'Grid_Requirement'!CP41</f>
        <v/>
      </c>
      <c r="CS934">
        <f>'Grid_Requirement'!CQ41</f>
        <v/>
      </c>
      <c r="CT934">
        <f>'Grid_Requirement'!CR41</f>
        <v/>
      </c>
      <c r="CU934">
        <f>'Grid_Requirement'!CS41</f>
        <v/>
      </c>
      <c r="CV934">
        <f>'Grid_Requirement'!CT41</f>
        <v/>
      </c>
      <c r="CW934">
        <f>'Grid_Requirement'!CU41</f>
        <v/>
      </c>
      <c r="CX934">
        <f>'Grid_Requirement'!CV41</f>
        <v/>
      </c>
      <c r="CY934">
        <f>'Grid_Requirement'!CW41</f>
        <v/>
      </c>
      <c r="CZ934">
        <f>'Grid_Requirement'!CX41</f>
        <v/>
      </c>
      <c r="DA934">
        <f>'Grid_Requirement'!CY41</f>
        <v/>
      </c>
      <c r="DB934">
        <f>'Grid_Requirement'!CZ41</f>
        <v/>
      </c>
      <c r="DC934">
        <f>'Grid_Requirement'!DA41</f>
        <v/>
      </c>
    </row>
    <row r="935">
      <c r="B935" t="inlineStr">
        <is>
          <t>TTAF在庫(実績,kg)</t>
        </is>
      </c>
      <c r="D935">
        <f>'T_TTAFStock'!B45</f>
        <v/>
      </c>
      <c r="E935">
        <f>'T_TTAFStock'!C45</f>
        <v/>
      </c>
      <c r="F935">
        <f>'T_TTAFStock'!D45</f>
        <v/>
      </c>
      <c r="G935">
        <f>'T_TTAFStock'!E45</f>
        <v/>
      </c>
      <c r="H935">
        <f>'T_TTAFStock'!F45</f>
        <v/>
      </c>
      <c r="I935">
        <f>'T_TTAFStock'!G45</f>
        <v/>
      </c>
      <c r="J935">
        <f>'T_TTAFStock'!H45</f>
        <v/>
      </c>
      <c r="K935">
        <f>'T_TTAFStock'!I45</f>
        <v/>
      </c>
      <c r="L935">
        <f>'T_TTAFStock'!J45</f>
        <v/>
      </c>
      <c r="M935">
        <f>'T_TTAFStock'!K45</f>
        <v/>
      </c>
      <c r="N935">
        <f>'T_TTAFStock'!L45</f>
        <v/>
      </c>
      <c r="O935">
        <f>'T_TTAFStock'!M45</f>
        <v/>
      </c>
      <c r="P935">
        <f>'T_TTAFStock'!N45</f>
        <v/>
      </c>
      <c r="Q935">
        <f>'T_TTAFStock'!O45</f>
        <v/>
      </c>
      <c r="R935">
        <f>'T_TTAFStock'!P45</f>
        <v/>
      </c>
      <c r="S935">
        <f>'T_TTAFStock'!Q45</f>
        <v/>
      </c>
      <c r="T935">
        <f>'T_TTAFStock'!R45</f>
        <v/>
      </c>
      <c r="U935">
        <f>'T_TTAFStock'!S45</f>
        <v/>
      </c>
      <c r="V935">
        <f>'T_TTAFStock'!T45</f>
        <v/>
      </c>
      <c r="W935">
        <f>'T_TTAFStock'!U45</f>
        <v/>
      </c>
      <c r="X935">
        <f>'T_TTAFStock'!V45</f>
        <v/>
      </c>
      <c r="Y935">
        <f>'T_TTAFStock'!W45</f>
        <v/>
      </c>
      <c r="Z935">
        <f>'T_TTAFStock'!X45</f>
        <v/>
      </c>
      <c r="AA935">
        <f>'T_TTAFStock'!Y45</f>
        <v/>
      </c>
      <c r="AB935">
        <f>'T_TTAFStock'!Z45</f>
        <v/>
      </c>
      <c r="AC935">
        <f>'T_TTAFStock'!AA45</f>
        <v/>
      </c>
      <c r="AD935">
        <f>'T_TTAFStock'!AB45</f>
        <v/>
      </c>
      <c r="AE935">
        <f>'T_TTAFStock'!AC45</f>
        <v/>
      </c>
      <c r="AF935">
        <f>'T_TTAFStock'!AD45</f>
        <v/>
      </c>
      <c r="AG935">
        <f>'T_TTAFStock'!AE45</f>
        <v/>
      </c>
      <c r="AH935">
        <f>'T_TTAFStock'!AF45</f>
        <v/>
      </c>
      <c r="AI935">
        <f>'T_TTAFStock'!AG45</f>
        <v/>
      </c>
      <c r="AJ935">
        <f>'T_TTAFStock'!AH45</f>
        <v/>
      </c>
      <c r="AK935">
        <f>'T_TTAFStock'!AI45</f>
        <v/>
      </c>
      <c r="AL935">
        <f>'T_TTAFStock'!AJ45</f>
        <v/>
      </c>
      <c r="AM935">
        <f>'T_TTAFStock'!AK45</f>
        <v/>
      </c>
      <c r="AN935">
        <f>'T_TTAFStock'!AL45</f>
        <v/>
      </c>
      <c r="AO935">
        <f>'T_TTAFStock'!AM45</f>
        <v/>
      </c>
      <c r="AP935">
        <f>'T_TTAFStock'!AN45</f>
        <v/>
      </c>
      <c r="AQ935">
        <f>'T_TTAFStock'!AO45</f>
        <v/>
      </c>
      <c r="AR935">
        <f>'T_TTAFStock'!AP45</f>
        <v/>
      </c>
      <c r="AS935">
        <f>'T_TTAFStock'!AQ45</f>
        <v/>
      </c>
      <c r="AT935">
        <f>'T_TTAFStock'!AR45</f>
        <v/>
      </c>
      <c r="AU935">
        <f>'T_TTAFStock'!AS45</f>
        <v/>
      </c>
      <c r="AV935">
        <f>'T_TTAFStock'!AT45</f>
        <v/>
      </c>
      <c r="AW935">
        <f>'T_TTAFStock'!AU45</f>
        <v/>
      </c>
      <c r="AX935">
        <f>'T_TTAFStock'!AV45</f>
        <v/>
      </c>
      <c r="AY935">
        <f>'T_TTAFStock'!AW45</f>
        <v/>
      </c>
      <c r="AZ935">
        <f>'T_TTAFStock'!AX45</f>
        <v/>
      </c>
      <c r="BA935">
        <f>'T_TTAFStock'!AY45</f>
        <v/>
      </c>
      <c r="BB935">
        <f>'T_TTAFStock'!AZ45</f>
        <v/>
      </c>
      <c r="BC935">
        <f>'T_TTAFStock'!BA45</f>
        <v/>
      </c>
      <c r="BD935">
        <f>'T_TTAFStock'!BB45</f>
        <v/>
      </c>
      <c r="BE935">
        <f>'T_TTAFStock'!BC45</f>
        <v/>
      </c>
      <c r="BF935">
        <f>'T_TTAFStock'!BD45</f>
        <v/>
      </c>
      <c r="BG935">
        <f>'T_TTAFStock'!BE45</f>
        <v/>
      </c>
      <c r="BH935">
        <f>'T_TTAFStock'!BF45</f>
        <v/>
      </c>
      <c r="BI935">
        <f>'T_TTAFStock'!BG45</f>
        <v/>
      </c>
      <c r="BJ935">
        <f>'T_TTAFStock'!BH45</f>
        <v/>
      </c>
      <c r="BK935">
        <f>'T_TTAFStock'!BI45</f>
        <v/>
      </c>
      <c r="BL935">
        <f>'T_TTAFStock'!BJ45</f>
        <v/>
      </c>
      <c r="BM935">
        <f>'T_TTAFStock'!BK45</f>
        <v/>
      </c>
      <c r="BN935">
        <f>'T_TTAFStock'!BL45</f>
        <v/>
      </c>
      <c r="BO935">
        <f>'T_TTAFStock'!BM45</f>
        <v/>
      </c>
      <c r="BP935">
        <f>'T_TTAFStock'!BN45</f>
        <v/>
      </c>
      <c r="BQ935">
        <f>'T_TTAFStock'!BO45</f>
        <v/>
      </c>
      <c r="BR935">
        <f>'T_TTAFStock'!BP45</f>
        <v/>
      </c>
      <c r="BS935">
        <f>'T_TTAFStock'!BQ45</f>
        <v/>
      </c>
      <c r="BT935">
        <f>'T_TTAFStock'!BR45</f>
        <v/>
      </c>
      <c r="BU935">
        <f>'T_TTAFStock'!BS45</f>
        <v/>
      </c>
      <c r="BV935">
        <f>'T_TTAFStock'!BT45</f>
        <v/>
      </c>
      <c r="BW935">
        <f>'T_TTAFStock'!BU45</f>
        <v/>
      </c>
      <c r="BX935">
        <f>'T_TTAFStock'!BV45</f>
        <v/>
      </c>
      <c r="BY935">
        <f>'T_TTAFStock'!BW45</f>
        <v/>
      </c>
      <c r="BZ935">
        <f>'T_TTAFStock'!BX45</f>
        <v/>
      </c>
      <c r="CA935">
        <f>'T_TTAFStock'!BY45</f>
        <v/>
      </c>
      <c r="CB935">
        <f>'T_TTAFStock'!BZ45</f>
        <v/>
      </c>
      <c r="CC935">
        <f>'T_TTAFStock'!CA45</f>
        <v/>
      </c>
      <c r="CD935">
        <f>'T_TTAFStock'!CB45</f>
        <v/>
      </c>
      <c r="CE935">
        <f>'T_TTAFStock'!CC45</f>
        <v/>
      </c>
      <c r="CF935">
        <f>'T_TTAFStock'!CD45</f>
        <v/>
      </c>
      <c r="CG935">
        <f>'T_TTAFStock'!CE45</f>
        <v/>
      </c>
      <c r="CH935">
        <f>'T_TTAFStock'!CF45</f>
        <v/>
      </c>
      <c r="CI935">
        <f>'T_TTAFStock'!CG45</f>
        <v/>
      </c>
      <c r="CJ935">
        <f>'T_TTAFStock'!CH45</f>
        <v/>
      </c>
      <c r="CK935">
        <f>'T_TTAFStock'!CI45</f>
        <v/>
      </c>
      <c r="CL935">
        <f>'T_TTAFStock'!CJ45</f>
        <v/>
      </c>
      <c r="CM935">
        <f>'T_TTAFStock'!CK45</f>
        <v/>
      </c>
      <c r="CN935">
        <f>'T_TTAFStock'!CL45</f>
        <v/>
      </c>
      <c r="CO935">
        <f>'T_TTAFStock'!CM45</f>
        <v/>
      </c>
      <c r="CP935">
        <f>'T_TTAFStock'!CN45</f>
        <v/>
      </c>
      <c r="CQ935">
        <f>'T_TTAFStock'!CO45</f>
        <v/>
      </c>
      <c r="CR935">
        <f>'T_TTAFStock'!CP45</f>
        <v/>
      </c>
      <c r="CS935">
        <f>'T_TTAFStock'!CQ45</f>
        <v/>
      </c>
      <c r="CT935">
        <f>'T_TTAFStock'!CR45</f>
        <v/>
      </c>
      <c r="CU935">
        <f>'T_TTAFStock'!CS45</f>
        <v/>
      </c>
      <c r="CV935">
        <f>'T_TTAFStock'!CT45</f>
        <v/>
      </c>
      <c r="CW935">
        <f>'T_TTAFStock'!CU45</f>
        <v/>
      </c>
      <c r="CX935">
        <f>'T_TTAFStock'!CV45</f>
        <v/>
      </c>
      <c r="CY935">
        <f>'T_TTAFStock'!CW45</f>
        <v/>
      </c>
      <c r="CZ935">
        <f>'T_TTAFStock'!CX45</f>
        <v/>
      </c>
      <c r="DA935">
        <f>'T_TTAFStock'!CY45</f>
        <v/>
      </c>
      <c r="DB935">
        <f>'T_TTAFStock'!CZ45</f>
        <v/>
      </c>
      <c r="DC935">
        <f>'T_TTAFStock'!DA45</f>
        <v/>
      </c>
    </row>
    <row r="936">
      <c r="B936" t="inlineStr">
        <is>
          <t>自社在庫(実績,kg)</t>
        </is>
      </c>
      <c r="D936">
        <f>'T_SelfStock'!B45</f>
        <v/>
      </c>
      <c r="E936">
        <f>'T_SelfStock'!C45</f>
        <v/>
      </c>
      <c r="F936">
        <f>'T_SelfStock'!D45</f>
        <v/>
      </c>
      <c r="G936">
        <f>'T_SelfStock'!E45</f>
        <v/>
      </c>
      <c r="H936">
        <f>'T_SelfStock'!F45</f>
        <v/>
      </c>
      <c r="I936">
        <f>'T_SelfStock'!G45</f>
        <v/>
      </c>
      <c r="J936">
        <f>'T_SelfStock'!H45</f>
        <v/>
      </c>
      <c r="K936">
        <f>'T_SelfStock'!I45</f>
        <v/>
      </c>
      <c r="L936">
        <f>'T_SelfStock'!J45</f>
        <v/>
      </c>
      <c r="M936">
        <f>'T_SelfStock'!K45</f>
        <v/>
      </c>
      <c r="N936">
        <f>'T_SelfStock'!L45</f>
        <v/>
      </c>
      <c r="O936">
        <f>'T_SelfStock'!M45</f>
        <v/>
      </c>
      <c r="P936">
        <f>'T_SelfStock'!N45</f>
        <v/>
      </c>
      <c r="Q936">
        <f>'T_SelfStock'!O45</f>
        <v/>
      </c>
      <c r="R936">
        <f>'T_SelfStock'!P45</f>
        <v/>
      </c>
      <c r="S936">
        <f>'T_SelfStock'!Q45</f>
        <v/>
      </c>
      <c r="T936">
        <f>'T_SelfStock'!R45</f>
        <v/>
      </c>
      <c r="U936">
        <f>'T_SelfStock'!S45</f>
        <v/>
      </c>
      <c r="V936">
        <f>'T_SelfStock'!T45</f>
        <v/>
      </c>
      <c r="W936">
        <f>'T_SelfStock'!U45</f>
        <v/>
      </c>
      <c r="X936">
        <f>'T_SelfStock'!V45</f>
        <v/>
      </c>
      <c r="Y936">
        <f>'T_SelfStock'!W45</f>
        <v/>
      </c>
      <c r="Z936">
        <f>'T_SelfStock'!X45</f>
        <v/>
      </c>
      <c r="AA936">
        <f>'T_SelfStock'!Y45</f>
        <v/>
      </c>
      <c r="AB936">
        <f>'T_SelfStock'!Z45</f>
        <v/>
      </c>
      <c r="AC936">
        <f>'T_SelfStock'!AA45</f>
        <v/>
      </c>
      <c r="AD936">
        <f>'T_SelfStock'!AB45</f>
        <v/>
      </c>
      <c r="AE936">
        <f>'T_SelfStock'!AC45</f>
        <v/>
      </c>
      <c r="AF936">
        <f>'T_SelfStock'!AD45</f>
        <v/>
      </c>
      <c r="AG936">
        <f>'T_SelfStock'!AE45</f>
        <v/>
      </c>
      <c r="AH936">
        <f>'T_SelfStock'!AF45</f>
        <v/>
      </c>
      <c r="AI936">
        <f>'T_SelfStock'!AG45</f>
        <v/>
      </c>
      <c r="AJ936">
        <f>'T_SelfStock'!AH45</f>
        <v/>
      </c>
      <c r="AK936">
        <f>'T_SelfStock'!AI45</f>
        <v/>
      </c>
      <c r="AL936">
        <f>'T_SelfStock'!AJ45</f>
        <v/>
      </c>
      <c r="AM936">
        <f>'T_SelfStock'!AK45</f>
        <v/>
      </c>
      <c r="AN936">
        <f>'T_SelfStock'!AL45</f>
        <v/>
      </c>
      <c r="AO936">
        <f>'T_SelfStock'!AM45</f>
        <v/>
      </c>
      <c r="AP936">
        <f>'T_SelfStock'!AN45</f>
        <v/>
      </c>
      <c r="AQ936">
        <f>'T_SelfStock'!AO45</f>
        <v/>
      </c>
      <c r="AR936">
        <f>'T_SelfStock'!AP45</f>
        <v/>
      </c>
      <c r="AS936">
        <f>'T_SelfStock'!AQ45</f>
        <v/>
      </c>
      <c r="AT936">
        <f>'T_SelfStock'!AR45</f>
        <v/>
      </c>
      <c r="AU936">
        <f>'T_SelfStock'!AS45</f>
        <v/>
      </c>
      <c r="AV936">
        <f>'T_SelfStock'!AT45</f>
        <v/>
      </c>
      <c r="AW936">
        <f>'T_SelfStock'!AU45</f>
        <v/>
      </c>
      <c r="AX936">
        <f>'T_SelfStock'!AV45</f>
        <v/>
      </c>
      <c r="AY936">
        <f>'T_SelfStock'!AW45</f>
        <v/>
      </c>
      <c r="AZ936">
        <f>'T_SelfStock'!AX45</f>
        <v/>
      </c>
      <c r="BA936">
        <f>'T_SelfStock'!AY45</f>
        <v/>
      </c>
      <c r="BB936">
        <f>'T_SelfStock'!AZ45</f>
        <v/>
      </c>
      <c r="BC936">
        <f>'T_SelfStock'!BA45</f>
        <v/>
      </c>
      <c r="BD936">
        <f>'T_SelfStock'!BB45</f>
        <v/>
      </c>
      <c r="BE936">
        <f>'T_SelfStock'!BC45</f>
        <v/>
      </c>
      <c r="BF936">
        <f>'T_SelfStock'!BD45</f>
        <v/>
      </c>
      <c r="BG936">
        <f>'T_SelfStock'!BE45</f>
        <v/>
      </c>
      <c r="BH936">
        <f>'T_SelfStock'!BF45</f>
        <v/>
      </c>
      <c r="BI936">
        <f>'T_SelfStock'!BG45</f>
        <v/>
      </c>
      <c r="BJ936">
        <f>'T_SelfStock'!BH45</f>
        <v/>
      </c>
      <c r="BK936">
        <f>'T_SelfStock'!BI45</f>
        <v/>
      </c>
      <c r="BL936">
        <f>'T_SelfStock'!BJ45</f>
        <v/>
      </c>
      <c r="BM936">
        <f>'T_SelfStock'!BK45</f>
        <v/>
      </c>
      <c r="BN936">
        <f>'T_SelfStock'!BL45</f>
        <v/>
      </c>
      <c r="BO936">
        <f>'T_SelfStock'!BM45</f>
        <v/>
      </c>
      <c r="BP936">
        <f>'T_SelfStock'!BN45</f>
        <v/>
      </c>
      <c r="BQ936">
        <f>'T_SelfStock'!BO45</f>
        <v/>
      </c>
      <c r="BR936">
        <f>'T_SelfStock'!BP45</f>
        <v/>
      </c>
      <c r="BS936">
        <f>'T_SelfStock'!BQ45</f>
        <v/>
      </c>
      <c r="BT936">
        <f>'T_SelfStock'!BR45</f>
        <v/>
      </c>
      <c r="BU936">
        <f>'T_SelfStock'!BS45</f>
        <v/>
      </c>
      <c r="BV936">
        <f>'T_SelfStock'!BT45</f>
        <v/>
      </c>
      <c r="BW936">
        <f>'T_SelfStock'!BU45</f>
        <v/>
      </c>
      <c r="BX936">
        <f>'T_SelfStock'!BV45</f>
        <v/>
      </c>
      <c r="BY936">
        <f>'T_SelfStock'!BW45</f>
        <v/>
      </c>
      <c r="BZ936">
        <f>'T_SelfStock'!BX45</f>
        <v/>
      </c>
      <c r="CA936">
        <f>'T_SelfStock'!BY45</f>
        <v/>
      </c>
      <c r="CB936">
        <f>'T_SelfStock'!BZ45</f>
        <v/>
      </c>
      <c r="CC936">
        <f>'T_SelfStock'!CA45</f>
        <v/>
      </c>
      <c r="CD936">
        <f>'T_SelfStock'!CB45</f>
        <v/>
      </c>
      <c r="CE936">
        <f>'T_SelfStock'!CC45</f>
        <v/>
      </c>
      <c r="CF936">
        <f>'T_SelfStock'!CD45</f>
        <v/>
      </c>
      <c r="CG936">
        <f>'T_SelfStock'!CE45</f>
        <v/>
      </c>
      <c r="CH936">
        <f>'T_SelfStock'!CF45</f>
        <v/>
      </c>
      <c r="CI936">
        <f>'T_SelfStock'!CG45</f>
        <v/>
      </c>
      <c r="CJ936">
        <f>'T_SelfStock'!CH45</f>
        <v/>
      </c>
      <c r="CK936">
        <f>'T_SelfStock'!CI45</f>
        <v/>
      </c>
      <c r="CL936">
        <f>'T_SelfStock'!CJ45</f>
        <v/>
      </c>
      <c r="CM936">
        <f>'T_SelfStock'!CK45</f>
        <v/>
      </c>
      <c r="CN936">
        <f>'T_SelfStock'!CL45</f>
        <v/>
      </c>
      <c r="CO936">
        <f>'T_SelfStock'!CM45</f>
        <v/>
      </c>
      <c r="CP936">
        <f>'T_SelfStock'!CN45</f>
        <v/>
      </c>
      <c r="CQ936">
        <f>'T_SelfStock'!CO45</f>
        <v/>
      </c>
      <c r="CR936">
        <f>'T_SelfStock'!CP45</f>
        <v/>
      </c>
      <c r="CS936">
        <f>'T_SelfStock'!CQ45</f>
        <v/>
      </c>
      <c r="CT936">
        <f>'T_SelfStock'!CR45</f>
        <v/>
      </c>
      <c r="CU936">
        <f>'T_SelfStock'!CS45</f>
        <v/>
      </c>
      <c r="CV936">
        <f>'T_SelfStock'!CT45</f>
        <v/>
      </c>
      <c r="CW936">
        <f>'T_SelfStock'!CU45</f>
        <v/>
      </c>
      <c r="CX936">
        <f>'T_SelfStock'!CV45</f>
        <v/>
      </c>
      <c r="CY936">
        <f>'T_SelfStock'!CW45</f>
        <v/>
      </c>
      <c r="CZ936">
        <f>'T_SelfStock'!CX45</f>
        <v/>
      </c>
      <c r="DA936">
        <f>'T_SelfStock'!CY45</f>
        <v/>
      </c>
      <c r="DB936">
        <f>'T_SelfStock'!CZ45</f>
        <v/>
      </c>
      <c r="DC936">
        <f>'T_SelfStock'!DA45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'Grid_Stock'!B41</f>
        <v/>
      </c>
      <c r="E938">
        <f>'Grid_Stock'!C41</f>
        <v/>
      </c>
      <c r="F938">
        <f>'Grid_Stock'!D41</f>
        <v/>
      </c>
      <c r="G938">
        <f>'Grid_Stock'!E41</f>
        <v/>
      </c>
      <c r="H938">
        <f>'Grid_Stock'!F41</f>
        <v/>
      </c>
      <c r="I938">
        <f>'Grid_Stock'!G41</f>
        <v/>
      </c>
      <c r="J938">
        <f>'Grid_Stock'!H41</f>
        <v/>
      </c>
      <c r="K938">
        <f>'Grid_Stock'!I41</f>
        <v/>
      </c>
      <c r="L938">
        <f>'Grid_Stock'!J41</f>
        <v/>
      </c>
      <c r="M938">
        <f>'Grid_Stock'!K41</f>
        <v/>
      </c>
      <c r="N938">
        <f>'Grid_Stock'!L41</f>
        <v/>
      </c>
      <c r="O938">
        <f>'Grid_Stock'!M41</f>
        <v/>
      </c>
      <c r="P938">
        <f>'Grid_Stock'!N41</f>
        <v/>
      </c>
      <c r="Q938">
        <f>'Grid_Stock'!O41</f>
        <v/>
      </c>
      <c r="R938">
        <f>'Grid_Stock'!P41</f>
        <v/>
      </c>
      <c r="S938">
        <f>'Grid_Stock'!Q41</f>
        <v/>
      </c>
      <c r="T938">
        <f>'Grid_Stock'!R41</f>
        <v/>
      </c>
      <c r="U938">
        <f>'Grid_Stock'!S41</f>
        <v/>
      </c>
      <c r="V938">
        <f>'Grid_Stock'!T41</f>
        <v/>
      </c>
      <c r="W938">
        <f>'Grid_Stock'!U41</f>
        <v/>
      </c>
      <c r="X938">
        <f>'Grid_Stock'!V41</f>
        <v/>
      </c>
      <c r="Y938">
        <f>'Grid_Stock'!W41</f>
        <v/>
      </c>
      <c r="Z938">
        <f>'Grid_Stock'!X41</f>
        <v/>
      </c>
      <c r="AA938">
        <f>'Grid_Stock'!Y41</f>
        <v/>
      </c>
      <c r="AB938">
        <f>'Grid_Stock'!Z41</f>
        <v/>
      </c>
      <c r="AC938">
        <f>'Grid_Stock'!AA41</f>
        <v/>
      </c>
      <c r="AD938">
        <f>'Grid_Stock'!AB41</f>
        <v/>
      </c>
      <c r="AE938">
        <f>'Grid_Stock'!AC41</f>
        <v/>
      </c>
      <c r="AF938">
        <f>'Grid_Stock'!AD41</f>
        <v/>
      </c>
      <c r="AG938">
        <f>'Grid_Stock'!AE41</f>
        <v/>
      </c>
      <c r="AH938">
        <f>'Grid_Stock'!AF41</f>
        <v/>
      </c>
      <c r="AI938">
        <f>'Grid_Stock'!AG41</f>
        <v/>
      </c>
      <c r="AJ938">
        <f>'Grid_Stock'!AH41</f>
        <v/>
      </c>
      <c r="AK938">
        <f>'Grid_Stock'!AI41</f>
        <v/>
      </c>
      <c r="AL938">
        <f>'Grid_Stock'!AJ41</f>
        <v/>
      </c>
      <c r="AM938">
        <f>'Grid_Stock'!AK41</f>
        <v/>
      </c>
      <c r="AN938">
        <f>'Grid_Stock'!AL41</f>
        <v/>
      </c>
      <c r="AO938">
        <f>'Grid_Stock'!AM41</f>
        <v/>
      </c>
      <c r="AP938">
        <f>'Grid_Stock'!AN41</f>
        <v/>
      </c>
      <c r="AQ938">
        <f>'Grid_Stock'!AO41</f>
        <v/>
      </c>
      <c r="AR938">
        <f>'Grid_Stock'!AP41</f>
        <v/>
      </c>
      <c r="AS938">
        <f>'Grid_Stock'!AQ41</f>
        <v/>
      </c>
      <c r="AT938">
        <f>'Grid_Stock'!AR41</f>
        <v/>
      </c>
      <c r="AU938">
        <f>'Grid_Stock'!AS41</f>
        <v/>
      </c>
      <c r="AV938">
        <f>'Grid_Stock'!AT41</f>
        <v/>
      </c>
      <c r="AW938">
        <f>'Grid_Stock'!AU41</f>
        <v/>
      </c>
      <c r="AX938">
        <f>'Grid_Stock'!AV41</f>
        <v/>
      </c>
      <c r="AY938">
        <f>'Grid_Stock'!AW41</f>
        <v/>
      </c>
      <c r="AZ938">
        <f>'Grid_Stock'!AX41</f>
        <v/>
      </c>
      <c r="BA938">
        <f>'Grid_Stock'!AY41</f>
        <v/>
      </c>
      <c r="BB938">
        <f>'Grid_Stock'!AZ41</f>
        <v/>
      </c>
      <c r="BC938">
        <f>'Grid_Stock'!BA41</f>
        <v/>
      </c>
      <c r="BD938">
        <f>'Grid_Stock'!BB41</f>
        <v/>
      </c>
      <c r="BE938">
        <f>'Grid_Stock'!BC41</f>
        <v/>
      </c>
      <c r="BF938">
        <f>'Grid_Stock'!BD41</f>
        <v/>
      </c>
      <c r="BG938">
        <f>'Grid_Stock'!BE41</f>
        <v/>
      </c>
      <c r="BH938">
        <f>'Grid_Stock'!BF41</f>
        <v/>
      </c>
      <c r="BI938">
        <f>'Grid_Stock'!BG41</f>
        <v/>
      </c>
      <c r="BJ938">
        <f>'Grid_Stock'!BH41</f>
        <v/>
      </c>
      <c r="BK938">
        <f>'Grid_Stock'!BI41</f>
        <v/>
      </c>
      <c r="BL938">
        <f>'Grid_Stock'!BJ41</f>
        <v/>
      </c>
      <c r="BM938">
        <f>'Grid_Stock'!BK41</f>
        <v/>
      </c>
      <c r="BN938">
        <f>'Grid_Stock'!BL41</f>
        <v/>
      </c>
      <c r="BO938">
        <f>'Grid_Stock'!BM41</f>
        <v/>
      </c>
      <c r="BP938">
        <f>'Grid_Stock'!BN41</f>
        <v/>
      </c>
      <c r="BQ938">
        <f>'Grid_Stock'!BO41</f>
        <v/>
      </c>
      <c r="BR938">
        <f>'Grid_Stock'!BP41</f>
        <v/>
      </c>
      <c r="BS938">
        <f>'Grid_Stock'!BQ41</f>
        <v/>
      </c>
      <c r="BT938">
        <f>'Grid_Stock'!BR41</f>
        <v/>
      </c>
      <c r="BU938">
        <f>'Grid_Stock'!BS41</f>
        <v/>
      </c>
      <c r="BV938">
        <f>'Grid_Stock'!BT41</f>
        <v/>
      </c>
      <c r="BW938">
        <f>'Grid_Stock'!BU41</f>
        <v/>
      </c>
      <c r="BX938">
        <f>'Grid_Stock'!BV41</f>
        <v/>
      </c>
      <c r="BY938">
        <f>'Grid_Stock'!BW41</f>
        <v/>
      </c>
      <c r="BZ938">
        <f>'Grid_Stock'!BX41</f>
        <v/>
      </c>
      <c r="CA938">
        <f>'Grid_Stock'!BY41</f>
        <v/>
      </c>
      <c r="CB938">
        <f>'Grid_Stock'!BZ41</f>
        <v/>
      </c>
      <c r="CC938">
        <f>'Grid_Stock'!CA41</f>
        <v/>
      </c>
      <c r="CD938">
        <f>'Grid_Stock'!CB41</f>
        <v/>
      </c>
      <c r="CE938">
        <f>'Grid_Stock'!CC41</f>
        <v/>
      </c>
      <c r="CF938">
        <f>'Grid_Stock'!CD41</f>
        <v/>
      </c>
      <c r="CG938">
        <f>'Grid_Stock'!CE41</f>
        <v/>
      </c>
      <c r="CH938">
        <f>'Grid_Stock'!CF41</f>
        <v/>
      </c>
      <c r="CI938">
        <f>'Grid_Stock'!CG41</f>
        <v/>
      </c>
      <c r="CJ938">
        <f>'Grid_Stock'!CH41</f>
        <v/>
      </c>
      <c r="CK938">
        <f>'Grid_Stock'!CI41</f>
        <v/>
      </c>
      <c r="CL938">
        <f>'Grid_Stock'!CJ41</f>
        <v/>
      </c>
      <c r="CM938">
        <f>'Grid_Stock'!CK41</f>
        <v/>
      </c>
      <c r="CN938">
        <f>'Grid_Stock'!CL41</f>
        <v/>
      </c>
      <c r="CO938">
        <f>'Grid_Stock'!CM41</f>
        <v/>
      </c>
      <c r="CP938">
        <f>'Grid_Stock'!CN41</f>
        <v/>
      </c>
      <c r="CQ938">
        <f>'Grid_Stock'!CO41</f>
        <v/>
      </c>
      <c r="CR938">
        <f>'Grid_Stock'!CP41</f>
        <v/>
      </c>
      <c r="CS938">
        <f>'Grid_Stock'!CQ41</f>
        <v/>
      </c>
      <c r="CT938">
        <f>'Grid_Stock'!CR41</f>
        <v/>
      </c>
      <c r="CU938">
        <f>'Grid_Stock'!CS41</f>
        <v/>
      </c>
      <c r="CV938">
        <f>'Grid_Stock'!CT41</f>
        <v/>
      </c>
      <c r="CW938">
        <f>'Grid_Stock'!CU41</f>
        <v/>
      </c>
      <c r="CX938">
        <f>'Grid_Stock'!CV41</f>
        <v/>
      </c>
      <c r="CY938">
        <f>'Grid_Stock'!CW41</f>
        <v/>
      </c>
      <c r="CZ938">
        <f>'Grid_Stock'!CX41</f>
        <v/>
      </c>
      <c r="DA938">
        <f>'Grid_Stock'!CY41</f>
        <v/>
      </c>
      <c r="DB938">
        <f>'Grid_Stock'!CZ41</f>
        <v/>
      </c>
      <c r="DC938">
        <f>'Grid_Stock'!DA41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'Grid_Requirement'!B42</f>
        <v/>
      </c>
      <c r="E946">
        <f>'Grid_Requirement'!C42</f>
        <v/>
      </c>
      <c r="F946">
        <f>'Grid_Requirement'!D42</f>
        <v/>
      </c>
      <c r="G946">
        <f>'Grid_Requirement'!E42</f>
        <v/>
      </c>
      <c r="H946">
        <f>'Grid_Requirement'!F42</f>
        <v/>
      </c>
      <c r="I946">
        <f>'Grid_Requirement'!G42</f>
        <v/>
      </c>
      <c r="J946">
        <f>'Grid_Requirement'!H42</f>
        <v/>
      </c>
      <c r="K946">
        <f>'Grid_Requirement'!I42</f>
        <v/>
      </c>
      <c r="L946">
        <f>'Grid_Requirement'!J42</f>
        <v/>
      </c>
      <c r="M946">
        <f>'Grid_Requirement'!K42</f>
        <v/>
      </c>
      <c r="N946">
        <f>'Grid_Requirement'!L42</f>
        <v/>
      </c>
      <c r="O946">
        <f>'Grid_Requirement'!M42</f>
        <v/>
      </c>
      <c r="P946">
        <f>'Grid_Requirement'!N42</f>
        <v/>
      </c>
      <c r="Q946">
        <f>'Grid_Requirement'!O42</f>
        <v/>
      </c>
      <c r="R946">
        <f>'Grid_Requirement'!P42</f>
        <v/>
      </c>
      <c r="S946">
        <f>'Grid_Requirement'!Q42</f>
        <v/>
      </c>
      <c r="T946">
        <f>'Grid_Requirement'!R42</f>
        <v/>
      </c>
      <c r="U946">
        <f>'Grid_Requirement'!S42</f>
        <v/>
      </c>
      <c r="V946">
        <f>'Grid_Requirement'!T42</f>
        <v/>
      </c>
      <c r="W946">
        <f>'Grid_Requirement'!U42</f>
        <v/>
      </c>
      <c r="X946">
        <f>'Grid_Requirement'!V42</f>
        <v/>
      </c>
      <c r="Y946">
        <f>'Grid_Requirement'!W42</f>
        <v/>
      </c>
      <c r="Z946">
        <f>'Grid_Requirement'!X42</f>
        <v/>
      </c>
      <c r="AA946">
        <f>'Grid_Requirement'!Y42</f>
        <v/>
      </c>
      <c r="AB946">
        <f>'Grid_Requirement'!Z42</f>
        <v/>
      </c>
      <c r="AC946">
        <f>'Grid_Requirement'!AA42</f>
        <v/>
      </c>
      <c r="AD946">
        <f>'Grid_Requirement'!AB42</f>
        <v/>
      </c>
      <c r="AE946">
        <f>'Grid_Requirement'!AC42</f>
        <v/>
      </c>
      <c r="AF946">
        <f>'Grid_Requirement'!AD42</f>
        <v/>
      </c>
      <c r="AG946">
        <f>'Grid_Requirement'!AE42</f>
        <v/>
      </c>
      <c r="AH946">
        <f>'Grid_Requirement'!AF42</f>
        <v/>
      </c>
      <c r="AI946">
        <f>'Grid_Requirement'!AG42</f>
        <v/>
      </c>
      <c r="AJ946">
        <f>'Grid_Requirement'!AH42</f>
        <v/>
      </c>
      <c r="AK946">
        <f>'Grid_Requirement'!AI42</f>
        <v/>
      </c>
      <c r="AL946">
        <f>'Grid_Requirement'!AJ42</f>
        <v/>
      </c>
      <c r="AM946">
        <f>'Grid_Requirement'!AK42</f>
        <v/>
      </c>
      <c r="AN946">
        <f>'Grid_Requirement'!AL42</f>
        <v/>
      </c>
      <c r="AO946">
        <f>'Grid_Requirement'!AM42</f>
        <v/>
      </c>
      <c r="AP946">
        <f>'Grid_Requirement'!AN42</f>
        <v/>
      </c>
      <c r="AQ946">
        <f>'Grid_Requirement'!AO42</f>
        <v/>
      </c>
      <c r="AR946">
        <f>'Grid_Requirement'!AP42</f>
        <v/>
      </c>
      <c r="AS946">
        <f>'Grid_Requirement'!AQ42</f>
        <v/>
      </c>
      <c r="AT946">
        <f>'Grid_Requirement'!AR42</f>
        <v/>
      </c>
      <c r="AU946">
        <f>'Grid_Requirement'!AS42</f>
        <v/>
      </c>
      <c r="AV946">
        <f>'Grid_Requirement'!AT42</f>
        <v/>
      </c>
      <c r="AW946">
        <f>'Grid_Requirement'!AU42</f>
        <v/>
      </c>
      <c r="AX946">
        <f>'Grid_Requirement'!AV42</f>
        <v/>
      </c>
      <c r="AY946">
        <f>'Grid_Requirement'!AW42</f>
        <v/>
      </c>
      <c r="AZ946">
        <f>'Grid_Requirement'!AX42</f>
        <v/>
      </c>
      <c r="BA946">
        <f>'Grid_Requirement'!AY42</f>
        <v/>
      </c>
      <c r="BB946">
        <f>'Grid_Requirement'!AZ42</f>
        <v/>
      </c>
      <c r="BC946">
        <f>'Grid_Requirement'!BA42</f>
        <v/>
      </c>
      <c r="BD946">
        <f>'Grid_Requirement'!BB42</f>
        <v/>
      </c>
      <c r="BE946">
        <f>'Grid_Requirement'!BC42</f>
        <v/>
      </c>
      <c r="BF946">
        <f>'Grid_Requirement'!BD42</f>
        <v/>
      </c>
      <c r="BG946">
        <f>'Grid_Requirement'!BE42</f>
        <v/>
      </c>
      <c r="BH946">
        <f>'Grid_Requirement'!BF42</f>
        <v/>
      </c>
      <c r="BI946">
        <f>'Grid_Requirement'!BG42</f>
        <v/>
      </c>
      <c r="BJ946">
        <f>'Grid_Requirement'!BH42</f>
        <v/>
      </c>
      <c r="BK946">
        <f>'Grid_Requirement'!BI42</f>
        <v/>
      </c>
      <c r="BL946">
        <f>'Grid_Requirement'!BJ42</f>
        <v/>
      </c>
      <c r="BM946">
        <f>'Grid_Requirement'!BK42</f>
        <v/>
      </c>
      <c r="BN946">
        <f>'Grid_Requirement'!BL42</f>
        <v/>
      </c>
      <c r="BO946">
        <f>'Grid_Requirement'!BM42</f>
        <v/>
      </c>
      <c r="BP946">
        <f>'Grid_Requirement'!BN42</f>
        <v/>
      </c>
      <c r="BQ946">
        <f>'Grid_Requirement'!BO42</f>
        <v/>
      </c>
      <c r="BR946">
        <f>'Grid_Requirement'!BP42</f>
        <v/>
      </c>
      <c r="BS946">
        <f>'Grid_Requirement'!BQ42</f>
        <v/>
      </c>
      <c r="BT946">
        <f>'Grid_Requirement'!BR42</f>
        <v/>
      </c>
      <c r="BU946">
        <f>'Grid_Requirement'!BS42</f>
        <v/>
      </c>
      <c r="BV946">
        <f>'Grid_Requirement'!BT42</f>
        <v/>
      </c>
      <c r="BW946">
        <f>'Grid_Requirement'!BU42</f>
        <v/>
      </c>
      <c r="BX946">
        <f>'Grid_Requirement'!BV42</f>
        <v/>
      </c>
      <c r="BY946">
        <f>'Grid_Requirement'!BW42</f>
        <v/>
      </c>
      <c r="BZ946">
        <f>'Grid_Requirement'!BX42</f>
        <v/>
      </c>
      <c r="CA946">
        <f>'Grid_Requirement'!BY42</f>
        <v/>
      </c>
      <c r="CB946">
        <f>'Grid_Requirement'!BZ42</f>
        <v/>
      </c>
      <c r="CC946">
        <f>'Grid_Requirement'!CA42</f>
        <v/>
      </c>
      <c r="CD946">
        <f>'Grid_Requirement'!CB42</f>
        <v/>
      </c>
      <c r="CE946">
        <f>'Grid_Requirement'!CC42</f>
        <v/>
      </c>
      <c r="CF946">
        <f>'Grid_Requirement'!CD42</f>
        <v/>
      </c>
      <c r="CG946">
        <f>'Grid_Requirement'!CE42</f>
        <v/>
      </c>
      <c r="CH946">
        <f>'Grid_Requirement'!CF42</f>
        <v/>
      </c>
      <c r="CI946">
        <f>'Grid_Requirement'!CG42</f>
        <v/>
      </c>
      <c r="CJ946">
        <f>'Grid_Requirement'!CH42</f>
        <v/>
      </c>
      <c r="CK946">
        <f>'Grid_Requirement'!CI42</f>
        <v/>
      </c>
      <c r="CL946">
        <f>'Grid_Requirement'!CJ42</f>
        <v/>
      </c>
      <c r="CM946">
        <f>'Grid_Requirement'!CK42</f>
        <v/>
      </c>
      <c r="CN946">
        <f>'Grid_Requirement'!CL42</f>
        <v/>
      </c>
      <c r="CO946">
        <f>'Grid_Requirement'!CM42</f>
        <v/>
      </c>
      <c r="CP946">
        <f>'Grid_Requirement'!CN42</f>
        <v/>
      </c>
      <c r="CQ946">
        <f>'Grid_Requirement'!CO42</f>
        <v/>
      </c>
      <c r="CR946">
        <f>'Grid_Requirement'!CP42</f>
        <v/>
      </c>
      <c r="CS946">
        <f>'Grid_Requirement'!CQ42</f>
        <v/>
      </c>
      <c r="CT946">
        <f>'Grid_Requirement'!CR42</f>
        <v/>
      </c>
      <c r="CU946">
        <f>'Grid_Requirement'!CS42</f>
        <v/>
      </c>
      <c r="CV946">
        <f>'Grid_Requirement'!CT42</f>
        <v/>
      </c>
      <c r="CW946">
        <f>'Grid_Requirement'!CU42</f>
        <v/>
      </c>
      <c r="CX946">
        <f>'Grid_Requirement'!CV42</f>
        <v/>
      </c>
      <c r="CY946">
        <f>'Grid_Requirement'!CW42</f>
        <v/>
      </c>
      <c r="CZ946">
        <f>'Grid_Requirement'!CX42</f>
        <v/>
      </c>
      <c r="DA946">
        <f>'Grid_Requirement'!CY42</f>
        <v/>
      </c>
      <c r="DB946">
        <f>'Grid_Requirement'!CZ42</f>
        <v/>
      </c>
      <c r="DC946">
        <f>'Grid_Requirement'!DA42</f>
        <v/>
      </c>
    </row>
    <row r="947">
      <c r="B947" t="inlineStr">
        <is>
          <t>TTAF在庫(実績,kg)</t>
        </is>
      </c>
      <c r="D947">
        <f>'T_TTAFStock'!B46</f>
        <v/>
      </c>
      <c r="E947">
        <f>'T_TTAFStock'!C46</f>
        <v/>
      </c>
      <c r="F947">
        <f>'T_TTAFStock'!D46</f>
        <v/>
      </c>
      <c r="G947">
        <f>'T_TTAFStock'!E46</f>
        <v/>
      </c>
      <c r="H947">
        <f>'T_TTAFStock'!F46</f>
        <v/>
      </c>
      <c r="I947">
        <f>'T_TTAFStock'!G46</f>
        <v/>
      </c>
      <c r="J947">
        <f>'T_TTAFStock'!H46</f>
        <v/>
      </c>
      <c r="K947">
        <f>'T_TTAFStock'!I46</f>
        <v/>
      </c>
      <c r="L947">
        <f>'T_TTAFStock'!J46</f>
        <v/>
      </c>
      <c r="M947">
        <f>'T_TTAFStock'!K46</f>
        <v/>
      </c>
      <c r="N947">
        <f>'T_TTAFStock'!L46</f>
        <v/>
      </c>
      <c r="O947">
        <f>'T_TTAFStock'!M46</f>
        <v/>
      </c>
      <c r="P947">
        <f>'T_TTAFStock'!N46</f>
        <v/>
      </c>
      <c r="Q947">
        <f>'T_TTAFStock'!O46</f>
        <v/>
      </c>
      <c r="R947">
        <f>'T_TTAFStock'!P46</f>
        <v/>
      </c>
      <c r="S947">
        <f>'T_TTAFStock'!Q46</f>
        <v/>
      </c>
      <c r="T947">
        <f>'T_TTAFStock'!R46</f>
        <v/>
      </c>
      <c r="U947">
        <f>'T_TTAFStock'!S46</f>
        <v/>
      </c>
      <c r="V947">
        <f>'T_TTAFStock'!T46</f>
        <v/>
      </c>
      <c r="W947">
        <f>'T_TTAFStock'!U46</f>
        <v/>
      </c>
      <c r="X947">
        <f>'T_TTAFStock'!V46</f>
        <v/>
      </c>
      <c r="Y947">
        <f>'T_TTAFStock'!W46</f>
        <v/>
      </c>
      <c r="Z947">
        <f>'T_TTAFStock'!X46</f>
        <v/>
      </c>
      <c r="AA947">
        <f>'T_TTAFStock'!Y46</f>
        <v/>
      </c>
      <c r="AB947">
        <f>'T_TTAFStock'!Z46</f>
        <v/>
      </c>
      <c r="AC947">
        <f>'T_TTAFStock'!AA46</f>
        <v/>
      </c>
      <c r="AD947">
        <f>'T_TTAFStock'!AB46</f>
        <v/>
      </c>
      <c r="AE947">
        <f>'T_TTAFStock'!AC46</f>
        <v/>
      </c>
      <c r="AF947">
        <f>'T_TTAFStock'!AD46</f>
        <v/>
      </c>
      <c r="AG947">
        <f>'T_TTAFStock'!AE46</f>
        <v/>
      </c>
      <c r="AH947">
        <f>'T_TTAFStock'!AF46</f>
        <v/>
      </c>
      <c r="AI947">
        <f>'T_TTAFStock'!AG46</f>
        <v/>
      </c>
      <c r="AJ947">
        <f>'T_TTAFStock'!AH46</f>
        <v/>
      </c>
      <c r="AK947">
        <f>'T_TTAFStock'!AI46</f>
        <v/>
      </c>
      <c r="AL947">
        <f>'T_TTAFStock'!AJ46</f>
        <v/>
      </c>
      <c r="AM947">
        <f>'T_TTAFStock'!AK46</f>
        <v/>
      </c>
      <c r="AN947">
        <f>'T_TTAFStock'!AL46</f>
        <v/>
      </c>
      <c r="AO947">
        <f>'T_TTAFStock'!AM46</f>
        <v/>
      </c>
      <c r="AP947">
        <f>'T_TTAFStock'!AN46</f>
        <v/>
      </c>
      <c r="AQ947">
        <f>'T_TTAFStock'!AO46</f>
        <v/>
      </c>
      <c r="AR947">
        <f>'T_TTAFStock'!AP46</f>
        <v/>
      </c>
      <c r="AS947">
        <f>'T_TTAFStock'!AQ46</f>
        <v/>
      </c>
      <c r="AT947">
        <f>'T_TTAFStock'!AR46</f>
        <v/>
      </c>
      <c r="AU947">
        <f>'T_TTAFStock'!AS46</f>
        <v/>
      </c>
      <c r="AV947">
        <f>'T_TTAFStock'!AT46</f>
        <v/>
      </c>
      <c r="AW947">
        <f>'T_TTAFStock'!AU46</f>
        <v/>
      </c>
      <c r="AX947">
        <f>'T_TTAFStock'!AV46</f>
        <v/>
      </c>
      <c r="AY947">
        <f>'T_TTAFStock'!AW46</f>
        <v/>
      </c>
      <c r="AZ947">
        <f>'T_TTAFStock'!AX46</f>
        <v/>
      </c>
      <c r="BA947">
        <f>'T_TTAFStock'!AY46</f>
        <v/>
      </c>
      <c r="BB947">
        <f>'T_TTAFStock'!AZ46</f>
        <v/>
      </c>
      <c r="BC947">
        <f>'T_TTAFStock'!BA46</f>
        <v/>
      </c>
      <c r="BD947">
        <f>'T_TTAFStock'!BB46</f>
        <v/>
      </c>
      <c r="BE947">
        <f>'T_TTAFStock'!BC46</f>
        <v/>
      </c>
      <c r="BF947">
        <f>'T_TTAFStock'!BD46</f>
        <v/>
      </c>
      <c r="BG947">
        <f>'T_TTAFStock'!BE46</f>
        <v/>
      </c>
      <c r="BH947">
        <f>'T_TTAFStock'!BF46</f>
        <v/>
      </c>
      <c r="BI947">
        <f>'T_TTAFStock'!BG46</f>
        <v/>
      </c>
      <c r="BJ947">
        <f>'T_TTAFStock'!BH46</f>
        <v/>
      </c>
      <c r="BK947">
        <f>'T_TTAFStock'!BI46</f>
        <v/>
      </c>
      <c r="BL947">
        <f>'T_TTAFStock'!BJ46</f>
        <v/>
      </c>
      <c r="BM947">
        <f>'T_TTAFStock'!BK46</f>
        <v/>
      </c>
      <c r="BN947">
        <f>'T_TTAFStock'!BL46</f>
        <v/>
      </c>
      <c r="BO947">
        <f>'T_TTAFStock'!BM46</f>
        <v/>
      </c>
      <c r="BP947">
        <f>'T_TTAFStock'!BN46</f>
        <v/>
      </c>
      <c r="BQ947">
        <f>'T_TTAFStock'!BO46</f>
        <v/>
      </c>
      <c r="BR947">
        <f>'T_TTAFStock'!BP46</f>
        <v/>
      </c>
      <c r="BS947">
        <f>'T_TTAFStock'!BQ46</f>
        <v/>
      </c>
      <c r="BT947">
        <f>'T_TTAFStock'!BR46</f>
        <v/>
      </c>
      <c r="BU947">
        <f>'T_TTAFStock'!BS46</f>
        <v/>
      </c>
      <c r="BV947">
        <f>'T_TTAFStock'!BT46</f>
        <v/>
      </c>
      <c r="BW947">
        <f>'T_TTAFStock'!BU46</f>
        <v/>
      </c>
      <c r="BX947">
        <f>'T_TTAFStock'!BV46</f>
        <v/>
      </c>
      <c r="BY947">
        <f>'T_TTAFStock'!BW46</f>
        <v/>
      </c>
      <c r="BZ947">
        <f>'T_TTAFStock'!BX46</f>
        <v/>
      </c>
      <c r="CA947">
        <f>'T_TTAFStock'!BY46</f>
        <v/>
      </c>
      <c r="CB947">
        <f>'T_TTAFStock'!BZ46</f>
        <v/>
      </c>
      <c r="CC947">
        <f>'T_TTAFStock'!CA46</f>
        <v/>
      </c>
      <c r="CD947">
        <f>'T_TTAFStock'!CB46</f>
        <v/>
      </c>
      <c r="CE947">
        <f>'T_TTAFStock'!CC46</f>
        <v/>
      </c>
      <c r="CF947">
        <f>'T_TTAFStock'!CD46</f>
        <v/>
      </c>
      <c r="CG947">
        <f>'T_TTAFStock'!CE46</f>
        <v/>
      </c>
      <c r="CH947">
        <f>'T_TTAFStock'!CF46</f>
        <v/>
      </c>
      <c r="CI947">
        <f>'T_TTAFStock'!CG46</f>
        <v/>
      </c>
      <c r="CJ947">
        <f>'T_TTAFStock'!CH46</f>
        <v/>
      </c>
      <c r="CK947">
        <f>'T_TTAFStock'!CI46</f>
        <v/>
      </c>
      <c r="CL947">
        <f>'T_TTAFStock'!CJ46</f>
        <v/>
      </c>
      <c r="CM947">
        <f>'T_TTAFStock'!CK46</f>
        <v/>
      </c>
      <c r="CN947">
        <f>'T_TTAFStock'!CL46</f>
        <v/>
      </c>
      <c r="CO947">
        <f>'T_TTAFStock'!CM46</f>
        <v/>
      </c>
      <c r="CP947">
        <f>'T_TTAFStock'!CN46</f>
        <v/>
      </c>
      <c r="CQ947">
        <f>'T_TTAFStock'!CO46</f>
        <v/>
      </c>
      <c r="CR947">
        <f>'T_TTAFStock'!CP46</f>
        <v/>
      </c>
      <c r="CS947">
        <f>'T_TTAFStock'!CQ46</f>
        <v/>
      </c>
      <c r="CT947">
        <f>'T_TTAFStock'!CR46</f>
        <v/>
      </c>
      <c r="CU947">
        <f>'T_TTAFStock'!CS46</f>
        <v/>
      </c>
      <c r="CV947">
        <f>'T_TTAFStock'!CT46</f>
        <v/>
      </c>
      <c r="CW947">
        <f>'T_TTAFStock'!CU46</f>
        <v/>
      </c>
      <c r="CX947">
        <f>'T_TTAFStock'!CV46</f>
        <v/>
      </c>
      <c r="CY947">
        <f>'T_TTAFStock'!CW46</f>
        <v/>
      </c>
      <c r="CZ947">
        <f>'T_TTAFStock'!CX46</f>
        <v/>
      </c>
      <c r="DA947">
        <f>'T_TTAFStock'!CY46</f>
        <v/>
      </c>
      <c r="DB947">
        <f>'T_TTAFStock'!CZ46</f>
        <v/>
      </c>
      <c r="DC947">
        <f>'T_TTAFStock'!DA46</f>
        <v/>
      </c>
    </row>
    <row r="948">
      <c r="B948" t="inlineStr">
        <is>
          <t>自社在庫(実績,kg)</t>
        </is>
      </c>
      <c r="D948">
        <f>'T_SelfStock'!B46</f>
        <v/>
      </c>
      <c r="E948">
        <f>'T_SelfStock'!C46</f>
        <v/>
      </c>
      <c r="F948">
        <f>'T_SelfStock'!D46</f>
        <v/>
      </c>
      <c r="G948">
        <f>'T_SelfStock'!E46</f>
        <v/>
      </c>
      <c r="H948">
        <f>'T_SelfStock'!F46</f>
        <v/>
      </c>
      <c r="I948">
        <f>'T_SelfStock'!G46</f>
        <v/>
      </c>
      <c r="J948">
        <f>'T_SelfStock'!H46</f>
        <v/>
      </c>
      <c r="K948">
        <f>'T_SelfStock'!I46</f>
        <v/>
      </c>
      <c r="L948">
        <f>'T_SelfStock'!J46</f>
        <v/>
      </c>
      <c r="M948">
        <f>'T_SelfStock'!K46</f>
        <v/>
      </c>
      <c r="N948">
        <f>'T_SelfStock'!L46</f>
        <v/>
      </c>
      <c r="O948">
        <f>'T_SelfStock'!M46</f>
        <v/>
      </c>
      <c r="P948">
        <f>'T_SelfStock'!N46</f>
        <v/>
      </c>
      <c r="Q948">
        <f>'T_SelfStock'!O46</f>
        <v/>
      </c>
      <c r="R948">
        <f>'T_SelfStock'!P46</f>
        <v/>
      </c>
      <c r="S948">
        <f>'T_SelfStock'!Q46</f>
        <v/>
      </c>
      <c r="T948">
        <f>'T_SelfStock'!R46</f>
        <v/>
      </c>
      <c r="U948">
        <f>'T_SelfStock'!S46</f>
        <v/>
      </c>
      <c r="V948">
        <f>'T_SelfStock'!T46</f>
        <v/>
      </c>
      <c r="W948">
        <f>'T_SelfStock'!U46</f>
        <v/>
      </c>
      <c r="X948">
        <f>'T_SelfStock'!V46</f>
        <v/>
      </c>
      <c r="Y948">
        <f>'T_SelfStock'!W46</f>
        <v/>
      </c>
      <c r="Z948">
        <f>'T_SelfStock'!X46</f>
        <v/>
      </c>
      <c r="AA948">
        <f>'T_SelfStock'!Y46</f>
        <v/>
      </c>
      <c r="AB948">
        <f>'T_SelfStock'!Z46</f>
        <v/>
      </c>
      <c r="AC948">
        <f>'T_SelfStock'!AA46</f>
        <v/>
      </c>
      <c r="AD948">
        <f>'T_SelfStock'!AB46</f>
        <v/>
      </c>
      <c r="AE948">
        <f>'T_SelfStock'!AC46</f>
        <v/>
      </c>
      <c r="AF948">
        <f>'T_SelfStock'!AD46</f>
        <v/>
      </c>
      <c r="AG948">
        <f>'T_SelfStock'!AE46</f>
        <v/>
      </c>
      <c r="AH948">
        <f>'T_SelfStock'!AF46</f>
        <v/>
      </c>
      <c r="AI948">
        <f>'T_SelfStock'!AG46</f>
        <v/>
      </c>
      <c r="AJ948">
        <f>'T_SelfStock'!AH46</f>
        <v/>
      </c>
      <c r="AK948">
        <f>'T_SelfStock'!AI46</f>
        <v/>
      </c>
      <c r="AL948">
        <f>'T_SelfStock'!AJ46</f>
        <v/>
      </c>
      <c r="AM948">
        <f>'T_SelfStock'!AK46</f>
        <v/>
      </c>
      <c r="AN948">
        <f>'T_SelfStock'!AL46</f>
        <v/>
      </c>
      <c r="AO948">
        <f>'T_SelfStock'!AM46</f>
        <v/>
      </c>
      <c r="AP948">
        <f>'T_SelfStock'!AN46</f>
        <v/>
      </c>
      <c r="AQ948">
        <f>'T_SelfStock'!AO46</f>
        <v/>
      </c>
      <c r="AR948">
        <f>'T_SelfStock'!AP46</f>
        <v/>
      </c>
      <c r="AS948">
        <f>'T_SelfStock'!AQ46</f>
        <v/>
      </c>
      <c r="AT948">
        <f>'T_SelfStock'!AR46</f>
        <v/>
      </c>
      <c r="AU948">
        <f>'T_SelfStock'!AS46</f>
        <v/>
      </c>
      <c r="AV948">
        <f>'T_SelfStock'!AT46</f>
        <v/>
      </c>
      <c r="AW948">
        <f>'T_SelfStock'!AU46</f>
        <v/>
      </c>
      <c r="AX948">
        <f>'T_SelfStock'!AV46</f>
        <v/>
      </c>
      <c r="AY948">
        <f>'T_SelfStock'!AW46</f>
        <v/>
      </c>
      <c r="AZ948">
        <f>'T_SelfStock'!AX46</f>
        <v/>
      </c>
      <c r="BA948">
        <f>'T_SelfStock'!AY46</f>
        <v/>
      </c>
      <c r="BB948">
        <f>'T_SelfStock'!AZ46</f>
        <v/>
      </c>
      <c r="BC948">
        <f>'T_SelfStock'!BA46</f>
        <v/>
      </c>
      <c r="BD948">
        <f>'T_SelfStock'!BB46</f>
        <v/>
      </c>
      <c r="BE948">
        <f>'T_SelfStock'!BC46</f>
        <v/>
      </c>
      <c r="BF948">
        <f>'T_SelfStock'!BD46</f>
        <v/>
      </c>
      <c r="BG948">
        <f>'T_SelfStock'!BE46</f>
        <v/>
      </c>
      <c r="BH948">
        <f>'T_SelfStock'!BF46</f>
        <v/>
      </c>
      <c r="BI948">
        <f>'T_SelfStock'!BG46</f>
        <v/>
      </c>
      <c r="BJ948">
        <f>'T_SelfStock'!BH46</f>
        <v/>
      </c>
      <c r="BK948">
        <f>'T_SelfStock'!BI46</f>
        <v/>
      </c>
      <c r="BL948">
        <f>'T_SelfStock'!BJ46</f>
        <v/>
      </c>
      <c r="BM948">
        <f>'T_SelfStock'!BK46</f>
        <v/>
      </c>
      <c r="BN948">
        <f>'T_SelfStock'!BL46</f>
        <v/>
      </c>
      <c r="BO948">
        <f>'T_SelfStock'!BM46</f>
        <v/>
      </c>
      <c r="BP948">
        <f>'T_SelfStock'!BN46</f>
        <v/>
      </c>
      <c r="BQ948">
        <f>'T_SelfStock'!BO46</f>
        <v/>
      </c>
      <c r="BR948">
        <f>'T_SelfStock'!BP46</f>
        <v/>
      </c>
      <c r="BS948">
        <f>'T_SelfStock'!BQ46</f>
        <v/>
      </c>
      <c r="BT948">
        <f>'T_SelfStock'!BR46</f>
        <v/>
      </c>
      <c r="BU948">
        <f>'T_SelfStock'!BS46</f>
        <v/>
      </c>
      <c r="BV948">
        <f>'T_SelfStock'!BT46</f>
        <v/>
      </c>
      <c r="BW948">
        <f>'T_SelfStock'!BU46</f>
        <v/>
      </c>
      <c r="BX948">
        <f>'T_SelfStock'!BV46</f>
        <v/>
      </c>
      <c r="BY948">
        <f>'T_SelfStock'!BW46</f>
        <v/>
      </c>
      <c r="BZ948">
        <f>'T_SelfStock'!BX46</f>
        <v/>
      </c>
      <c r="CA948">
        <f>'T_SelfStock'!BY46</f>
        <v/>
      </c>
      <c r="CB948">
        <f>'T_SelfStock'!BZ46</f>
        <v/>
      </c>
      <c r="CC948">
        <f>'T_SelfStock'!CA46</f>
        <v/>
      </c>
      <c r="CD948">
        <f>'T_SelfStock'!CB46</f>
        <v/>
      </c>
      <c r="CE948">
        <f>'T_SelfStock'!CC46</f>
        <v/>
      </c>
      <c r="CF948">
        <f>'T_SelfStock'!CD46</f>
        <v/>
      </c>
      <c r="CG948">
        <f>'T_SelfStock'!CE46</f>
        <v/>
      </c>
      <c r="CH948">
        <f>'T_SelfStock'!CF46</f>
        <v/>
      </c>
      <c r="CI948">
        <f>'T_SelfStock'!CG46</f>
        <v/>
      </c>
      <c r="CJ948">
        <f>'T_SelfStock'!CH46</f>
        <v/>
      </c>
      <c r="CK948">
        <f>'T_SelfStock'!CI46</f>
        <v/>
      </c>
      <c r="CL948">
        <f>'T_SelfStock'!CJ46</f>
        <v/>
      </c>
      <c r="CM948">
        <f>'T_SelfStock'!CK46</f>
        <v/>
      </c>
      <c r="CN948">
        <f>'T_SelfStock'!CL46</f>
        <v/>
      </c>
      <c r="CO948">
        <f>'T_SelfStock'!CM46</f>
        <v/>
      </c>
      <c r="CP948">
        <f>'T_SelfStock'!CN46</f>
        <v/>
      </c>
      <c r="CQ948">
        <f>'T_SelfStock'!CO46</f>
        <v/>
      </c>
      <c r="CR948">
        <f>'T_SelfStock'!CP46</f>
        <v/>
      </c>
      <c r="CS948">
        <f>'T_SelfStock'!CQ46</f>
        <v/>
      </c>
      <c r="CT948">
        <f>'T_SelfStock'!CR46</f>
        <v/>
      </c>
      <c r="CU948">
        <f>'T_SelfStock'!CS46</f>
        <v/>
      </c>
      <c r="CV948">
        <f>'T_SelfStock'!CT46</f>
        <v/>
      </c>
      <c r="CW948">
        <f>'T_SelfStock'!CU46</f>
        <v/>
      </c>
      <c r="CX948">
        <f>'T_SelfStock'!CV46</f>
        <v/>
      </c>
      <c r="CY948">
        <f>'T_SelfStock'!CW46</f>
        <v/>
      </c>
      <c r="CZ948">
        <f>'T_SelfStock'!CX46</f>
        <v/>
      </c>
      <c r="DA948">
        <f>'T_SelfStock'!CY46</f>
        <v/>
      </c>
      <c r="DB948">
        <f>'T_SelfStock'!CZ46</f>
        <v/>
      </c>
      <c r="DC948">
        <f>'T_SelfStock'!DA46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'Grid_Stock'!B42</f>
        <v/>
      </c>
      <c r="E950">
        <f>'Grid_Stock'!C42</f>
        <v/>
      </c>
      <c r="F950">
        <f>'Grid_Stock'!D42</f>
        <v/>
      </c>
      <c r="G950">
        <f>'Grid_Stock'!E42</f>
        <v/>
      </c>
      <c r="H950">
        <f>'Grid_Stock'!F42</f>
        <v/>
      </c>
      <c r="I950">
        <f>'Grid_Stock'!G42</f>
        <v/>
      </c>
      <c r="J950">
        <f>'Grid_Stock'!H42</f>
        <v/>
      </c>
      <c r="K950">
        <f>'Grid_Stock'!I42</f>
        <v/>
      </c>
      <c r="L950">
        <f>'Grid_Stock'!J42</f>
        <v/>
      </c>
      <c r="M950">
        <f>'Grid_Stock'!K42</f>
        <v/>
      </c>
      <c r="N950">
        <f>'Grid_Stock'!L42</f>
        <v/>
      </c>
      <c r="O950">
        <f>'Grid_Stock'!M42</f>
        <v/>
      </c>
      <c r="P950">
        <f>'Grid_Stock'!N42</f>
        <v/>
      </c>
      <c r="Q950">
        <f>'Grid_Stock'!O42</f>
        <v/>
      </c>
      <c r="R950">
        <f>'Grid_Stock'!P42</f>
        <v/>
      </c>
      <c r="S950">
        <f>'Grid_Stock'!Q42</f>
        <v/>
      </c>
      <c r="T950">
        <f>'Grid_Stock'!R42</f>
        <v/>
      </c>
      <c r="U950">
        <f>'Grid_Stock'!S42</f>
        <v/>
      </c>
      <c r="V950">
        <f>'Grid_Stock'!T42</f>
        <v/>
      </c>
      <c r="W950">
        <f>'Grid_Stock'!U42</f>
        <v/>
      </c>
      <c r="X950">
        <f>'Grid_Stock'!V42</f>
        <v/>
      </c>
      <c r="Y950">
        <f>'Grid_Stock'!W42</f>
        <v/>
      </c>
      <c r="Z950">
        <f>'Grid_Stock'!X42</f>
        <v/>
      </c>
      <c r="AA950">
        <f>'Grid_Stock'!Y42</f>
        <v/>
      </c>
      <c r="AB950">
        <f>'Grid_Stock'!Z42</f>
        <v/>
      </c>
      <c r="AC950">
        <f>'Grid_Stock'!AA42</f>
        <v/>
      </c>
      <c r="AD950">
        <f>'Grid_Stock'!AB42</f>
        <v/>
      </c>
      <c r="AE950">
        <f>'Grid_Stock'!AC42</f>
        <v/>
      </c>
      <c r="AF950">
        <f>'Grid_Stock'!AD42</f>
        <v/>
      </c>
      <c r="AG950">
        <f>'Grid_Stock'!AE42</f>
        <v/>
      </c>
      <c r="AH950">
        <f>'Grid_Stock'!AF42</f>
        <v/>
      </c>
      <c r="AI950">
        <f>'Grid_Stock'!AG42</f>
        <v/>
      </c>
      <c r="AJ950">
        <f>'Grid_Stock'!AH42</f>
        <v/>
      </c>
      <c r="AK950">
        <f>'Grid_Stock'!AI42</f>
        <v/>
      </c>
      <c r="AL950">
        <f>'Grid_Stock'!AJ42</f>
        <v/>
      </c>
      <c r="AM950">
        <f>'Grid_Stock'!AK42</f>
        <v/>
      </c>
      <c r="AN950">
        <f>'Grid_Stock'!AL42</f>
        <v/>
      </c>
      <c r="AO950">
        <f>'Grid_Stock'!AM42</f>
        <v/>
      </c>
      <c r="AP950">
        <f>'Grid_Stock'!AN42</f>
        <v/>
      </c>
      <c r="AQ950">
        <f>'Grid_Stock'!AO42</f>
        <v/>
      </c>
      <c r="AR950">
        <f>'Grid_Stock'!AP42</f>
        <v/>
      </c>
      <c r="AS950">
        <f>'Grid_Stock'!AQ42</f>
        <v/>
      </c>
      <c r="AT950">
        <f>'Grid_Stock'!AR42</f>
        <v/>
      </c>
      <c r="AU950">
        <f>'Grid_Stock'!AS42</f>
        <v/>
      </c>
      <c r="AV950">
        <f>'Grid_Stock'!AT42</f>
        <v/>
      </c>
      <c r="AW950">
        <f>'Grid_Stock'!AU42</f>
        <v/>
      </c>
      <c r="AX950">
        <f>'Grid_Stock'!AV42</f>
        <v/>
      </c>
      <c r="AY950">
        <f>'Grid_Stock'!AW42</f>
        <v/>
      </c>
      <c r="AZ950">
        <f>'Grid_Stock'!AX42</f>
        <v/>
      </c>
      <c r="BA950">
        <f>'Grid_Stock'!AY42</f>
        <v/>
      </c>
      <c r="BB950">
        <f>'Grid_Stock'!AZ42</f>
        <v/>
      </c>
      <c r="BC950">
        <f>'Grid_Stock'!BA42</f>
        <v/>
      </c>
      <c r="BD950">
        <f>'Grid_Stock'!BB42</f>
        <v/>
      </c>
      <c r="BE950">
        <f>'Grid_Stock'!BC42</f>
        <v/>
      </c>
      <c r="BF950">
        <f>'Grid_Stock'!BD42</f>
        <v/>
      </c>
      <c r="BG950">
        <f>'Grid_Stock'!BE42</f>
        <v/>
      </c>
      <c r="BH950">
        <f>'Grid_Stock'!BF42</f>
        <v/>
      </c>
      <c r="BI950">
        <f>'Grid_Stock'!BG42</f>
        <v/>
      </c>
      <c r="BJ950">
        <f>'Grid_Stock'!BH42</f>
        <v/>
      </c>
      <c r="BK950">
        <f>'Grid_Stock'!BI42</f>
        <v/>
      </c>
      <c r="BL950">
        <f>'Grid_Stock'!BJ42</f>
        <v/>
      </c>
      <c r="BM950">
        <f>'Grid_Stock'!BK42</f>
        <v/>
      </c>
      <c r="BN950">
        <f>'Grid_Stock'!BL42</f>
        <v/>
      </c>
      <c r="BO950">
        <f>'Grid_Stock'!BM42</f>
        <v/>
      </c>
      <c r="BP950">
        <f>'Grid_Stock'!BN42</f>
        <v/>
      </c>
      <c r="BQ950">
        <f>'Grid_Stock'!BO42</f>
        <v/>
      </c>
      <c r="BR950">
        <f>'Grid_Stock'!BP42</f>
        <v/>
      </c>
      <c r="BS950">
        <f>'Grid_Stock'!BQ42</f>
        <v/>
      </c>
      <c r="BT950">
        <f>'Grid_Stock'!BR42</f>
        <v/>
      </c>
      <c r="BU950">
        <f>'Grid_Stock'!BS42</f>
        <v/>
      </c>
      <c r="BV950">
        <f>'Grid_Stock'!BT42</f>
        <v/>
      </c>
      <c r="BW950">
        <f>'Grid_Stock'!BU42</f>
        <v/>
      </c>
      <c r="BX950">
        <f>'Grid_Stock'!BV42</f>
        <v/>
      </c>
      <c r="BY950">
        <f>'Grid_Stock'!BW42</f>
        <v/>
      </c>
      <c r="BZ950">
        <f>'Grid_Stock'!BX42</f>
        <v/>
      </c>
      <c r="CA950">
        <f>'Grid_Stock'!BY42</f>
        <v/>
      </c>
      <c r="CB950">
        <f>'Grid_Stock'!BZ42</f>
        <v/>
      </c>
      <c r="CC950">
        <f>'Grid_Stock'!CA42</f>
        <v/>
      </c>
      <c r="CD950">
        <f>'Grid_Stock'!CB42</f>
        <v/>
      </c>
      <c r="CE950">
        <f>'Grid_Stock'!CC42</f>
        <v/>
      </c>
      <c r="CF950">
        <f>'Grid_Stock'!CD42</f>
        <v/>
      </c>
      <c r="CG950">
        <f>'Grid_Stock'!CE42</f>
        <v/>
      </c>
      <c r="CH950">
        <f>'Grid_Stock'!CF42</f>
        <v/>
      </c>
      <c r="CI950">
        <f>'Grid_Stock'!CG42</f>
        <v/>
      </c>
      <c r="CJ950">
        <f>'Grid_Stock'!CH42</f>
        <v/>
      </c>
      <c r="CK950">
        <f>'Grid_Stock'!CI42</f>
        <v/>
      </c>
      <c r="CL950">
        <f>'Grid_Stock'!CJ42</f>
        <v/>
      </c>
      <c r="CM950">
        <f>'Grid_Stock'!CK42</f>
        <v/>
      </c>
      <c r="CN950">
        <f>'Grid_Stock'!CL42</f>
        <v/>
      </c>
      <c r="CO950">
        <f>'Grid_Stock'!CM42</f>
        <v/>
      </c>
      <c r="CP950">
        <f>'Grid_Stock'!CN42</f>
        <v/>
      </c>
      <c r="CQ950">
        <f>'Grid_Stock'!CO42</f>
        <v/>
      </c>
      <c r="CR950">
        <f>'Grid_Stock'!CP42</f>
        <v/>
      </c>
      <c r="CS950">
        <f>'Grid_Stock'!CQ42</f>
        <v/>
      </c>
      <c r="CT950">
        <f>'Grid_Stock'!CR42</f>
        <v/>
      </c>
      <c r="CU950">
        <f>'Grid_Stock'!CS42</f>
        <v/>
      </c>
      <c r="CV950">
        <f>'Grid_Stock'!CT42</f>
        <v/>
      </c>
      <c r="CW950">
        <f>'Grid_Stock'!CU42</f>
        <v/>
      </c>
      <c r="CX950">
        <f>'Grid_Stock'!CV42</f>
        <v/>
      </c>
      <c r="CY950">
        <f>'Grid_Stock'!CW42</f>
        <v/>
      </c>
      <c r="CZ950">
        <f>'Grid_Stock'!CX42</f>
        <v/>
      </c>
      <c r="DA950">
        <f>'Grid_Stock'!CY42</f>
        <v/>
      </c>
      <c r="DB950">
        <f>'Grid_Stock'!CZ42</f>
        <v/>
      </c>
      <c r="DC950">
        <f>'Grid_Stock'!DA42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TSP-1449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TSP-558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TSP-618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TSP-620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TSP-623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TSP-655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TSP-656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TSP-828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TSP-903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TSP-924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TSP-925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TSP-934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TSP-935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TSP-936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TSP-937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TSP-959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TSP-966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TSZ-616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TSZ-938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TVS-267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TVS-500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TVS-664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TVS-833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VSP-820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VSP-822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VSP-910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VSP-989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VSP-990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s="5" t="inlineStr">
        <is>
          <t>合計使用量(kg)/週</t>
        </is>
      </c>
      <c r="D1014">
        <f>'Grid_Requirement'!B43</f>
        <v/>
      </c>
      <c r="E1014">
        <f>'Grid_Requirement'!C43</f>
        <v/>
      </c>
      <c r="F1014">
        <f>'Grid_Requirement'!D43</f>
        <v/>
      </c>
      <c r="G1014">
        <f>'Grid_Requirement'!E43</f>
        <v/>
      </c>
      <c r="H1014">
        <f>'Grid_Requirement'!F43</f>
        <v/>
      </c>
      <c r="I1014">
        <f>'Grid_Requirement'!G43</f>
        <v/>
      </c>
      <c r="J1014">
        <f>'Grid_Requirement'!H43</f>
        <v/>
      </c>
      <c r="K1014">
        <f>'Grid_Requirement'!I43</f>
        <v/>
      </c>
      <c r="L1014">
        <f>'Grid_Requirement'!J43</f>
        <v/>
      </c>
      <c r="M1014">
        <f>'Grid_Requirement'!K43</f>
        <v/>
      </c>
      <c r="N1014">
        <f>'Grid_Requirement'!L43</f>
        <v/>
      </c>
      <c r="O1014">
        <f>'Grid_Requirement'!M43</f>
        <v/>
      </c>
      <c r="P1014">
        <f>'Grid_Requirement'!N43</f>
        <v/>
      </c>
      <c r="Q1014">
        <f>'Grid_Requirement'!O43</f>
        <v/>
      </c>
      <c r="R1014">
        <f>'Grid_Requirement'!P43</f>
        <v/>
      </c>
      <c r="S1014">
        <f>'Grid_Requirement'!Q43</f>
        <v/>
      </c>
      <c r="T1014">
        <f>'Grid_Requirement'!R43</f>
        <v/>
      </c>
      <c r="U1014">
        <f>'Grid_Requirement'!S43</f>
        <v/>
      </c>
      <c r="V1014">
        <f>'Grid_Requirement'!T43</f>
        <v/>
      </c>
      <c r="W1014">
        <f>'Grid_Requirement'!U43</f>
        <v/>
      </c>
      <c r="X1014">
        <f>'Grid_Requirement'!V43</f>
        <v/>
      </c>
      <c r="Y1014">
        <f>'Grid_Requirement'!W43</f>
        <v/>
      </c>
      <c r="Z1014">
        <f>'Grid_Requirement'!X43</f>
        <v/>
      </c>
      <c r="AA1014">
        <f>'Grid_Requirement'!Y43</f>
        <v/>
      </c>
      <c r="AB1014">
        <f>'Grid_Requirement'!Z43</f>
        <v/>
      </c>
      <c r="AC1014">
        <f>'Grid_Requirement'!AA43</f>
        <v/>
      </c>
      <c r="AD1014">
        <f>'Grid_Requirement'!AB43</f>
        <v/>
      </c>
      <c r="AE1014">
        <f>'Grid_Requirement'!AC43</f>
        <v/>
      </c>
      <c r="AF1014">
        <f>'Grid_Requirement'!AD43</f>
        <v/>
      </c>
      <c r="AG1014">
        <f>'Grid_Requirement'!AE43</f>
        <v/>
      </c>
      <c r="AH1014">
        <f>'Grid_Requirement'!AF43</f>
        <v/>
      </c>
      <c r="AI1014">
        <f>'Grid_Requirement'!AG43</f>
        <v/>
      </c>
      <c r="AJ1014">
        <f>'Grid_Requirement'!AH43</f>
        <v/>
      </c>
      <c r="AK1014">
        <f>'Grid_Requirement'!AI43</f>
        <v/>
      </c>
      <c r="AL1014">
        <f>'Grid_Requirement'!AJ43</f>
        <v/>
      </c>
      <c r="AM1014">
        <f>'Grid_Requirement'!AK43</f>
        <v/>
      </c>
      <c r="AN1014">
        <f>'Grid_Requirement'!AL43</f>
        <v/>
      </c>
      <c r="AO1014">
        <f>'Grid_Requirement'!AM43</f>
        <v/>
      </c>
      <c r="AP1014">
        <f>'Grid_Requirement'!AN43</f>
        <v/>
      </c>
      <c r="AQ1014">
        <f>'Grid_Requirement'!AO43</f>
        <v/>
      </c>
      <c r="AR1014">
        <f>'Grid_Requirement'!AP43</f>
        <v/>
      </c>
      <c r="AS1014">
        <f>'Grid_Requirement'!AQ43</f>
        <v/>
      </c>
      <c r="AT1014">
        <f>'Grid_Requirement'!AR43</f>
        <v/>
      </c>
      <c r="AU1014">
        <f>'Grid_Requirement'!AS43</f>
        <v/>
      </c>
      <c r="AV1014">
        <f>'Grid_Requirement'!AT43</f>
        <v/>
      </c>
      <c r="AW1014">
        <f>'Grid_Requirement'!AU43</f>
        <v/>
      </c>
      <c r="AX1014">
        <f>'Grid_Requirement'!AV43</f>
        <v/>
      </c>
      <c r="AY1014">
        <f>'Grid_Requirement'!AW43</f>
        <v/>
      </c>
      <c r="AZ1014">
        <f>'Grid_Requirement'!AX43</f>
        <v/>
      </c>
      <c r="BA1014">
        <f>'Grid_Requirement'!AY43</f>
        <v/>
      </c>
      <c r="BB1014">
        <f>'Grid_Requirement'!AZ43</f>
        <v/>
      </c>
      <c r="BC1014">
        <f>'Grid_Requirement'!BA43</f>
        <v/>
      </c>
      <c r="BD1014">
        <f>'Grid_Requirement'!BB43</f>
        <v/>
      </c>
      <c r="BE1014">
        <f>'Grid_Requirement'!BC43</f>
        <v/>
      </c>
      <c r="BF1014">
        <f>'Grid_Requirement'!BD43</f>
        <v/>
      </c>
      <c r="BG1014">
        <f>'Grid_Requirement'!BE43</f>
        <v/>
      </c>
      <c r="BH1014">
        <f>'Grid_Requirement'!BF43</f>
        <v/>
      </c>
      <c r="BI1014">
        <f>'Grid_Requirement'!BG43</f>
        <v/>
      </c>
      <c r="BJ1014">
        <f>'Grid_Requirement'!BH43</f>
        <v/>
      </c>
      <c r="BK1014">
        <f>'Grid_Requirement'!BI43</f>
        <v/>
      </c>
      <c r="BL1014">
        <f>'Grid_Requirement'!BJ43</f>
        <v/>
      </c>
      <c r="BM1014">
        <f>'Grid_Requirement'!BK43</f>
        <v/>
      </c>
      <c r="BN1014">
        <f>'Grid_Requirement'!BL43</f>
        <v/>
      </c>
      <c r="BO1014">
        <f>'Grid_Requirement'!BM43</f>
        <v/>
      </c>
      <c r="BP1014">
        <f>'Grid_Requirement'!BN43</f>
        <v/>
      </c>
      <c r="BQ1014">
        <f>'Grid_Requirement'!BO43</f>
        <v/>
      </c>
      <c r="BR1014">
        <f>'Grid_Requirement'!BP43</f>
        <v/>
      </c>
      <c r="BS1014">
        <f>'Grid_Requirement'!BQ43</f>
        <v/>
      </c>
      <c r="BT1014">
        <f>'Grid_Requirement'!BR43</f>
        <v/>
      </c>
      <c r="BU1014">
        <f>'Grid_Requirement'!BS43</f>
        <v/>
      </c>
      <c r="BV1014">
        <f>'Grid_Requirement'!BT43</f>
        <v/>
      </c>
      <c r="BW1014">
        <f>'Grid_Requirement'!BU43</f>
        <v/>
      </c>
      <c r="BX1014">
        <f>'Grid_Requirement'!BV43</f>
        <v/>
      </c>
      <c r="BY1014">
        <f>'Grid_Requirement'!BW43</f>
        <v/>
      </c>
      <c r="BZ1014">
        <f>'Grid_Requirement'!BX43</f>
        <v/>
      </c>
      <c r="CA1014">
        <f>'Grid_Requirement'!BY43</f>
        <v/>
      </c>
      <c r="CB1014">
        <f>'Grid_Requirement'!BZ43</f>
        <v/>
      </c>
      <c r="CC1014">
        <f>'Grid_Requirement'!CA43</f>
        <v/>
      </c>
      <c r="CD1014">
        <f>'Grid_Requirement'!CB43</f>
        <v/>
      </c>
      <c r="CE1014">
        <f>'Grid_Requirement'!CC43</f>
        <v/>
      </c>
      <c r="CF1014">
        <f>'Grid_Requirement'!CD43</f>
        <v/>
      </c>
      <c r="CG1014">
        <f>'Grid_Requirement'!CE43</f>
        <v/>
      </c>
      <c r="CH1014">
        <f>'Grid_Requirement'!CF43</f>
        <v/>
      </c>
      <c r="CI1014">
        <f>'Grid_Requirement'!CG43</f>
        <v/>
      </c>
      <c r="CJ1014">
        <f>'Grid_Requirement'!CH43</f>
        <v/>
      </c>
      <c r="CK1014">
        <f>'Grid_Requirement'!CI43</f>
        <v/>
      </c>
      <c r="CL1014">
        <f>'Grid_Requirement'!CJ43</f>
        <v/>
      </c>
      <c r="CM1014">
        <f>'Grid_Requirement'!CK43</f>
        <v/>
      </c>
      <c r="CN1014">
        <f>'Grid_Requirement'!CL43</f>
        <v/>
      </c>
      <c r="CO1014">
        <f>'Grid_Requirement'!CM43</f>
        <v/>
      </c>
      <c r="CP1014">
        <f>'Grid_Requirement'!CN43</f>
        <v/>
      </c>
      <c r="CQ1014">
        <f>'Grid_Requirement'!CO43</f>
        <v/>
      </c>
      <c r="CR1014">
        <f>'Grid_Requirement'!CP43</f>
        <v/>
      </c>
      <c r="CS1014">
        <f>'Grid_Requirement'!CQ43</f>
        <v/>
      </c>
      <c r="CT1014">
        <f>'Grid_Requirement'!CR43</f>
        <v/>
      </c>
      <c r="CU1014">
        <f>'Grid_Requirement'!CS43</f>
        <v/>
      </c>
      <c r="CV1014">
        <f>'Grid_Requirement'!CT43</f>
        <v/>
      </c>
      <c r="CW1014">
        <f>'Grid_Requirement'!CU43</f>
        <v/>
      </c>
      <c r="CX1014">
        <f>'Grid_Requirement'!CV43</f>
        <v/>
      </c>
      <c r="CY1014">
        <f>'Grid_Requirement'!CW43</f>
        <v/>
      </c>
      <c r="CZ1014">
        <f>'Grid_Requirement'!CX43</f>
        <v/>
      </c>
      <c r="DA1014">
        <f>'Grid_Requirement'!CY43</f>
        <v/>
      </c>
      <c r="DB1014">
        <f>'Grid_Requirement'!CZ43</f>
        <v/>
      </c>
      <c r="DC1014">
        <f>'Grid_Requirement'!DA43</f>
        <v/>
      </c>
    </row>
    <row r="1015">
      <c r="B1015" t="inlineStr">
        <is>
          <t>TTAF在庫(実績,kg)</t>
        </is>
      </c>
      <c r="D1015">
        <f>'T_TTAFStock'!B47</f>
        <v/>
      </c>
      <c r="E1015">
        <f>'T_TTAFStock'!C47</f>
        <v/>
      </c>
      <c r="F1015">
        <f>'T_TTAFStock'!D47</f>
        <v/>
      </c>
      <c r="G1015">
        <f>'T_TTAFStock'!E47</f>
        <v/>
      </c>
      <c r="H1015">
        <f>'T_TTAFStock'!F47</f>
        <v/>
      </c>
      <c r="I1015">
        <f>'T_TTAFStock'!G47</f>
        <v/>
      </c>
      <c r="J1015">
        <f>'T_TTAFStock'!H47</f>
        <v/>
      </c>
      <c r="K1015">
        <f>'T_TTAFStock'!I47</f>
        <v/>
      </c>
      <c r="L1015">
        <f>'T_TTAFStock'!J47</f>
        <v/>
      </c>
      <c r="M1015">
        <f>'T_TTAFStock'!K47</f>
        <v/>
      </c>
      <c r="N1015">
        <f>'T_TTAFStock'!L47</f>
        <v/>
      </c>
      <c r="O1015">
        <f>'T_TTAFStock'!M47</f>
        <v/>
      </c>
      <c r="P1015">
        <f>'T_TTAFStock'!N47</f>
        <v/>
      </c>
      <c r="Q1015">
        <f>'T_TTAFStock'!O47</f>
        <v/>
      </c>
      <c r="R1015">
        <f>'T_TTAFStock'!P47</f>
        <v/>
      </c>
      <c r="S1015">
        <f>'T_TTAFStock'!Q47</f>
        <v/>
      </c>
      <c r="T1015">
        <f>'T_TTAFStock'!R47</f>
        <v/>
      </c>
      <c r="U1015">
        <f>'T_TTAFStock'!S47</f>
        <v/>
      </c>
      <c r="V1015">
        <f>'T_TTAFStock'!T47</f>
        <v/>
      </c>
      <c r="W1015">
        <f>'T_TTAFStock'!U47</f>
        <v/>
      </c>
      <c r="X1015">
        <f>'T_TTAFStock'!V47</f>
        <v/>
      </c>
      <c r="Y1015">
        <f>'T_TTAFStock'!W47</f>
        <v/>
      </c>
      <c r="Z1015">
        <f>'T_TTAFStock'!X47</f>
        <v/>
      </c>
      <c r="AA1015">
        <f>'T_TTAFStock'!Y47</f>
        <v/>
      </c>
      <c r="AB1015">
        <f>'T_TTAFStock'!Z47</f>
        <v/>
      </c>
      <c r="AC1015">
        <f>'T_TTAFStock'!AA47</f>
        <v/>
      </c>
      <c r="AD1015">
        <f>'T_TTAFStock'!AB47</f>
        <v/>
      </c>
      <c r="AE1015">
        <f>'T_TTAFStock'!AC47</f>
        <v/>
      </c>
      <c r="AF1015">
        <f>'T_TTAFStock'!AD47</f>
        <v/>
      </c>
      <c r="AG1015">
        <f>'T_TTAFStock'!AE47</f>
        <v/>
      </c>
      <c r="AH1015">
        <f>'T_TTAFStock'!AF47</f>
        <v/>
      </c>
      <c r="AI1015">
        <f>'T_TTAFStock'!AG47</f>
        <v/>
      </c>
      <c r="AJ1015">
        <f>'T_TTAFStock'!AH47</f>
        <v/>
      </c>
      <c r="AK1015">
        <f>'T_TTAFStock'!AI47</f>
        <v/>
      </c>
      <c r="AL1015">
        <f>'T_TTAFStock'!AJ47</f>
        <v/>
      </c>
      <c r="AM1015">
        <f>'T_TTAFStock'!AK47</f>
        <v/>
      </c>
      <c r="AN1015">
        <f>'T_TTAFStock'!AL47</f>
        <v/>
      </c>
      <c r="AO1015">
        <f>'T_TTAFStock'!AM47</f>
        <v/>
      </c>
      <c r="AP1015">
        <f>'T_TTAFStock'!AN47</f>
        <v/>
      </c>
      <c r="AQ1015">
        <f>'T_TTAFStock'!AO47</f>
        <v/>
      </c>
      <c r="AR1015">
        <f>'T_TTAFStock'!AP47</f>
        <v/>
      </c>
      <c r="AS1015">
        <f>'T_TTAFStock'!AQ47</f>
        <v/>
      </c>
      <c r="AT1015">
        <f>'T_TTAFStock'!AR47</f>
        <v/>
      </c>
      <c r="AU1015">
        <f>'T_TTAFStock'!AS47</f>
        <v/>
      </c>
      <c r="AV1015">
        <f>'T_TTAFStock'!AT47</f>
        <v/>
      </c>
      <c r="AW1015">
        <f>'T_TTAFStock'!AU47</f>
        <v/>
      </c>
      <c r="AX1015">
        <f>'T_TTAFStock'!AV47</f>
        <v/>
      </c>
      <c r="AY1015">
        <f>'T_TTAFStock'!AW47</f>
        <v/>
      </c>
      <c r="AZ1015">
        <f>'T_TTAFStock'!AX47</f>
        <v/>
      </c>
      <c r="BA1015">
        <f>'T_TTAFStock'!AY47</f>
        <v/>
      </c>
      <c r="BB1015">
        <f>'T_TTAFStock'!AZ47</f>
        <v/>
      </c>
      <c r="BC1015">
        <f>'T_TTAFStock'!BA47</f>
        <v/>
      </c>
      <c r="BD1015">
        <f>'T_TTAFStock'!BB47</f>
        <v/>
      </c>
      <c r="BE1015">
        <f>'T_TTAFStock'!BC47</f>
        <v/>
      </c>
      <c r="BF1015">
        <f>'T_TTAFStock'!BD47</f>
        <v/>
      </c>
      <c r="BG1015">
        <f>'T_TTAFStock'!BE47</f>
        <v/>
      </c>
      <c r="BH1015">
        <f>'T_TTAFStock'!BF47</f>
        <v/>
      </c>
      <c r="BI1015">
        <f>'T_TTAFStock'!BG47</f>
        <v/>
      </c>
      <c r="BJ1015">
        <f>'T_TTAFStock'!BH47</f>
        <v/>
      </c>
      <c r="BK1015">
        <f>'T_TTAFStock'!BI47</f>
        <v/>
      </c>
      <c r="BL1015">
        <f>'T_TTAFStock'!BJ47</f>
        <v/>
      </c>
      <c r="BM1015">
        <f>'T_TTAFStock'!BK47</f>
        <v/>
      </c>
      <c r="BN1015">
        <f>'T_TTAFStock'!BL47</f>
        <v/>
      </c>
      <c r="BO1015">
        <f>'T_TTAFStock'!BM47</f>
        <v/>
      </c>
      <c r="BP1015">
        <f>'T_TTAFStock'!BN47</f>
        <v/>
      </c>
      <c r="BQ1015">
        <f>'T_TTAFStock'!BO47</f>
        <v/>
      </c>
      <c r="BR1015">
        <f>'T_TTAFStock'!BP47</f>
        <v/>
      </c>
      <c r="BS1015">
        <f>'T_TTAFStock'!BQ47</f>
        <v/>
      </c>
      <c r="BT1015">
        <f>'T_TTAFStock'!BR47</f>
        <v/>
      </c>
      <c r="BU1015">
        <f>'T_TTAFStock'!BS47</f>
        <v/>
      </c>
      <c r="BV1015">
        <f>'T_TTAFStock'!BT47</f>
        <v/>
      </c>
      <c r="BW1015">
        <f>'T_TTAFStock'!BU47</f>
        <v/>
      </c>
      <c r="BX1015">
        <f>'T_TTAFStock'!BV47</f>
        <v/>
      </c>
      <c r="BY1015">
        <f>'T_TTAFStock'!BW47</f>
        <v/>
      </c>
      <c r="BZ1015">
        <f>'T_TTAFStock'!BX47</f>
        <v/>
      </c>
      <c r="CA1015">
        <f>'T_TTAFStock'!BY47</f>
        <v/>
      </c>
      <c r="CB1015">
        <f>'T_TTAFStock'!BZ47</f>
        <v/>
      </c>
      <c r="CC1015">
        <f>'T_TTAFStock'!CA47</f>
        <v/>
      </c>
      <c r="CD1015">
        <f>'T_TTAFStock'!CB47</f>
        <v/>
      </c>
      <c r="CE1015">
        <f>'T_TTAFStock'!CC47</f>
        <v/>
      </c>
      <c r="CF1015">
        <f>'T_TTAFStock'!CD47</f>
        <v/>
      </c>
      <c r="CG1015">
        <f>'T_TTAFStock'!CE47</f>
        <v/>
      </c>
      <c r="CH1015">
        <f>'T_TTAFStock'!CF47</f>
        <v/>
      </c>
      <c r="CI1015">
        <f>'T_TTAFStock'!CG47</f>
        <v/>
      </c>
      <c r="CJ1015">
        <f>'T_TTAFStock'!CH47</f>
        <v/>
      </c>
      <c r="CK1015">
        <f>'T_TTAFStock'!CI47</f>
        <v/>
      </c>
      <c r="CL1015">
        <f>'T_TTAFStock'!CJ47</f>
        <v/>
      </c>
      <c r="CM1015">
        <f>'T_TTAFStock'!CK47</f>
        <v/>
      </c>
      <c r="CN1015">
        <f>'T_TTAFStock'!CL47</f>
        <v/>
      </c>
      <c r="CO1015">
        <f>'T_TTAFStock'!CM47</f>
        <v/>
      </c>
      <c r="CP1015">
        <f>'T_TTAFStock'!CN47</f>
        <v/>
      </c>
      <c r="CQ1015">
        <f>'T_TTAFStock'!CO47</f>
        <v/>
      </c>
      <c r="CR1015">
        <f>'T_TTAFStock'!CP47</f>
        <v/>
      </c>
      <c r="CS1015">
        <f>'T_TTAFStock'!CQ47</f>
        <v/>
      </c>
      <c r="CT1015">
        <f>'T_TTAFStock'!CR47</f>
        <v/>
      </c>
      <c r="CU1015">
        <f>'T_TTAFStock'!CS47</f>
        <v/>
      </c>
      <c r="CV1015">
        <f>'T_TTAFStock'!CT47</f>
        <v/>
      </c>
      <c r="CW1015">
        <f>'T_TTAFStock'!CU47</f>
        <v/>
      </c>
      <c r="CX1015">
        <f>'T_TTAFStock'!CV47</f>
        <v/>
      </c>
      <c r="CY1015">
        <f>'T_TTAFStock'!CW47</f>
        <v/>
      </c>
      <c r="CZ1015">
        <f>'T_TTAFStock'!CX47</f>
        <v/>
      </c>
      <c r="DA1015">
        <f>'T_TTAFStock'!CY47</f>
        <v/>
      </c>
      <c r="DB1015">
        <f>'T_TTAFStock'!CZ47</f>
        <v/>
      </c>
      <c r="DC1015">
        <f>'T_TTAFStock'!DA47</f>
        <v/>
      </c>
    </row>
    <row r="1016">
      <c r="B1016" t="inlineStr">
        <is>
          <t>自社在庫(実績,kg)</t>
        </is>
      </c>
      <c r="D1016">
        <f>'T_SelfStock'!B47</f>
        <v/>
      </c>
      <c r="E1016">
        <f>'T_SelfStock'!C47</f>
        <v/>
      </c>
      <c r="F1016">
        <f>'T_SelfStock'!D47</f>
        <v/>
      </c>
      <c r="G1016">
        <f>'T_SelfStock'!E47</f>
        <v/>
      </c>
      <c r="H1016">
        <f>'T_SelfStock'!F47</f>
        <v/>
      </c>
      <c r="I1016">
        <f>'T_SelfStock'!G47</f>
        <v/>
      </c>
      <c r="J1016">
        <f>'T_SelfStock'!H47</f>
        <v/>
      </c>
      <c r="K1016">
        <f>'T_SelfStock'!I47</f>
        <v/>
      </c>
      <c r="L1016">
        <f>'T_SelfStock'!J47</f>
        <v/>
      </c>
      <c r="M1016">
        <f>'T_SelfStock'!K47</f>
        <v/>
      </c>
      <c r="N1016">
        <f>'T_SelfStock'!L47</f>
        <v/>
      </c>
      <c r="O1016">
        <f>'T_SelfStock'!M47</f>
        <v/>
      </c>
      <c r="P1016">
        <f>'T_SelfStock'!N47</f>
        <v/>
      </c>
      <c r="Q1016">
        <f>'T_SelfStock'!O47</f>
        <v/>
      </c>
      <c r="R1016">
        <f>'T_SelfStock'!P47</f>
        <v/>
      </c>
      <c r="S1016">
        <f>'T_SelfStock'!Q47</f>
        <v/>
      </c>
      <c r="T1016">
        <f>'T_SelfStock'!R47</f>
        <v/>
      </c>
      <c r="U1016">
        <f>'T_SelfStock'!S47</f>
        <v/>
      </c>
      <c r="V1016">
        <f>'T_SelfStock'!T47</f>
        <v/>
      </c>
      <c r="W1016">
        <f>'T_SelfStock'!U47</f>
        <v/>
      </c>
      <c r="X1016">
        <f>'T_SelfStock'!V47</f>
        <v/>
      </c>
      <c r="Y1016">
        <f>'T_SelfStock'!W47</f>
        <v/>
      </c>
      <c r="Z1016">
        <f>'T_SelfStock'!X47</f>
        <v/>
      </c>
      <c r="AA1016">
        <f>'T_SelfStock'!Y47</f>
        <v/>
      </c>
      <c r="AB1016">
        <f>'T_SelfStock'!Z47</f>
        <v/>
      </c>
      <c r="AC1016">
        <f>'T_SelfStock'!AA47</f>
        <v/>
      </c>
      <c r="AD1016">
        <f>'T_SelfStock'!AB47</f>
        <v/>
      </c>
      <c r="AE1016">
        <f>'T_SelfStock'!AC47</f>
        <v/>
      </c>
      <c r="AF1016">
        <f>'T_SelfStock'!AD47</f>
        <v/>
      </c>
      <c r="AG1016">
        <f>'T_SelfStock'!AE47</f>
        <v/>
      </c>
      <c r="AH1016">
        <f>'T_SelfStock'!AF47</f>
        <v/>
      </c>
      <c r="AI1016">
        <f>'T_SelfStock'!AG47</f>
        <v/>
      </c>
      <c r="AJ1016">
        <f>'T_SelfStock'!AH47</f>
        <v/>
      </c>
      <c r="AK1016">
        <f>'T_SelfStock'!AI47</f>
        <v/>
      </c>
      <c r="AL1016">
        <f>'T_SelfStock'!AJ47</f>
        <v/>
      </c>
      <c r="AM1016">
        <f>'T_SelfStock'!AK47</f>
        <v/>
      </c>
      <c r="AN1016">
        <f>'T_SelfStock'!AL47</f>
        <v/>
      </c>
      <c r="AO1016">
        <f>'T_SelfStock'!AM47</f>
        <v/>
      </c>
      <c r="AP1016">
        <f>'T_SelfStock'!AN47</f>
        <v/>
      </c>
      <c r="AQ1016">
        <f>'T_SelfStock'!AO47</f>
        <v/>
      </c>
      <c r="AR1016">
        <f>'T_SelfStock'!AP47</f>
        <v/>
      </c>
      <c r="AS1016">
        <f>'T_SelfStock'!AQ47</f>
        <v/>
      </c>
      <c r="AT1016">
        <f>'T_SelfStock'!AR47</f>
        <v/>
      </c>
      <c r="AU1016">
        <f>'T_SelfStock'!AS47</f>
        <v/>
      </c>
      <c r="AV1016">
        <f>'T_SelfStock'!AT47</f>
        <v/>
      </c>
      <c r="AW1016">
        <f>'T_SelfStock'!AU47</f>
        <v/>
      </c>
      <c r="AX1016">
        <f>'T_SelfStock'!AV47</f>
        <v/>
      </c>
      <c r="AY1016">
        <f>'T_SelfStock'!AW47</f>
        <v/>
      </c>
      <c r="AZ1016">
        <f>'T_SelfStock'!AX47</f>
        <v/>
      </c>
      <c r="BA1016">
        <f>'T_SelfStock'!AY47</f>
        <v/>
      </c>
      <c r="BB1016">
        <f>'T_SelfStock'!AZ47</f>
        <v/>
      </c>
      <c r="BC1016">
        <f>'T_SelfStock'!BA47</f>
        <v/>
      </c>
      <c r="BD1016">
        <f>'T_SelfStock'!BB47</f>
        <v/>
      </c>
      <c r="BE1016">
        <f>'T_SelfStock'!BC47</f>
        <v/>
      </c>
      <c r="BF1016">
        <f>'T_SelfStock'!BD47</f>
        <v/>
      </c>
      <c r="BG1016">
        <f>'T_SelfStock'!BE47</f>
        <v/>
      </c>
      <c r="BH1016">
        <f>'T_SelfStock'!BF47</f>
        <v/>
      </c>
      <c r="BI1016">
        <f>'T_SelfStock'!BG47</f>
        <v/>
      </c>
      <c r="BJ1016">
        <f>'T_SelfStock'!BH47</f>
        <v/>
      </c>
      <c r="BK1016">
        <f>'T_SelfStock'!BI47</f>
        <v/>
      </c>
      <c r="BL1016">
        <f>'T_SelfStock'!BJ47</f>
        <v/>
      </c>
      <c r="BM1016">
        <f>'T_SelfStock'!BK47</f>
        <v/>
      </c>
      <c r="BN1016">
        <f>'T_SelfStock'!BL47</f>
        <v/>
      </c>
      <c r="BO1016">
        <f>'T_SelfStock'!BM47</f>
        <v/>
      </c>
      <c r="BP1016">
        <f>'T_SelfStock'!BN47</f>
        <v/>
      </c>
      <c r="BQ1016">
        <f>'T_SelfStock'!BO47</f>
        <v/>
      </c>
      <c r="BR1016">
        <f>'T_SelfStock'!BP47</f>
        <v/>
      </c>
      <c r="BS1016">
        <f>'T_SelfStock'!BQ47</f>
        <v/>
      </c>
      <c r="BT1016">
        <f>'T_SelfStock'!BR47</f>
        <v/>
      </c>
      <c r="BU1016">
        <f>'T_SelfStock'!BS47</f>
        <v/>
      </c>
      <c r="BV1016">
        <f>'T_SelfStock'!BT47</f>
        <v/>
      </c>
      <c r="BW1016">
        <f>'T_SelfStock'!BU47</f>
        <v/>
      </c>
      <c r="BX1016">
        <f>'T_SelfStock'!BV47</f>
        <v/>
      </c>
      <c r="BY1016">
        <f>'T_SelfStock'!BW47</f>
        <v/>
      </c>
      <c r="BZ1016">
        <f>'T_SelfStock'!BX47</f>
        <v/>
      </c>
      <c r="CA1016">
        <f>'T_SelfStock'!BY47</f>
        <v/>
      </c>
      <c r="CB1016">
        <f>'T_SelfStock'!BZ47</f>
        <v/>
      </c>
      <c r="CC1016">
        <f>'T_SelfStock'!CA47</f>
        <v/>
      </c>
      <c r="CD1016">
        <f>'T_SelfStock'!CB47</f>
        <v/>
      </c>
      <c r="CE1016">
        <f>'T_SelfStock'!CC47</f>
        <v/>
      </c>
      <c r="CF1016">
        <f>'T_SelfStock'!CD47</f>
        <v/>
      </c>
      <c r="CG1016">
        <f>'T_SelfStock'!CE47</f>
        <v/>
      </c>
      <c r="CH1016">
        <f>'T_SelfStock'!CF47</f>
        <v/>
      </c>
      <c r="CI1016">
        <f>'T_SelfStock'!CG47</f>
        <v/>
      </c>
      <c r="CJ1016">
        <f>'T_SelfStock'!CH47</f>
        <v/>
      </c>
      <c r="CK1016">
        <f>'T_SelfStock'!CI47</f>
        <v/>
      </c>
      <c r="CL1016">
        <f>'T_SelfStock'!CJ47</f>
        <v/>
      </c>
      <c r="CM1016">
        <f>'T_SelfStock'!CK47</f>
        <v/>
      </c>
      <c r="CN1016">
        <f>'T_SelfStock'!CL47</f>
        <v/>
      </c>
      <c r="CO1016">
        <f>'T_SelfStock'!CM47</f>
        <v/>
      </c>
      <c r="CP1016">
        <f>'T_SelfStock'!CN47</f>
        <v/>
      </c>
      <c r="CQ1016">
        <f>'T_SelfStock'!CO47</f>
        <v/>
      </c>
      <c r="CR1016">
        <f>'T_SelfStock'!CP47</f>
        <v/>
      </c>
      <c r="CS1016">
        <f>'T_SelfStock'!CQ47</f>
        <v/>
      </c>
      <c r="CT1016">
        <f>'T_SelfStock'!CR47</f>
        <v/>
      </c>
      <c r="CU1016">
        <f>'T_SelfStock'!CS47</f>
        <v/>
      </c>
      <c r="CV1016">
        <f>'T_SelfStock'!CT47</f>
        <v/>
      </c>
      <c r="CW1016">
        <f>'T_SelfStock'!CU47</f>
        <v/>
      </c>
      <c r="CX1016">
        <f>'T_SelfStock'!CV47</f>
        <v/>
      </c>
      <c r="CY1016">
        <f>'T_SelfStock'!CW47</f>
        <v/>
      </c>
      <c r="CZ1016">
        <f>'T_SelfStock'!CX47</f>
        <v/>
      </c>
      <c r="DA1016">
        <f>'T_SelfStock'!CY47</f>
        <v/>
      </c>
      <c r="DB1016">
        <f>'T_SelfStock'!CZ47</f>
        <v/>
      </c>
      <c r="DC1016">
        <f>'T_SelfStock'!DA47</f>
        <v/>
      </c>
    </row>
    <row r="1017">
      <c r="B1017" t="inlineStr">
        <is>
          <t>Order(発注予定,kg)</t>
        </is>
      </c>
      <c r="D1017" s="23" t="n"/>
      <c r="E1017" s="23" t="n"/>
      <c r="F1017" s="23" t="n"/>
      <c r="G1017" s="23" t="n"/>
      <c r="H1017" s="23" t="n"/>
      <c r="I1017" s="23" t="n"/>
      <c r="J1017" s="23" t="n"/>
      <c r="K1017" s="23" t="n"/>
      <c r="L1017" s="23" t="n"/>
      <c r="M1017" s="23" t="n"/>
      <c r="N1017" s="23" t="n"/>
      <c r="O1017" s="23" t="n"/>
      <c r="P1017" s="23" t="n"/>
      <c r="Q1017" s="23" t="n"/>
      <c r="R1017" s="23" t="n"/>
      <c r="S1017" s="23" t="n"/>
      <c r="T1017" s="23" t="n"/>
      <c r="U1017" s="23" t="n"/>
      <c r="V1017" s="23" t="n"/>
      <c r="W1017" s="23" t="n"/>
      <c r="X1017" s="23" t="n"/>
      <c r="Y1017" s="23" t="n"/>
      <c r="Z1017" s="23" t="n"/>
      <c r="AA1017" s="23" t="n"/>
      <c r="AB1017" s="23" t="n"/>
      <c r="AC1017" s="23" t="n"/>
      <c r="AD1017" s="23" t="n"/>
      <c r="AE1017" s="23" t="n"/>
      <c r="AF1017" s="23" t="n"/>
      <c r="AG1017" s="23" t="n"/>
      <c r="AH1017" s="23" t="n"/>
      <c r="AI1017" s="23" t="n"/>
      <c r="AJ1017" s="23" t="n"/>
      <c r="AK1017" s="23" t="n"/>
      <c r="AL1017" s="23" t="n"/>
      <c r="AM1017" s="23" t="n"/>
      <c r="AN1017" s="23" t="n"/>
      <c r="AO1017" s="23" t="n"/>
      <c r="AP1017" s="23" t="n"/>
      <c r="AQ1017" s="23" t="n"/>
      <c r="AR1017" s="23" t="n"/>
      <c r="AS1017" s="23" t="n"/>
      <c r="AT1017" s="23" t="n"/>
      <c r="AU1017" s="23" t="n"/>
      <c r="AV1017" s="23" t="n"/>
      <c r="AW1017" s="23" t="n"/>
      <c r="AX1017" s="23" t="n"/>
      <c r="AY1017" s="23" t="n"/>
      <c r="AZ1017" s="23" t="n"/>
      <c r="BA1017" s="23" t="n"/>
      <c r="BB1017" s="23" t="n"/>
      <c r="BC1017" s="23" t="n"/>
      <c r="BD1017" s="23" t="n"/>
      <c r="BE1017" s="23" t="n"/>
      <c r="BF1017" s="23" t="n"/>
      <c r="BG1017" s="23" t="n"/>
      <c r="BH1017" s="23" t="n"/>
      <c r="BI1017" s="23" t="n"/>
      <c r="BJ1017" s="23" t="n"/>
      <c r="BK1017" s="23" t="n"/>
      <c r="BL1017" s="23" t="n"/>
      <c r="BM1017" s="23" t="n"/>
      <c r="BN1017" s="23" t="n"/>
      <c r="BO1017" s="23" t="n"/>
      <c r="BP1017" s="23" t="n"/>
      <c r="BQ1017" s="23" t="n"/>
      <c r="BR1017" s="23" t="n"/>
      <c r="BS1017" s="23" t="n"/>
      <c r="BT1017" s="23" t="n"/>
      <c r="BU1017" s="23" t="n"/>
      <c r="BV1017" s="23" t="n"/>
      <c r="BW1017" s="23" t="n"/>
      <c r="BX1017" s="23" t="n"/>
      <c r="BY1017" s="23" t="n"/>
      <c r="BZ1017" s="23" t="n"/>
      <c r="CA1017" s="23" t="n"/>
      <c r="CB1017" s="23" t="n"/>
      <c r="CC1017" s="23" t="n"/>
      <c r="CD1017" s="23" t="n"/>
      <c r="CE1017" s="23" t="n"/>
      <c r="CF1017" s="23" t="n"/>
      <c r="CG1017" s="23" t="n"/>
      <c r="CH1017" s="23" t="n"/>
      <c r="CI1017" s="23" t="n"/>
      <c r="CJ1017" s="23" t="n"/>
      <c r="CK1017" s="23" t="n"/>
      <c r="CL1017" s="23" t="n"/>
      <c r="CM1017" s="23" t="n"/>
      <c r="CN1017" s="23" t="n"/>
      <c r="CO1017" s="23" t="n"/>
      <c r="CP1017" s="23" t="n"/>
      <c r="CQ1017" s="23" t="n"/>
      <c r="CR1017" s="23" t="n"/>
      <c r="CS1017" s="23" t="n"/>
      <c r="CT1017" s="23" t="n"/>
      <c r="CU1017" s="23" t="n"/>
      <c r="CV1017" s="23" t="n"/>
      <c r="CW1017" s="23" t="n"/>
      <c r="CX1017" s="23" t="n"/>
      <c r="CY1017" s="23" t="n"/>
      <c r="CZ1017" s="23" t="n"/>
      <c r="DA1017" s="23" t="n"/>
      <c r="DB1017" s="23" t="n"/>
      <c r="DC1017" s="23" t="n"/>
      <c r="DE1017" s="12" t="inlineStr">
        <is>
          <t>CHEM-1570</t>
        </is>
      </c>
    </row>
    <row r="1018">
      <c r="B1018" s="5" t="inlineStr">
        <is>
          <t>合計在庫(週末時点,kg)</t>
        </is>
      </c>
      <c r="D1018">
        <f>'Grid_Stock'!B43</f>
        <v/>
      </c>
      <c r="E1018">
        <f>'Grid_Stock'!C43</f>
        <v/>
      </c>
      <c r="F1018">
        <f>'Grid_Stock'!D43</f>
        <v/>
      </c>
      <c r="G1018">
        <f>'Grid_Stock'!E43</f>
        <v/>
      </c>
      <c r="H1018">
        <f>'Grid_Stock'!F43</f>
        <v/>
      </c>
      <c r="I1018">
        <f>'Grid_Stock'!G43</f>
        <v/>
      </c>
      <c r="J1018">
        <f>'Grid_Stock'!H43</f>
        <v/>
      </c>
      <c r="K1018">
        <f>'Grid_Stock'!I43</f>
        <v/>
      </c>
      <c r="L1018">
        <f>'Grid_Stock'!J43</f>
        <v/>
      </c>
      <c r="M1018">
        <f>'Grid_Stock'!K43</f>
        <v/>
      </c>
      <c r="N1018">
        <f>'Grid_Stock'!L43</f>
        <v/>
      </c>
      <c r="O1018">
        <f>'Grid_Stock'!M43</f>
        <v/>
      </c>
      <c r="P1018">
        <f>'Grid_Stock'!N43</f>
        <v/>
      </c>
      <c r="Q1018">
        <f>'Grid_Stock'!O43</f>
        <v/>
      </c>
      <c r="R1018">
        <f>'Grid_Stock'!P43</f>
        <v/>
      </c>
      <c r="S1018">
        <f>'Grid_Stock'!Q43</f>
        <v/>
      </c>
      <c r="T1018">
        <f>'Grid_Stock'!R43</f>
        <v/>
      </c>
      <c r="U1018">
        <f>'Grid_Stock'!S43</f>
        <v/>
      </c>
      <c r="V1018">
        <f>'Grid_Stock'!T43</f>
        <v/>
      </c>
      <c r="W1018">
        <f>'Grid_Stock'!U43</f>
        <v/>
      </c>
      <c r="X1018">
        <f>'Grid_Stock'!V43</f>
        <v/>
      </c>
      <c r="Y1018">
        <f>'Grid_Stock'!W43</f>
        <v/>
      </c>
      <c r="Z1018">
        <f>'Grid_Stock'!X43</f>
        <v/>
      </c>
      <c r="AA1018">
        <f>'Grid_Stock'!Y43</f>
        <v/>
      </c>
      <c r="AB1018">
        <f>'Grid_Stock'!Z43</f>
        <v/>
      </c>
      <c r="AC1018">
        <f>'Grid_Stock'!AA43</f>
        <v/>
      </c>
      <c r="AD1018">
        <f>'Grid_Stock'!AB43</f>
        <v/>
      </c>
      <c r="AE1018">
        <f>'Grid_Stock'!AC43</f>
        <v/>
      </c>
      <c r="AF1018">
        <f>'Grid_Stock'!AD43</f>
        <v/>
      </c>
      <c r="AG1018">
        <f>'Grid_Stock'!AE43</f>
        <v/>
      </c>
      <c r="AH1018">
        <f>'Grid_Stock'!AF43</f>
        <v/>
      </c>
      <c r="AI1018">
        <f>'Grid_Stock'!AG43</f>
        <v/>
      </c>
      <c r="AJ1018">
        <f>'Grid_Stock'!AH43</f>
        <v/>
      </c>
      <c r="AK1018">
        <f>'Grid_Stock'!AI43</f>
        <v/>
      </c>
      <c r="AL1018">
        <f>'Grid_Stock'!AJ43</f>
        <v/>
      </c>
      <c r="AM1018">
        <f>'Grid_Stock'!AK43</f>
        <v/>
      </c>
      <c r="AN1018">
        <f>'Grid_Stock'!AL43</f>
        <v/>
      </c>
      <c r="AO1018">
        <f>'Grid_Stock'!AM43</f>
        <v/>
      </c>
      <c r="AP1018">
        <f>'Grid_Stock'!AN43</f>
        <v/>
      </c>
      <c r="AQ1018">
        <f>'Grid_Stock'!AO43</f>
        <v/>
      </c>
      <c r="AR1018">
        <f>'Grid_Stock'!AP43</f>
        <v/>
      </c>
      <c r="AS1018">
        <f>'Grid_Stock'!AQ43</f>
        <v/>
      </c>
      <c r="AT1018">
        <f>'Grid_Stock'!AR43</f>
        <v/>
      </c>
      <c r="AU1018">
        <f>'Grid_Stock'!AS43</f>
        <v/>
      </c>
      <c r="AV1018">
        <f>'Grid_Stock'!AT43</f>
        <v/>
      </c>
      <c r="AW1018">
        <f>'Grid_Stock'!AU43</f>
        <v/>
      </c>
      <c r="AX1018">
        <f>'Grid_Stock'!AV43</f>
        <v/>
      </c>
      <c r="AY1018">
        <f>'Grid_Stock'!AW43</f>
        <v/>
      </c>
      <c r="AZ1018">
        <f>'Grid_Stock'!AX43</f>
        <v/>
      </c>
      <c r="BA1018">
        <f>'Grid_Stock'!AY43</f>
        <v/>
      </c>
      <c r="BB1018">
        <f>'Grid_Stock'!AZ43</f>
        <v/>
      </c>
      <c r="BC1018">
        <f>'Grid_Stock'!BA43</f>
        <v/>
      </c>
      <c r="BD1018">
        <f>'Grid_Stock'!BB43</f>
        <v/>
      </c>
      <c r="BE1018">
        <f>'Grid_Stock'!BC43</f>
        <v/>
      </c>
      <c r="BF1018">
        <f>'Grid_Stock'!BD43</f>
        <v/>
      </c>
      <c r="BG1018">
        <f>'Grid_Stock'!BE43</f>
        <v/>
      </c>
      <c r="BH1018">
        <f>'Grid_Stock'!BF43</f>
        <v/>
      </c>
      <c r="BI1018">
        <f>'Grid_Stock'!BG43</f>
        <v/>
      </c>
      <c r="BJ1018">
        <f>'Grid_Stock'!BH43</f>
        <v/>
      </c>
      <c r="BK1018">
        <f>'Grid_Stock'!BI43</f>
        <v/>
      </c>
      <c r="BL1018">
        <f>'Grid_Stock'!BJ43</f>
        <v/>
      </c>
      <c r="BM1018">
        <f>'Grid_Stock'!BK43</f>
        <v/>
      </c>
      <c r="BN1018">
        <f>'Grid_Stock'!BL43</f>
        <v/>
      </c>
      <c r="BO1018">
        <f>'Grid_Stock'!BM43</f>
        <v/>
      </c>
      <c r="BP1018">
        <f>'Grid_Stock'!BN43</f>
        <v/>
      </c>
      <c r="BQ1018">
        <f>'Grid_Stock'!BO43</f>
        <v/>
      </c>
      <c r="BR1018">
        <f>'Grid_Stock'!BP43</f>
        <v/>
      </c>
      <c r="BS1018">
        <f>'Grid_Stock'!BQ43</f>
        <v/>
      </c>
      <c r="BT1018">
        <f>'Grid_Stock'!BR43</f>
        <v/>
      </c>
      <c r="BU1018">
        <f>'Grid_Stock'!BS43</f>
        <v/>
      </c>
      <c r="BV1018">
        <f>'Grid_Stock'!BT43</f>
        <v/>
      </c>
      <c r="BW1018">
        <f>'Grid_Stock'!BU43</f>
        <v/>
      </c>
      <c r="BX1018">
        <f>'Grid_Stock'!BV43</f>
        <v/>
      </c>
      <c r="BY1018">
        <f>'Grid_Stock'!BW43</f>
        <v/>
      </c>
      <c r="BZ1018">
        <f>'Grid_Stock'!BX43</f>
        <v/>
      </c>
      <c r="CA1018">
        <f>'Grid_Stock'!BY43</f>
        <v/>
      </c>
      <c r="CB1018">
        <f>'Grid_Stock'!BZ43</f>
        <v/>
      </c>
      <c r="CC1018">
        <f>'Grid_Stock'!CA43</f>
        <v/>
      </c>
      <c r="CD1018">
        <f>'Grid_Stock'!CB43</f>
        <v/>
      </c>
      <c r="CE1018">
        <f>'Grid_Stock'!CC43</f>
        <v/>
      </c>
      <c r="CF1018">
        <f>'Grid_Stock'!CD43</f>
        <v/>
      </c>
      <c r="CG1018">
        <f>'Grid_Stock'!CE43</f>
        <v/>
      </c>
      <c r="CH1018">
        <f>'Grid_Stock'!CF43</f>
        <v/>
      </c>
      <c r="CI1018">
        <f>'Grid_Stock'!CG43</f>
        <v/>
      </c>
      <c r="CJ1018">
        <f>'Grid_Stock'!CH43</f>
        <v/>
      </c>
      <c r="CK1018">
        <f>'Grid_Stock'!CI43</f>
        <v/>
      </c>
      <c r="CL1018">
        <f>'Grid_Stock'!CJ43</f>
        <v/>
      </c>
      <c r="CM1018">
        <f>'Grid_Stock'!CK43</f>
        <v/>
      </c>
      <c r="CN1018">
        <f>'Grid_Stock'!CL43</f>
        <v/>
      </c>
      <c r="CO1018">
        <f>'Grid_Stock'!CM43</f>
        <v/>
      </c>
      <c r="CP1018">
        <f>'Grid_Stock'!CN43</f>
        <v/>
      </c>
      <c r="CQ1018">
        <f>'Grid_Stock'!CO43</f>
        <v/>
      </c>
      <c r="CR1018">
        <f>'Grid_Stock'!CP43</f>
        <v/>
      </c>
      <c r="CS1018">
        <f>'Grid_Stock'!CQ43</f>
        <v/>
      </c>
      <c r="CT1018">
        <f>'Grid_Stock'!CR43</f>
        <v/>
      </c>
      <c r="CU1018">
        <f>'Grid_Stock'!CS43</f>
        <v/>
      </c>
      <c r="CV1018">
        <f>'Grid_Stock'!CT43</f>
        <v/>
      </c>
      <c r="CW1018">
        <f>'Grid_Stock'!CU43</f>
        <v/>
      </c>
      <c r="CX1018">
        <f>'Grid_Stock'!CV43</f>
        <v/>
      </c>
      <c r="CY1018">
        <f>'Grid_Stock'!CW43</f>
        <v/>
      </c>
      <c r="CZ1018">
        <f>'Grid_Stock'!CX43</f>
        <v/>
      </c>
      <c r="DA1018">
        <f>'Grid_Stock'!CY43</f>
        <v/>
      </c>
      <c r="DB1018">
        <f>'Grid_Stock'!CZ43</f>
        <v/>
      </c>
      <c r="DC1018">
        <f>'Grid_Stock'!DA43</f>
        <v/>
      </c>
    </row>
    <row r="1019">
      <c r="B1019" s="24" t="inlineStr">
        <is>
          <t>（発注の目安はDashboardの基準在庫[下限/上限]と色分けを参照）</t>
        </is>
      </c>
    </row>
    <row r="1021">
      <c r="A1021" s="21" t="inlineStr">
        <is>
          <t>CHEM-1450</t>
        </is>
      </c>
      <c r="B1021" s="21" t="inlineStr">
        <is>
          <t>Noptechs</t>
        </is>
      </c>
      <c r="C1021" s="22" t="n"/>
      <c r="D1021" s="21" t="n"/>
      <c r="E1021" s="21" t="n"/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  <c r="AA1021" s="21" t="n"/>
      <c r="AB1021" s="21" t="n"/>
      <c r="AC1021" s="21" t="n"/>
      <c r="AD1021" s="21" t="n"/>
      <c r="AE1021" s="21" t="n"/>
      <c r="AF1021" s="21" t="n"/>
      <c r="AG1021" s="21" t="n"/>
      <c r="AH1021" s="21" t="n"/>
      <c r="AI1021" s="21" t="n"/>
      <c r="AJ1021" s="21" t="n"/>
      <c r="AK1021" s="21" t="n"/>
      <c r="AL1021" s="21" t="n"/>
      <c r="AM1021" s="21" t="n"/>
      <c r="AN1021" s="21" t="n"/>
      <c r="AO1021" s="21" t="n"/>
      <c r="AP1021" s="21" t="n"/>
      <c r="AQ1021" s="21" t="n"/>
      <c r="AR1021" s="21" t="n"/>
      <c r="AS1021" s="21" t="n"/>
      <c r="AT1021" s="21" t="n"/>
      <c r="AU1021" s="21" t="n"/>
      <c r="AV1021" s="21" t="n"/>
      <c r="AW1021" s="21" t="n"/>
      <c r="AX1021" s="21" t="n"/>
      <c r="AY1021" s="21" t="n"/>
      <c r="AZ1021" s="21" t="n"/>
      <c r="BA1021" s="21" t="n"/>
      <c r="BB1021" s="21" t="n"/>
      <c r="BC1021" s="21" t="n"/>
      <c r="BD1021" s="21" t="n"/>
      <c r="BE1021" s="21" t="n"/>
      <c r="BF1021" s="21" t="n"/>
      <c r="BG1021" s="21" t="n"/>
      <c r="BH1021" s="21" t="n"/>
      <c r="BI1021" s="21" t="n"/>
      <c r="BJ1021" s="21" t="n"/>
      <c r="BK1021" s="21" t="n"/>
      <c r="BL1021" s="21" t="n"/>
      <c r="BM1021" s="21" t="n"/>
      <c r="BN1021" s="21" t="n"/>
      <c r="BO1021" s="21" t="n"/>
      <c r="BP1021" s="21" t="n"/>
      <c r="BQ1021" s="21" t="n"/>
      <c r="BR1021" s="21" t="n"/>
      <c r="BS1021" s="21" t="n"/>
      <c r="BT1021" s="21" t="n"/>
      <c r="BU1021" s="21" t="n"/>
      <c r="BV1021" s="21" t="n"/>
      <c r="BW1021" s="21" t="n"/>
      <c r="BX1021" s="21" t="n"/>
      <c r="BY1021" s="21" t="n"/>
      <c r="BZ1021" s="21" t="n"/>
      <c r="CA1021" s="21" t="n"/>
      <c r="CB1021" s="21" t="n"/>
      <c r="CC1021" s="21" t="n"/>
      <c r="CD1021" s="21" t="n"/>
      <c r="CE1021" s="21" t="n"/>
      <c r="CF1021" s="21" t="n"/>
      <c r="CG1021" s="21" t="n"/>
      <c r="CH1021" s="21" t="n"/>
      <c r="CI1021" s="21" t="n"/>
      <c r="CJ1021" s="21" t="n"/>
      <c r="CK1021" s="21" t="n"/>
      <c r="CL1021" s="21" t="n"/>
      <c r="CM1021" s="21" t="n"/>
      <c r="CN1021" s="21" t="n"/>
      <c r="CO1021" s="21" t="n"/>
      <c r="CP1021" s="21" t="n"/>
      <c r="CQ1021" s="21" t="n"/>
      <c r="CR1021" s="21" t="n"/>
      <c r="CS1021" s="21" t="n"/>
      <c r="CT1021" s="21" t="n"/>
      <c r="CU1021" s="21" t="n"/>
      <c r="CV1021" s="21" t="n"/>
      <c r="CW1021" s="21" t="n"/>
      <c r="CX1021" s="21" t="n"/>
      <c r="CY1021" s="21" t="n"/>
      <c r="CZ1021" s="21" t="n"/>
      <c r="DA1021" s="21" t="n"/>
      <c r="DB1021" s="21" t="n"/>
      <c r="DC1021" s="21" t="n"/>
    </row>
    <row r="1022">
      <c r="B1022" t="inlineStr">
        <is>
          <t>TSP-225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Name],$A1021)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TSP-558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Name],$A1021)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CHEM-1450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CHEM-1770</t>
        </is>
      </c>
      <c r="B1033" s="21" t="inlineStr">
        <is>
          <t>RCT39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TPP-635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TSP-903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CHEM-1770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CHEM-1430</t>
        </is>
      </c>
      <c r="B1045" s="21" t="inlineStr">
        <is>
          <t>RCT22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TSP-050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TSP-078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TSP-080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Name],$A1045)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TSP-105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Name],$A1045)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t="inlineStr">
        <is>
          <t>TSP-225</t>
        </is>
      </c>
      <c r="C1054" t="inlineStr">
        <is>
          <t>No. of batches</t>
        </is>
      </c>
      <c r="D1054">
        <f>IFERROR(INDEX(PP_Grid[#Data],$DD1054,2),0)</f>
        <v/>
      </c>
      <c r="E1054">
        <f>IFERROR(INDEX(PP_Grid[#Data],$DD1054,3),0)</f>
        <v/>
      </c>
      <c r="F1054">
        <f>IFERROR(INDEX(PP_Grid[#Data],$DD1054,4),0)</f>
        <v/>
      </c>
      <c r="G1054">
        <f>IFERROR(INDEX(PP_Grid[#Data],$DD1054,5),0)</f>
        <v/>
      </c>
      <c r="H1054">
        <f>IFERROR(INDEX(PP_Grid[#Data],$DD1054,6),0)</f>
        <v/>
      </c>
      <c r="I1054">
        <f>IFERROR(INDEX(PP_Grid[#Data],$DD1054,7),0)</f>
        <v/>
      </c>
      <c r="J1054">
        <f>IFERROR(INDEX(PP_Grid[#Data],$DD1054,8),0)</f>
        <v/>
      </c>
      <c r="K1054">
        <f>IFERROR(INDEX(PP_Grid[#Data],$DD1054,9),0)</f>
        <v/>
      </c>
      <c r="L1054">
        <f>IFERROR(INDEX(PP_Grid[#Data],$DD1054,10),0)</f>
        <v/>
      </c>
      <c r="M1054">
        <f>IFERROR(INDEX(PP_Grid[#Data],$DD1054,11),0)</f>
        <v/>
      </c>
      <c r="N1054">
        <f>IFERROR(INDEX(PP_Grid[#Data],$DD1054,12),0)</f>
        <v/>
      </c>
      <c r="O1054">
        <f>IFERROR(INDEX(PP_Grid[#Data],$DD1054,13),0)</f>
        <v/>
      </c>
      <c r="P1054">
        <f>IFERROR(INDEX(PP_Grid[#Data],$DD1054,14),0)</f>
        <v/>
      </c>
      <c r="Q1054">
        <f>IFERROR(INDEX(PP_Grid[#Data],$DD1054,15),0)</f>
        <v/>
      </c>
      <c r="R1054">
        <f>IFERROR(INDEX(PP_Grid[#Data],$DD1054,16),0)</f>
        <v/>
      </c>
      <c r="S1054">
        <f>IFERROR(INDEX(PP_Grid[#Data],$DD1054,17),0)</f>
        <v/>
      </c>
      <c r="T1054">
        <f>IFERROR(INDEX(PP_Grid[#Data],$DD1054,18),0)</f>
        <v/>
      </c>
      <c r="U1054">
        <f>IFERROR(INDEX(PP_Grid[#Data],$DD1054,19),0)</f>
        <v/>
      </c>
      <c r="V1054">
        <f>IFERROR(INDEX(PP_Grid[#Data],$DD1054,20),0)</f>
        <v/>
      </c>
      <c r="W1054">
        <f>IFERROR(INDEX(PP_Grid[#Data],$DD1054,21),0)</f>
        <v/>
      </c>
      <c r="X1054">
        <f>IFERROR(INDEX(PP_Grid[#Data],$DD1054,22),0)</f>
        <v/>
      </c>
      <c r="Y1054">
        <f>IFERROR(INDEX(PP_Grid[#Data],$DD1054,23),0)</f>
        <v/>
      </c>
      <c r="Z1054">
        <f>IFERROR(INDEX(PP_Grid[#Data],$DD1054,24),0)</f>
        <v/>
      </c>
      <c r="AA1054">
        <f>IFERROR(INDEX(PP_Grid[#Data],$DD1054,25),0)</f>
        <v/>
      </c>
      <c r="AB1054">
        <f>IFERROR(INDEX(PP_Grid[#Data],$DD1054,26),0)</f>
        <v/>
      </c>
      <c r="AC1054">
        <f>IFERROR(INDEX(PP_Grid[#Data],$DD1054,27),0)</f>
        <v/>
      </c>
      <c r="AD1054">
        <f>IFERROR(INDEX(PP_Grid[#Data],$DD1054,28),0)</f>
        <v/>
      </c>
      <c r="AE1054">
        <f>IFERROR(INDEX(PP_Grid[#Data],$DD1054,29),0)</f>
        <v/>
      </c>
      <c r="AF1054">
        <f>IFERROR(INDEX(PP_Grid[#Data],$DD1054,30),0)</f>
        <v/>
      </c>
      <c r="AG1054">
        <f>IFERROR(INDEX(PP_Grid[#Data],$DD1054,31),0)</f>
        <v/>
      </c>
      <c r="AH1054">
        <f>IFERROR(INDEX(PP_Grid[#Data],$DD1054,32),0)</f>
        <v/>
      </c>
      <c r="AI1054">
        <f>IFERROR(INDEX(PP_Grid[#Data],$DD1054,33),0)</f>
        <v/>
      </c>
      <c r="AJ1054">
        <f>IFERROR(INDEX(PP_Grid[#Data],$DD1054,34),0)</f>
        <v/>
      </c>
      <c r="AK1054">
        <f>IFERROR(INDEX(PP_Grid[#Data],$DD1054,35),0)</f>
        <v/>
      </c>
      <c r="AL1054">
        <f>IFERROR(INDEX(PP_Grid[#Data],$DD1054,36),0)</f>
        <v/>
      </c>
      <c r="AM1054">
        <f>IFERROR(INDEX(PP_Grid[#Data],$DD1054,37),0)</f>
        <v/>
      </c>
      <c r="AN1054">
        <f>IFERROR(INDEX(PP_Grid[#Data],$DD1054,38),0)</f>
        <v/>
      </c>
      <c r="AO1054">
        <f>IFERROR(INDEX(PP_Grid[#Data],$DD1054,39),0)</f>
        <v/>
      </c>
      <c r="AP1054">
        <f>IFERROR(INDEX(PP_Grid[#Data],$DD1054,40),0)</f>
        <v/>
      </c>
      <c r="AQ1054">
        <f>IFERROR(INDEX(PP_Grid[#Data],$DD1054,41),0)</f>
        <v/>
      </c>
      <c r="AR1054">
        <f>IFERROR(INDEX(PP_Grid[#Data],$DD1054,42),0)</f>
        <v/>
      </c>
      <c r="AS1054">
        <f>IFERROR(INDEX(PP_Grid[#Data],$DD1054,43),0)</f>
        <v/>
      </c>
      <c r="AT1054">
        <f>IFERROR(INDEX(PP_Grid[#Data],$DD1054,44),0)</f>
        <v/>
      </c>
      <c r="AU1054">
        <f>IFERROR(INDEX(PP_Grid[#Data],$DD1054,45),0)</f>
        <v/>
      </c>
      <c r="AV1054">
        <f>IFERROR(INDEX(PP_Grid[#Data],$DD1054,46),0)</f>
        <v/>
      </c>
      <c r="AW1054">
        <f>IFERROR(INDEX(PP_Grid[#Data],$DD1054,47),0)</f>
        <v/>
      </c>
      <c r="AX1054">
        <f>IFERROR(INDEX(PP_Grid[#Data],$DD1054,48),0)</f>
        <v/>
      </c>
      <c r="AY1054">
        <f>IFERROR(INDEX(PP_Grid[#Data],$DD1054,49),0)</f>
        <v/>
      </c>
      <c r="AZ1054">
        <f>IFERROR(INDEX(PP_Grid[#Data],$DD1054,50),0)</f>
        <v/>
      </c>
      <c r="BA1054">
        <f>IFERROR(INDEX(PP_Grid[#Data],$DD1054,51),0)</f>
        <v/>
      </c>
      <c r="BB1054">
        <f>IFERROR(INDEX(PP_Grid[#Data],$DD1054,52),0)</f>
        <v/>
      </c>
      <c r="BC1054">
        <f>IFERROR(INDEX(PP_Grid[#Data],$DD1054,53),0)</f>
        <v/>
      </c>
      <c r="BD1054">
        <f>IFERROR(INDEX(PP_Grid[#Data],$DD1054,54),0)</f>
        <v/>
      </c>
      <c r="BE1054">
        <f>IFERROR(INDEX(PP_Grid[#Data],$DD1054,55),0)</f>
        <v/>
      </c>
      <c r="BF1054">
        <f>IFERROR(INDEX(PP_Grid[#Data],$DD1054,56),0)</f>
        <v/>
      </c>
      <c r="BG1054">
        <f>IFERROR(INDEX(PP_Grid[#Data],$DD1054,57),0)</f>
        <v/>
      </c>
      <c r="BH1054">
        <f>IFERROR(INDEX(PP_Grid[#Data],$DD1054,58),0)</f>
        <v/>
      </c>
      <c r="BI1054">
        <f>IFERROR(INDEX(PP_Grid[#Data],$DD1054,59),0)</f>
        <v/>
      </c>
      <c r="BJ1054">
        <f>IFERROR(INDEX(PP_Grid[#Data],$DD1054,60),0)</f>
        <v/>
      </c>
      <c r="BK1054">
        <f>IFERROR(INDEX(PP_Grid[#Data],$DD1054,61),0)</f>
        <v/>
      </c>
      <c r="BL1054">
        <f>IFERROR(INDEX(PP_Grid[#Data],$DD1054,62),0)</f>
        <v/>
      </c>
      <c r="BM1054">
        <f>IFERROR(INDEX(PP_Grid[#Data],$DD1054,63),0)</f>
        <v/>
      </c>
      <c r="BN1054">
        <f>IFERROR(INDEX(PP_Grid[#Data],$DD1054,64),0)</f>
        <v/>
      </c>
      <c r="BO1054">
        <f>IFERROR(INDEX(PP_Grid[#Data],$DD1054,65),0)</f>
        <v/>
      </c>
      <c r="BP1054">
        <f>IFERROR(INDEX(PP_Grid[#Data],$DD1054,66),0)</f>
        <v/>
      </c>
      <c r="BQ1054">
        <f>IFERROR(INDEX(PP_Grid[#Data],$DD1054,67),0)</f>
        <v/>
      </c>
      <c r="BR1054">
        <f>IFERROR(INDEX(PP_Grid[#Data],$DD1054,68),0)</f>
        <v/>
      </c>
      <c r="BS1054">
        <f>IFERROR(INDEX(PP_Grid[#Data],$DD1054,69),0)</f>
        <v/>
      </c>
      <c r="BT1054">
        <f>IFERROR(INDEX(PP_Grid[#Data],$DD1054,70),0)</f>
        <v/>
      </c>
      <c r="BU1054">
        <f>IFERROR(INDEX(PP_Grid[#Data],$DD1054,71),0)</f>
        <v/>
      </c>
      <c r="BV1054">
        <f>IFERROR(INDEX(PP_Grid[#Data],$DD1054,72),0)</f>
        <v/>
      </c>
      <c r="BW1054">
        <f>IFERROR(INDEX(PP_Grid[#Data],$DD1054,73),0)</f>
        <v/>
      </c>
      <c r="BX1054">
        <f>IFERROR(INDEX(PP_Grid[#Data],$DD1054,74),0)</f>
        <v/>
      </c>
      <c r="BY1054">
        <f>IFERROR(INDEX(PP_Grid[#Data],$DD1054,75),0)</f>
        <v/>
      </c>
      <c r="BZ1054">
        <f>IFERROR(INDEX(PP_Grid[#Data],$DD1054,76),0)</f>
        <v/>
      </c>
      <c r="CA1054">
        <f>IFERROR(INDEX(PP_Grid[#Data],$DD1054,77),0)</f>
        <v/>
      </c>
      <c r="CB1054">
        <f>IFERROR(INDEX(PP_Grid[#Data],$DD1054,78),0)</f>
        <v/>
      </c>
      <c r="CC1054">
        <f>IFERROR(INDEX(PP_Grid[#Data],$DD1054,79),0)</f>
        <v/>
      </c>
      <c r="CD1054">
        <f>IFERROR(INDEX(PP_Grid[#Data],$DD1054,80),0)</f>
        <v/>
      </c>
      <c r="CE1054">
        <f>IFERROR(INDEX(PP_Grid[#Data],$DD1054,81),0)</f>
        <v/>
      </c>
      <c r="CF1054">
        <f>IFERROR(INDEX(PP_Grid[#Data],$DD1054,82),0)</f>
        <v/>
      </c>
      <c r="CG1054">
        <f>IFERROR(INDEX(PP_Grid[#Data],$DD1054,83),0)</f>
        <v/>
      </c>
      <c r="CH1054">
        <f>IFERROR(INDEX(PP_Grid[#Data],$DD1054,84),0)</f>
        <v/>
      </c>
      <c r="CI1054">
        <f>IFERROR(INDEX(PP_Grid[#Data],$DD1054,85),0)</f>
        <v/>
      </c>
      <c r="CJ1054">
        <f>IFERROR(INDEX(PP_Grid[#Data],$DD1054,86),0)</f>
        <v/>
      </c>
      <c r="CK1054">
        <f>IFERROR(INDEX(PP_Grid[#Data],$DD1054,87),0)</f>
        <v/>
      </c>
      <c r="CL1054">
        <f>IFERROR(INDEX(PP_Grid[#Data],$DD1054,88),0)</f>
        <v/>
      </c>
      <c r="CM1054">
        <f>IFERROR(INDEX(PP_Grid[#Data],$DD1054,89),0)</f>
        <v/>
      </c>
      <c r="CN1054">
        <f>IFERROR(INDEX(PP_Grid[#Data],$DD1054,90),0)</f>
        <v/>
      </c>
      <c r="CO1054">
        <f>IFERROR(INDEX(PP_Grid[#Data],$DD1054,91),0)</f>
        <v/>
      </c>
      <c r="CP1054">
        <f>IFERROR(INDEX(PP_Grid[#Data],$DD1054,92),0)</f>
        <v/>
      </c>
      <c r="CQ1054">
        <f>IFERROR(INDEX(PP_Grid[#Data],$DD1054,93),0)</f>
        <v/>
      </c>
      <c r="CR1054">
        <f>IFERROR(INDEX(PP_Grid[#Data],$DD1054,94),0)</f>
        <v/>
      </c>
      <c r="CS1054">
        <f>IFERROR(INDEX(PP_Grid[#Data],$DD1054,95),0)</f>
        <v/>
      </c>
      <c r="CT1054">
        <f>IFERROR(INDEX(PP_Grid[#Data],$DD1054,96),0)</f>
        <v/>
      </c>
      <c r="CU1054">
        <f>IFERROR(INDEX(PP_Grid[#Data],$DD1054,97),0)</f>
        <v/>
      </c>
      <c r="CV1054">
        <f>IFERROR(INDEX(PP_Grid[#Data],$DD1054,98),0)</f>
        <v/>
      </c>
      <c r="CW1054">
        <f>IFERROR(INDEX(PP_Grid[#Data],$DD1054,99),0)</f>
        <v/>
      </c>
      <c r="CX1054">
        <f>IFERROR(INDEX(PP_Grid[#Data],$DD1054,100),0)</f>
        <v/>
      </c>
      <c r="CY1054">
        <f>IFERROR(INDEX(PP_Grid[#Data],$DD1054,101),0)</f>
        <v/>
      </c>
      <c r="CZ1054">
        <f>IFERROR(INDEX(PP_Grid[#Data],$DD1054,102),0)</f>
        <v/>
      </c>
      <c r="DA1054">
        <f>IFERROR(INDEX(PP_Grid[#Data],$DD1054,103),0)</f>
        <v/>
      </c>
      <c r="DB1054">
        <f>IFERROR(INDEX(PP_Grid[#Data],$DD1054,104),0)</f>
        <v/>
      </c>
      <c r="DC1054">
        <f>IFERROR(INDEX(PP_Grid[#Data],$DD1054,105),0)</f>
        <v/>
      </c>
      <c r="DD1054" s="12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SUMIFS(M_BOM[RM_Qty_Per_Batch],M_BOM[Intermediate],$B1054,M_BOM[Part Name],$A1045)</f>
        <v/>
      </c>
      <c r="D1055">
        <f>$C1055*D1054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</row>
    <row r="1056">
      <c r="B1056" s="5" t="inlineStr">
        <is>
          <t>合計使用量(kg)/週</t>
        </is>
      </c>
      <c r="D1056">
        <f>'Grid_Requirement'!B46</f>
        <v/>
      </c>
      <c r="E1056">
        <f>'Grid_Requirement'!C46</f>
        <v/>
      </c>
      <c r="F1056">
        <f>'Grid_Requirement'!D46</f>
        <v/>
      </c>
      <c r="G1056">
        <f>'Grid_Requirement'!E46</f>
        <v/>
      </c>
      <c r="H1056">
        <f>'Grid_Requirement'!F46</f>
        <v/>
      </c>
      <c r="I1056">
        <f>'Grid_Requirement'!G46</f>
        <v/>
      </c>
      <c r="J1056">
        <f>'Grid_Requirement'!H46</f>
        <v/>
      </c>
      <c r="K1056">
        <f>'Grid_Requirement'!I46</f>
        <v/>
      </c>
      <c r="L1056">
        <f>'Grid_Requirement'!J46</f>
        <v/>
      </c>
      <c r="M1056">
        <f>'Grid_Requirement'!K46</f>
        <v/>
      </c>
      <c r="N1056">
        <f>'Grid_Requirement'!L46</f>
        <v/>
      </c>
      <c r="O1056">
        <f>'Grid_Requirement'!M46</f>
        <v/>
      </c>
      <c r="P1056">
        <f>'Grid_Requirement'!N46</f>
        <v/>
      </c>
      <c r="Q1056">
        <f>'Grid_Requirement'!O46</f>
        <v/>
      </c>
      <c r="R1056">
        <f>'Grid_Requirement'!P46</f>
        <v/>
      </c>
      <c r="S1056">
        <f>'Grid_Requirement'!Q46</f>
        <v/>
      </c>
      <c r="T1056">
        <f>'Grid_Requirement'!R46</f>
        <v/>
      </c>
      <c r="U1056">
        <f>'Grid_Requirement'!S46</f>
        <v/>
      </c>
      <c r="V1056">
        <f>'Grid_Requirement'!T46</f>
        <v/>
      </c>
      <c r="W1056">
        <f>'Grid_Requirement'!U46</f>
        <v/>
      </c>
      <c r="X1056">
        <f>'Grid_Requirement'!V46</f>
        <v/>
      </c>
      <c r="Y1056">
        <f>'Grid_Requirement'!W46</f>
        <v/>
      </c>
      <c r="Z1056">
        <f>'Grid_Requirement'!X46</f>
        <v/>
      </c>
      <c r="AA1056">
        <f>'Grid_Requirement'!Y46</f>
        <v/>
      </c>
      <c r="AB1056">
        <f>'Grid_Requirement'!Z46</f>
        <v/>
      </c>
      <c r="AC1056">
        <f>'Grid_Requirement'!AA46</f>
        <v/>
      </c>
      <c r="AD1056">
        <f>'Grid_Requirement'!AB46</f>
        <v/>
      </c>
      <c r="AE1056">
        <f>'Grid_Requirement'!AC46</f>
        <v/>
      </c>
      <c r="AF1056">
        <f>'Grid_Requirement'!AD46</f>
        <v/>
      </c>
      <c r="AG1056">
        <f>'Grid_Requirement'!AE46</f>
        <v/>
      </c>
      <c r="AH1056">
        <f>'Grid_Requirement'!AF46</f>
        <v/>
      </c>
      <c r="AI1056">
        <f>'Grid_Requirement'!AG46</f>
        <v/>
      </c>
      <c r="AJ1056">
        <f>'Grid_Requirement'!AH46</f>
        <v/>
      </c>
      <c r="AK1056">
        <f>'Grid_Requirement'!AI46</f>
        <v/>
      </c>
      <c r="AL1056">
        <f>'Grid_Requirement'!AJ46</f>
        <v/>
      </c>
      <c r="AM1056">
        <f>'Grid_Requirement'!AK46</f>
        <v/>
      </c>
      <c r="AN1056">
        <f>'Grid_Requirement'!AL46</f>
        <v/>
      </c>
      <c r="AO1056">
        <f>'Grid_Requirement'!AM46</f>
        <v/>
      </c>
      <c r="AP1056">
        <f>'Grid_Requirement'!AN46</f>
        <v/>
      </c>
      <c r="AQ1056">
        <f>'Grid_Requirement'!AO46</f>
        <v/>
      </c>
      <c r="AR1056">
        <f>'Grid_Requirement'!AP46</f>
        <v/>
      </c>
      <c r="AS1056">
        <f>'Grid_Requirement'!AQ46</f>
        <v/>
      </c>
      <c r="AT1056">
        <f>'Grid_Requirement'!AR46</f>
        <v/>
      </c>
      <c r="AU1056">
        <f>'Grid_Requirement'!AS46</f>
        <v/>
      </c>
      <c r="AV1056">
        <f>'Grid_Requirement'!AT46</f>
        <v/>
      </c>
      <c r="AW1056">
        <f>'Grid_Requirement'!AU46</f>
        <v/>
      </c>
      <c r="AX1056">
        <f>'Grid_Requirement'!AV46</f>
        <v/>
      </c>
      <c r="AY1056">
        <f>'Grid_Requirement'!AW46</f>
        <v/>
      </c>
      <c r="AZ1056">
        <f>'Grid_Requirement'!AX46</f>
        <v/>
      </c>
      <c r="BA1056">
        <f>'Grid_Requirement'!AY46</f>
        <v/>
      </c>
      <c r="BB1056">
        <f>'Grid_Requirement'!AZ46</f>
        <v/>
      </c>
      <c r="BC1056">
        <f>'Grid_Requirement'!BA46</f>
        <v/>
      </c>
      <c r="BD1056">
        <f>'Grid_Requirement'!BB46</f>
        <v/>
      </c>
      <c r="BE1056">
        <f>'Grid_Requirement'!BC46</f>
        <v/>
      </c>
      <c r="BF1056">
        <f>'Grid_Requirement'!BD46</f>
        <v/>
      </c>
      <c r="BG1056">
        <f>'Grid_Requirement'!BE46</f>
        <v/>
      </c>
      <c r="BH1056">
        <f>'Grid_Requirement'!BF46</f>
        <v/>
      </c>
      <c r="BI1056">
        <f>'Grid_Requirement'!BG46</f>
        <v/>
      </c>
      <c r="BJ1056">
        <f>'Grid_Requirement'!BH46</f>
        <v/>
      </c>
      <c r="BK1056">
        <f>'Grid_Requirement'!BI46</f>
        <v/>
      </c>
      <c r="BL1056">
        <f>'Grid_Requirement'!BJ46</f>
        <v/>
      </c>
      <c r="BM1056">
        <f>'Grid_Requirement'!BK46</f>
        <v/>
      </c>
      <c r="BN1056">
        <f>'Grid_Requirement'!BL46</f>
        <v/>
      </c>
      <c r="BO1056">
        <f>'Grid_Requirement'!BM46</f>
        <v/>
      </c>
      <c r="BP1056">
        <f>'Grid_Requirement'!BN46</f>
        <v/>
      </c>
      <c r="BQ1056">
        <f>'Grid_Requirement'!BO46</f>
        <v/>
      </c>
      <c r="BR1056">
        <f>'Grid_Requirement'!BP46</f>
        <v/>
      </c>
      <c r="BS1056">
        <f>'Grid_Requirement'!BQ46</f>
        <v/>
      </c>
      <c r="BT1056">
        <f>'Grid_Requirement'!BR46</f>
        <v/>
      </c>
      <c r="BU1056">
        <f>'Grid_Requirement'!BS46</f>
        <v/>
      </c>
      <c r="BV1056">
        <f>'Grid_Requirement'!BT46</f>
        <v/>
      </c>
      <c r="BW1056">
        <f>'Grid_Requirement'!BU46</f>
        <v/>
      </c>
      <c r="BX1056">
        <f>'Grid_Requirement'!BV46</f>
        <v/>
      </c>
      <c r="BY1056">
        <f>'Grid_Requirement'!BW46</f>
        <v/>
      </c>
      <c r="BZ1056">
        <f>'Grid_Requirement'!BX46</f>
        <v/>
      </c>
      <c r="CA1056">
        <f>'Grid_Requirement'!BY46</f>
        <v/>
      </c>
      <c r="CB1056">
        <f>'Grid_Requirement'!BZ46</f>
        <v/>
      </c>
      <c r="CC1056">
        <f>'Grid_Requirement'!CA46</f>
        <v/>
      </c>
      <c r="CD1056">
        <f>'Grid_Requirement'!CB46</f>
        <v/>
      </c>
      <c r="CE1056">
        <f>'Grid_Requirement'!CC46</f>
        <v/>
      </c>
      <c r="CF1056">
        <f>'Grid_Requirement'!CD46</f>
        <v/>
      </c>
      <c r="CG1056">
        <f>'Grid_Requirement'!CE46</f>
        <v/>
      </c>
      <c r="CH1056">
        <f>'Grid_Requirement'!CF46</f>
        <v/>
      </c>
      <c r="CI1056">
        <f>'Grid_Requirement'!CG46</f>
        <v/>
      </c>
      <c r="CJ1056">
        <f>'Grid_Requirement'!CH46</f>
        <v/>
      </c>
      <c r="CK1056">
        <f>'Grid_Requirement'!CI46</f>
        <v/>
      </c>
      <c r="CL1056">
        <f>'Grid_Requirement'!CJ46</f>
        <v/>
      </c>
      <c r="CM1056">
        <f>'Grid_Requirement'!CK46</f>
        <v/>
      </c>
      <c r="CN1056">
        <f>'Grid_Requirement'!CL46</f>
        <v/>
      </c>
      <c r="CO1056">
        <f>'Grid_Requirement'!CM46</f>
        <v/>
      </c>
      <c r="CP1056">
        <f>'Grid_Requirement'!CN46</f>
        <v/>
      </c>
      <c r="CQ1056">
        <f>'Grid_Requirement'!CO46</f>
        <v/>
      </c>
      <c r="CR1056">
        <f>'Grid_Requirement'!CP46</f>
        <v/>
      </c>
      <c r="CS1056">
        <f>'Grid_Requirement'!CQ46</f>
        <v/>
      </c>
      <c r="CT1056">
        <f>'Grid_Requirement'!CR46</f>
        <v/>
      </c>
      <c r="CU1056">
        <f>'Grid_Requirement'!CS46</f>
        <v/>
      </c>
      <c r="CV1056">
        <f>'Grid_Requirement'!CT46</f>
        <v/>
      </c>
      <c r="CW1056">
        <f>'Grid_Requirement'!CU46</f>
        <v/>
      </c>
      <c r="CX1056">
        <f>'Grid_Requirement'!CV46</f>
        <v/>
      </c>
      <c r="CY1056">
        <f>'Grid_Requirement'!CW46</f>
        <v/>
      </c>
      <c r="CZ1056">
        <f>'Grid_Requirement'!CX46</f>
        <v/>
      </c>
      <c r="DA1056">
        <f>'Grid_Requirement'!CY46</f>
        <v/>
      </c>
      <c r="DB1056">
        <f>'Grid_Requirement'!CZ46</f>
        <v/>
      </c>
      <c r="DC1056">
        <f>'Grid_Requirement'!DA46</f>
        <v/>
      </c>
    </row>
    <row r="1057">
      <c r="B1057" t="inlineStr">
        <is>
          <t>TTAF在庫(実績,kg)</t>
        </is>
      </c>
      <c r="D1057">
        <f>'T_TTAFStock'!B50</f>
        <v/>
      </c>
      <c r="E1057">
        <f>'T_TTAFStock'!C50</f>
        <v/>
      </c>
      <c r="F1057">
        <f>'T_TTAFStock'!D50</f>
        <v/>
      </c>
      <c r="G1057">
        <f>'T_TTAFStock'!E50</f>
        <v/>
      </c>
      <c r="H1057">
        <f>'T_TTAFStock'!F50</f>
        <v/>
      </c>
      <c r="I1057">
        <f>'T_TTAFStock'!G50</f>
        <v/>
      </c>
      <c r="J1057">
        <f>'T_TTAFStock'!H50</f>
        <v/>
      </c>
      <c r="K1057">
        <f>'T_TTAFStock'!I50</f>
        <v/>
      </c>
      <c r="L1057">
        <f>'T_TTAFStock'!J50</f>
        <v/>
      </c>
      <c r="M1057">
        <f>'T_TTAFStock'!K50</f>
        <v/>
      </c>
      <c r="N1057">
        <f>'T_TTAFStock'!L50</f>
        <v/>
      </c>
      <c r="O1057">
        <f>'T_TTAFStock'!M50</f>
        <v/>
      </c>
      <c r="P1057">
        <f>'T_TTAFStock'!N50</f>
        <v/>
      </c>
      <c r="Q1057">
        <f>'T_TTAFStock'!O50</f>
        <v/>
      </c>
      <c r="R1057">
        <f>'T_TTAFStock'!P50</f>
        <v/>
      </c>
      <c r="S1057">
        <f>'T_TTAFStock'!Q50</f>
        <v/>
      </c>
      <c r="T1057">
        <f>'T_TTAFStock'!R50</f>
        <v/>
      </c>
      <c r="U1057">
        <f>'T_TTAFStock'!S50</f>
        <v/>
      </c>
      <c r="V1057">
        <f>'T_TTAFStock'!T50</f>
        <v/>
      </c>
      <c r="W1057">
        <f>'T_TTAFStock'!U50</f>
        <v/>
      </c>
      <c r="X1057">
        <f>'T_TTAFStock'!V50</f>
        <v/>
      </c>
      <c r="Y1057">
        <f>'T_TTAFStock'!W50</f>
        <v/>
      </c>
      <c r="Z1057">
        <f>'T_TTAFStock'!X50</f>
        <v/>
      </c>
      <c r="AA1057">
        <f>'T_TTAFStock'!Y50</f>
        <v/>
      </c>
      <c r="AB1057">
        <f>'T_TTAFStock'!Z50</f>
        <v/>
      </c>
      <c r="AC1057">
        <f>'T_TTAFStock'!AA50</f>
        <v/>
      </c>
      <c r="AD1057">
        <f>'T_TTAFStock'!AB50</f>
        <v/>
      </c>
      <c r="AE1057">
        <f>'T_TTAFStock'!AC50</f>
        <v/>
      </c>
      <c r="AF1057">
        <f>'T_TTAFStock'!AD50</f>
        <v/>
      </c>
      <c r="AG1057">
        <f>'T_TTAFStock'!AE50</f>
        <v/>
      </c>
      <c r="AH1057">
        <f>'T_TTAFStock'!AF50</f>
        <v/>
      </c>
      <c r="AI1057">
        <f>'T_TTAFStock'!AG50</f>
        <v/>
      </c>
      <c r="AJ1057">
        <f>'T_TTAFStock'!AH50</f>
        <v/>
      </c>
      <c r="AK1057">
        <f>'T_TTAFStock'!AI50</f>
        <v/>
      </c>
      <c r="AL1057">
        <f>'T_TTAFStock'!AJ50</f>
        <v/>
      </c>
      <c r="AM1057">
        <f>'T_TTAFStock'!AK50</f>
        <v/>
      </c>
      <c r="AN1057">
        <f>'T_TTAFStock'!AL50</f>
        <v/>
      </c>
      <c r="AO1057">
        <f>'T_TTAFStock'!AM50</f>
        <v/>
      </c>
      <c r="AP1057">
        <f>'T_TTAFStock'!AN50</f>
        <v/>
      </c>
      <c r="AQ1057">
        <f>'T_TTAFStock'!AO50</f>
        <v/>
      </c>
      <c r="AR1057">
        <f>'T_TTAFStock'!AP50</f>
        <v/>
      </c>
      <c r="AS1057">
        <f>'T_TTAFStock'!AQ50</f>
        <v/>
      </c>
      <c r="AT1057">
        <f>'T_TTAFStock'!AR50</f>
        <v/>
      </c>
      <c r="AU1057">
        <f>'T_TTAFStock'!AS50</f>
        <v/>
      </c>
      <c r="AV1057">
        <f>'T_TTAFStock'!AT50</f>
        <v/>
      </c>
      <c r="AW1057">
        <f>'T_TTAFStock'!AU50</f>
        <v/>
      </c>
      <c r="AX1057">
        <f>'T_TTAFStock'!AV50</f>
        <v/>
      </c>
      <c r="AY1057">
        <f>'T_TTAFStock'!AW50</f>
        <v/>
      </c>
      <c r="AZ1057">
        <f>'T_TTAFStock'!AX50</f>
        <v/>
      </c>
      <c r="BA1057">
        <f>'T_TTAFStock'!AY50</f>
        <v/>
      </c>
      <c r="BB1057">
        <f>'T_TTAFStock'!AZ50</f>
        <v/>
      </c>
      <c r="BC1057">
        <f>'T_TTAFStock'!BA50</f>
        <v/>
      </c>
      <c r="BD1057">
        <f>'T_TTAFStock'!BB50</f>
        <v/>
      </c>
      <c r="BE1057">
        <f>'T_TTAFStock'!BC50</f>
        <v/>
      </c>
      <c r="BF1057">
        <f>'T_TTAFStock'!BD50</f>
        <v/>
      </c>
      <c r="BG1057">
        <f>'T_TTAFStock'!BE50</f>
        <v/>
      </c>
      <c r="BH1057">
        <f>'T_TTAFStock'!BF50</f>
        <v/>
      </c>
      <c r="BI1057">
        <f>'T_TTAFStock'!BG50</f>
        <v/>
      </c>
      <c r="BJ1057">
        <f>'T_TTAFStock'!BH50</f>
        <v/>
      </c>
      <c r="BK1057">
        <f>'T_TTAFStock'!BI50</f>
        <v/>
      </c>
      <c r="BL1057">
        <f>'T_TTAFStock'!BJ50</f>
        <v/>
      </c>
      <c r="BM1057">
        <f>'T_TTAFStock'!BK50</f>
        <v/>
      </c>
      <c r="BN1057">
        <f>'T_TTAFStock'!BL50</f>
        <v/>
      </c>
      <c r="BO1057">
        <f>'T_TTAFStock'!BM50</f>
        <v/>
      </c>
      <c r="BP1057">
        <f>'T_TTAFStock'!BN50</f>
        <v/>
      </c>
      <c r="BQ1057">
        <f>'T_TTAFStock'!BO50</f>
        <v/>
      </c>
      <c r="BR1057">
        <f>'T_TTAFStock'!BP50</f>
        <v/>
      </c>
      <c r="BS1057">
        <f>'T_TTAFStock'!BQ50</f>
        <v/>
      </c>
      <c r="BT1057">
        <f>'T_TTAFStock'!BR50</f>
        <v/>
      </c>
      <c r="BU1057">
        <f>'T_TTAFStock'!BS50</f>
        <v/>
      </c>
      <c r="BV1057">
        <f>'T_TTAFStock'!BT50</f>
        <v/>
      </c>
      <c r="BW1057">
        <f>'T_TTAFStock'!BU50</f>
        <v/>
      </c>
      <c r="BX1057">
        <f>'T_TTAFStock'!BV50</f>
        <v/>
      </c>
      <c r="BY1057">
        <f>'T_TTAFStock'!BW50</f>
        <v/>
      </c>
      <c r="BZ1057">
        <f>'T_TTAFStock'!BX50</f>
        <v/>
      </c>
      <c r="CA1057">
        <f>'T_TTAFStock'!BY50</f>
        <v/>
      </c>
      <c r="CB1057">
        <f>'T_TTAFStock'!BZ50</f>
        <v/>
      </c>
      <c r="CC1057">
        <f>'T_TTAFStock'!CA50</f>
        <v/>
      </c>
      <c r="CD1057">
        <f>'T_TTAFStock'!CB50</f>
        <v/>
      </c>
      <c r="CE1057">
        <f>'T_TTAFStock'!CC50</f>
        <v/>
      </c>
      <c r="CF1057">
        <f>'T_TTAFStock'!CD50</f>
        <v/>
      </c>
      <c r="CG1057">
        <f>'T_TTAFStock'!CE50</f>
        <v/>
      </c>
      <c r="CH1057">
        <f>'T_TTAFStock'!CF50</f>
        <v/>
      </c>
      <c r="CI1057">
        <f>'T_TTAFStock'!CG50</f>
        <v/>
      </c>
      <c r="CJ1057">
        <f>'T_TTAFStock'!CH50</f>
        <v/>
      </c>
      <c r="CK1057">
        <f>'T_TTAFStock'!CI50</f>
        <v/>
      </c>
      <c r="CL1057">
        <f>'T_TTAFStock'!CJ50</f>
        <v/>
      </c>
      <c r="CM1057">
        <f>'T_TTAFStock'!CK50</f>
        <v/>
      </c>
      <c r="CN1057">
        <f>'T_TTAFStock'!CL50</f>
        <v/>
      </c>
      <c r="CO1057">
        <f>'T_TTAFStock'!CM50</f>
        <v/>
      </c>
      <c r="CP1057">
        <f>'T_TTAFStock'!CN50</f>
        <v/>
      </c>
      <c r="CQ1057">
        <f>'T_TTAFStock'!CO50</f>
        <v/>
      </c>
      <c r="CR1057">
        <f>'T_TTAFStock'!CP50</f>
        <v/>
      </c>
      <c r="CS1057">
        <f>'T_TTAFStock'!CQ50</f>
        <v/>
      </c>
      <c r="CT1057">
        <f>'T_TTAFStock'!CR50</f>
        <v/>
      </c>
      <c r="CU1057">
        <f>'T_TTAFStock'!CS50</f>
        <v/>
      </c>
      <c r="CV1057">
        <f>'T_TTAFStock'!CT50</f>
        <v/>
      </c>
      <c r="CW1057">
        <f>'T_TTAFStock'!CU50</f>
        <v/>
      </c>
      <c r="CX1057">
        <f>'T_TTAFStock'!CV50</f>
        <v/>
      </c>
      <c r="CY1057">
        <f>'T_TTAFStock'!CW50</f>
        <v/>
      </c>
      <c r="CZ1057">
        <f>'T_TTAFStock'!CX50</f>
        <v/>
      </c>
      <c r="DA1057">
        <f>'T_TTAFStock'!CY50</f>
        <v/>
      </c>
      <c r="DB1057">
        <f>'T_TTAFStock'!CZ50</f>
        <v/>
      </c>
      <c r="DC1057">
        <f>'T_TTAFStock'!DA50</f>
        <v/>
      </c>
    </row>
    <row r="1058">
      <c r="B1058" t="inlineStr">
        <is>
          <t>自社在庫(実績,kg)</t>
        </is>
      </c>
      <c r="D1058">
        <f>'T_SelfStock'!B50</f>
        <v/>
      </c>
      <c r="E1058">
        <f>'T_SelfStock'!C50</f>
        <v/>
      </c>
      <c r="F1058">
        <f>'T_SelfStock'!D50</f>
        <v/>
      </c>
      <c r="G1058">
        <f>'T_SelfStock'!E50</f>
        <v/>
      </c>
      <c r="H1058">
        <f>'T_SelfStock'!F50</f>
        <v/>
      </c>
      <c r="I1058">
        <f>'T_SelfStock'!G50</f>
        <v/>
      </c>
      <c r="J1058">
        <f>'T_SelfStock'!H50</f>
        <v/>
      </c>
      <c r="K1058">
        <f>'T_SelfStock'!I50</f>
        <v/>
      </c>
      <c r="L1058">
        <f>'T_SelfStock'!J50</f>
        <v/>
      </c>
      <c r="M1058">
        <f>'T_SelfStock'!K50</f>
        <v/>
      </c>
      <c r="N1058">
        <f>'T_SelfStock'!L50</f>
        <v/>
      </c>
      <c r="O1058">
        <f>'T_SelfStock'!M50</f>
        <v/>
      </c>
      <c r="P1058">
        <f>'T_SelfStock'!N50</f>
        <v/>
      </c>
      <c r="Q1058">
        <f>'T_SelfStock'!O50</f>
        <v/>
      </c>
      <c r="R1058">
        <f>'T_SelfStock'!P50</f>
        <v/>
      </c>
      <c r="S1058">
        <f>'T_SelfStock'!Q50</f>
        <v/>
      </c>
      <c r="T1058">
        <f>'T_SelfStock'!R50</f>
        <v/>
      </c>
      <c r="U1058">
        <f>'T_SelfStock'!S50</f>
        <v/>
      </c>
      <c r="V1058">
        <f>'T_SelfStock'!T50</f>
        <v/>
      </c>
      <c r="W1058">
        <f>'T_SelfStock'!U50</f>
        <v/>
      </c>
      <c r="X1058">
        <f>'T_SelfStock'!V50</f>
        <v/>
      </c>
      <c r="Y1058">
        <f>'T_SelfStock'!W50</f>
        <v/>
      </c>
      <c r="Z1058">
        <f>'T_SelfStock'!X50</f>
        <v/>
      </c>
      <c r="AA1058">
        <f>'T_SelfStock'!Y50</f>
        <v/>
      </c>
      <c r="AB1058">
        <f>'T_SelfStock'!Z50</f>
        <v/>
      </c>
      <c r="AC1058">
        <f>'T_SelfStock'!AA50</f>
        <v/>
      </c>
      <c r="AD1058">
        <f>'T_SelfStock'!AB50</f>
        <v/>
      </c>
      <c r="AE1058">
        <f>'T_SelfStock'!AC50</f>
        <v/>
      </c>
      <c r="AF1058">
        <f>'T_SelfStock'!AD50</f>
        <v/>
      </c>
      <c r="AG1058">
        <f>'T_SelfStock'!AE50</f>
        <v/>
      </c>
      <c r="AH1058">
        <f>'T_SelfStock'!AF50</f>
        <v/>
      </c>
      <c r="AI1058">
        <f>'T_SelfStock'!AG50</f>
        <v/>
      </c>
      <c r="AJ1058">
        <f>'T_SelfStock'!AH50</f>
        <v/>
      </c>
      <c r="AK1058">
        <f>'T_SelfStock'!AI50</f>
        <v/>
      </c>
      <c r="AL1058">
        <f>'T_SelfStock'!AJ50</f>
        <v/>
      </c>
      <c r="AM1058">
        <f>'T_SelfStock'!AK50</f>
        <v/>
      </c>
      <c r="AN1058">
        <f>'T_SelfStock'!AL50</f>
        <v/>
      </c>
      <c r="AO1058">
        <f>'T_SelfStock'!AM50</f>
        <v/>
      </c>
      <c r="AP1058">
        <f>'T_SelfStock'!AN50</f>
        <v/>
      </c>
      <c r="AQ1058">
        <f>'T_SelfStock'!AO50</f>
        <v/>
      </c>
      <c r="AR1058">
        <f>'T_SelfStock'!AP50</f>
        <v/>
      </c>
      <c r="AS1058">
        <f>'T_SelfStock'!AQ50</f>
        <v/>
      </c>
      <c r="AT1058">
        <f>'T_SelfStock'!AR50</f>
        <v/>
      </c>
      <c r="AU1058">
        <f>'T_SelfStock'!AS50</f>
        <v/>
      </c>
      <c r="AV1058">
        <f>'T_SelfStock'!AT50</f>
        <v/>
      </c>
      <c r="AW1058">
        <f>'T_SelfStock'!AU50</f>
        <v/>
      </c>
      <c r="AX1058">
        <f>'T_SelfStock'!AV50</f>
        <v/>
      </c>
      <c r="AY1058">
        <f>'T_SelfStock'!AW50</f>
        <v/>
      </c>
      <c r="AZ1058">
        <f>'T_SelfStock'!AX50</f>
        <v/>
      </c>
      <c r="BA1058">
        <f>'T_SelfStock'!AY50</f>
        <v/>
      </c>
      <c r="BB1058">
        <f>'T_SelfStock'!AZ50</f>
        <v/>
      </c>
      <c r="BC1058">
        <f>'T_SelfStock'!BA50</f>
        <v/>
      </c>
      <c r="BD1058">
        <f>'T_SelfStock'!BB50</f>
        <v/>
      </c>
      <c r="BE1058">
        <f>'T_SelfStock'!BC50</f>
        <v/>
      </c>
      <c r="BF1058">
        <f>'T_SelfStock'!BD50</f>
        <v/>
      </c>
      <c r="BG1058">
        <f>'T_SelfStock'!BE50</f>
        <v/>
      </c>
      <c r="BH1058">
        <f>'T_SelfStock'!BF50</f>
        <v/>
      </c>
      <c r="BI1058">
        <f>'T_SelfStock'!BG50</f>
        <v/>
      </c>
      <c r="BJ1058">
        <f>'T_SelfStock'!BH50</f>
        <v/>
      </c>
      <c r="BK1058">
        <f>'T_SelfStock'!BI50</f>
        <v/>
      </c>
      <c r="BL1058">
        <f>'T_SelfStock'!BJ50</f>
        <v/>
      </c>
      <c r="BM1058">
        <f>'T_SelfStock'!BK50</f>
        <v/>
      </c>
      <c r="BN1058">
        <f>'T_SelfStock'!BL50</f>
        <v/>
      </c>
      <c r="BO1058">
        <f>'T_SelfStock'!BM50</f>
        <v/>
      </c>
      <c r="BP1058">
        <f>'T_SelfStock'!BN50</f>
        <v/>
      </c>
      <c r="BQ1058">
        <f>'T_SelfStock'!BO50</f>
        <v/>
      </c>
      <c r="BR1058">
        <f>'T_SelfStock'!BP50</f>
        <v/>
      </c>
      <c r="BS1058">
        <f>'T_SelfStock'!BQ50</f>
        <v/>
      </c>
      <c r="BT1058">
        <f>'T_SelfStock'!BR50</f>
        <v/>
      </c>
      <c r="BU1058">
        <f>'T_SelfStock'!BS50</f>
        <v/>
      </c>
      <c r="BV1058">
        <f>'T_SelfStock'!BT50</f>
        <v/>
      </c>
      <c r="BW1058">
        <f>'T_SelfStock'!BU50</f>
        <v/>
      </c>
      <c r="BX1058">
        <f>'T_SelfStock'!BV50</f>
        <v/>
      </c>
      <c r="BY1058">
        <f>'T_SelfStock'!BW50</f>
        <v/>
      </c>
      <c r="BZ1058">
        <f>'T_SelfStock'!BX50</f>
        <v/>
      </c>
      <c r="CA1058">
        <f>'T_SelfStock'!BY50</f>
        <v/>
      </c>
      <c r="CB1058">
        <f>'T_SelfStock'!BZ50</f>
        <v/>
      </c>
      <c r="CC1058">
        <f>'T_SelfStock'!CA50</f>
        <v/>
      </c>
      <c r="CD1058">
        <f>'T_SelfStock'!CB50</f>
        <v/>
      </c>
      <c r="CE1058">
        <f>'T_SelfStock'!CC50</f>
        <v/>
      </c>
      <c r="CF1058">
        <f>'T_SelfStock'!CD50</f>
        <v/>
      </c>
      <c r="CG1058">
        <f>'T_SelfStock'!CE50</f>
        <v/>
      </c>
      <c r="CH1058">
        <f>'T_SelfStock'!CF50</f>
        <v/>
      </c>
      <c r="CI1058">
        <f>'T_SelfStock'!CG50</f>
        <v/>
      </c>
      <c r="CJ1058">
        <f>'T_SelfStock'!CH50</f>
        <v/>
      </c>
      <c r="CK1058">
        <f>'T_SelfStock'!CI50</f>
        <v/>
      </c>
      <c r="CL1058">
        <f>'T_SelfStock'!CJ50</f>
        <v/>
      </c>
      <c r="CM1058">
        <f>'T_SelfStock'!CK50</f>
        <v/>
      </c>
      <c r="CN1058">
        <f>'T_SelfStock'!CL50</f>
        <v/>
      </c>
      <c r="CO1058">
        <f>'T_SelfStock'!CM50</f>
        <v/>
      </c>
      <c r="CP1058">
        <f>'T_SelfStock'!CN50</f>
        <v/>
      </c>
      <c r="CQ1058">
        <f>'T_SelfStock'!CO50</f>
        <v/>
      </c>
      <c r="CR1058">
        <f>'T_SelfStock'!CP50</f>
        <v/>
      </c>
      <c r="CS1058">
        <f>'T_SelfStock'!CQ50</f>
        <v/>
      </c>
      <c r="CT1058">
        <f>'T_SelfStock'!CR50</f>
        <v/>
      </c>
      <c r="CU1058">
        <f>'T_SelfStock'!CS50</f>
        <v/>
      </c>
      <c r="CV1058">
        <f>'T_SelfStock'!CT50</f>
        <v/>
      </c>
      <c r="CW1058">
        <f>'T_SelfStock'!CU50</f>
        <v/>
      </c>
      <c r="CX1058">
        <f>'T_SelfStock'!CV50</f>
        <v/>
      </c>
      <c r="CY1058">
        <f>'T_SelfStock'!CW50</f>
        <v/>
      </c>
      <c r="CZ1058">
        <f>'T_SelfStock'!CX50</f>
        <v/>
      </c>
      <c r="DA1058">
        <f>'T_SelfStock'!CY50</f>
        <v/>
      </c>
      <c r="DB1058">
        <f>'T_SelfStock'!CZ50</f>
        <v/>
      </c>
      <c r="DC1058">
        <f>'T_SelfStock'!DA50</f>
        <v/>
      </c>
    </row>
    <row r="1059">
      <c r="B1059" t="inlineStr">
        <is>
          <t>Order(発注予定,kg)</t>
        </is>
      </c>
      <c r="D1059" s="23" t="n"/>
      <c r="E1059" s="23" t="n"/>
      <c r="F1059" s="23" t="n"/>
      <c r="G1059" s="23" t="n"/>
      <c r="H1059" s="23" t="n"/>
      <c r="I1059" s="23" t="n"/>
      <c r="J1059" s="23" t="n"/>
      <c r="K1059" s="23" t="n"/>
      <c r="L1059" s="23" t="n"/>
      <c r="M1059" s="23" t="n"/>
      <c r="N1059" s="23" t="n"/>
      <c r="O1059" s="23" t="n"/>
      <c r="P1059" s="23" t="n"/>
      <c r="Q1059" s="23" t="n"/>
      <c r="R1059" s="23" t="n"/>
      <c r="S1059" s="23" t="n"/>
      <c r="T1059" s="23" t="n"/>
      <c r="U1059" s="23" t="n"/>
      <c r="V1059" s="23" t="n"/>
      <c r="W1059" s="23" t="n"/>
      <c r="X1059" s="23" t="n"/>
      <c r="Y1059" s="23" t="n"/>
      <c r="Z1059" s="23" t="n"/>
      <c r="AA1059" s="23" t="n"/>
      <c r="AB1059" s="23" t="n"/>
      <c r="AC1059" s="23" t="n"/>
      <c r="AD1059" s="23" t="n"/>
      <c r="AE1059" s="23" t="n"/>
      <c r="AF1059" s="23" t="n"/>
      <c r="AG1059" s="23" t="n"/>
      <c r="AH1059" s="23" t="n"/>
      <c r="AI1059" s="23" t="n"/>
      <c r="AJ1059" s="23" t="n"/>
      <c r="AK1059" s="23" t="n"/>
      <c r="AL1059" s="23" t="n"/>
      <c r="AM1059" s="23" t="n"/>
      <c r="AN1059" s="23" t="n"/>
      <c r="AO1059" s="23" t="n"/>
      <c r="AP1059" s="23" t="n"/>
      <c r="AQ1059" s="23" t="n"/>
      <c r="AR1059" s="23" t="n"/>
      <c r="AS1059" s="23" t="n"/>
      <c r="AT1059" s="23" t="n"/>
      <c r="AU1059" s="23" t="n"/>
      <c r="AV1059" s="23" t="n"/>
      <c r="AW1059" s="23" t="n"/>
      <c r="AX1059" s="23" t="n"/>
      <c r="AY1059" s="23" t="n"/>
      <c r="AZ1059" s="23" t="n"/>
      <c r="BA1059" s="23" t="n"/>
      <c r="BB1059" s="23" t="n"/>
      <c r="BC1059" s="23" t="n"/>
      <c r="BD1059" s="23" t="n"/>
      <c r="BE1059" s="23" t="n"/>
      <c r="BF1059" s="23" t="n"/>
      <c r="BG1059" s="23" t="n"/>
      <c r="BH1059" s="23" t="n"/>
      <c r="BI1059" s="23" t="n"/>
      <c r="BJ1059" s="23" t="n"/>
      <c r="BK1059" s="23" t="n"/>
      <c r="BL1059" s="23" t="n"/>
      <c r="BM1059" s="23" t="n"/>
      <c r="BN1059" s="23" t="n"/>
      <c r="BO1059" s="23" t="n"/>
      <c r="BP1059" s="23" t="n"/>
      <c r="BQ1059" s="23" t="n"/>
      <c r="BR1059" s="23" t="n"/>
      <c r="BS1059" s="23" t="n"/>
      <c r="BT1059" s="23" t="n"/>
      <c r="BU1059" s="23" t="n"/>
      <c r="BV1059" s="23" t="n"/>
      <c r="BW1059" s="23" t="n"/>
      <c r="BX1059" s="23" t="n"/>
      <c r="BY1059" s="23" t="n"/>
      <c r="BZ1059" s="23" t="n"/>
      <c r="CA1059" s="23" t="n"/>
      <c r="CB1059" s="23" t="n"/>
      <c r="CC1059" s="23" t="n"/>
      <c r="CD1059" s="23" t="n"/>
      <c r="CE1059" s="23" t="n"/>
      <c r="CF1059" s="23" t="n"/>
      <c r="CG1059" s="23" t="n"/>
      <c r="CH1059" s="23" t="n"/>
      <c r="CI1059" s="23" t="n"/>
      <c r="CJ1059" s="23" t="n"/>
      <c r="CK1059" s="23" t="n"/>
      <c r="CL1059" s="23" t="n"/>
      <c r="CM1059" s="23" t="n"/>
      <c r="CN1059" s="23" t="n"/>
      <c r="CO1059" s="23" t="n"/>
      <c r="CP1059" s="23" t="n"/>
      <c r="CQ1059" s="23" t="n"/>
      <c r="CR1059" s="23" t="n"/>
      <c r="CS1059" s="23" t="n"/>
      <c r="CT1059" s="23" t="n"/>
      <c r="CU1059" s="23" t="n"/>
      <c r="CV1059" s="23" t="n"/>
      <c r="CW1059" s="23" t="n"/>
      <c r="CX1059" s="23" t="n"/>
      <c r="CY1059" s="23" t="n"/>
      <c r="CZ1059" s="23" t="n"/>
      <c r="DA1059" s="23" t="n"/>
      <c r="DB1059" s="23" t="n"/>
      <c r="DC1059" s="23" t="n"/>
      <c r="DE1059" s="12" t="inlineStr">
        <is>
          <t>CHEM-1430</t>
        </is>
      </c>
    </row>
    <row r="1060">
      <c r="B1060" s="5" t="inlineStr">
        <is>
          <t>合計在庫(週末時点,kg)</t>
        </is>
      </c>
      <c r="D1060">
        <f>'Grid_Stock'!B46</f>
        <v/>
      </c>
      <c r="E1060">
        <f>'Grid_Stock'!C46</f>
        <v/>
      </c>
      <c r="F1060">
        <f>'Grid_Stock'!D46</f>
        <v/>
      </c>
      <c r="G1060">
        <f>'Grid_Stock'!E46</f>
        <v/>
      </c>
      <c r="H1060">
        <f>'Grid_Stock'!F46</f>
        <v/>
      </c>
      <c r="I1060">
        <f>'Grid_Stock'!G46</f>
        <v/>
      </c>
      <c r="J1060">
        <f>'Grid_Stock'!H46</f>
        <v/>
      </c>
      <c r="K1060">
        <f>'Grid_Stock'!I46</f>
        <v/>
      </c>
      <c r="L1060">
        <f>'Grid_Stock'!J46</f>
        <v/>
      </c>
      <c r="M1060">
        <f>'Grid_Stock'!K46</f>
        <v/>
      </c>
      <c r="N1060">
        <f>'Grid_Stock'!L46</f>
        <v/>
      </c>
      <c r="O1060">
        <f>'Grid_Stock'!M46</f>
        <v/>
      </c>
      <c r="P1060">
        <f>'Grid_Stock'!N46</f>
        <v/>
      </c>
      <c r="Q1060">
        <f>'Grid_Stock'!O46</f>
        <v/>
      </c>
      <c r="R1060">
        <f>'Grid_Stock'!P46</f>
        <v/>
      </c>
      <c r="S1060">
        <f>'Grid_Stock'!Q46</f>
        <v/>
      </c>
      <c r="T1060">
        <f>'Grid_Stock'!R46</f>
        <v/>
      </c>
      <c r="U1060">
        <f>'Grid_Stock'!S46</f>
        <v/>
      </c>
      <c r="V1060">
        <f>'Grid_Stock'!T46</f>
        <v/>
      </c>
      <c r="W1060">
        <f>'Grid_Stock'!U46</f>
        <v/>
      </c>
      <c r="X1060">
        <f>'Grid_Stock'!V46</f>
        <v/>
      </c>
      <c r="Y1060">
        <f>'Grid_Stock'!W46</f>
        <v/>
      </c>
      <c r="Z1060">
        <f>'Grid_Stock'!X46</f>
        <v/>
      </c>
      <c r="AA1060">
        <f>'Grid_Stock'!Y46</f>
        <v/>
      </c>
      <c r="AB1060">
        <f>'Grid_Stock'!Z46</f>
        <v/>
      </c>
      <c r="AC1060">
        <f>'Grid_Stock'!AA46</f>
        <v/>
      </c>
      <c r="AD1060">
        <f>'Grid_Stock'!AB46</f>
        <v/>
      </c>
      <c r="AE1060">
        <f>'Grid_Stock'!AC46</f>
        <v/>
      </c>
      <c r="AF1060">
        <f>'Grid_Stock'!AD46</f>
        <v/>
      </c>
      <c r="AG1060">
        <f>'Grid_Stock'!AE46</f>
        <v/>
      </c>
      <c r="AH1060">
        <f>'Grid_Stock'!AF46</f>
        <v/>
      </c>
      <c r="AI1060">
        <f>'Grid_Stock'!AG46</f>
        <v/>
      </c>
      <c r="AJ1060">
        <f>'Grid_Stock'!AH46</f>
        <v/>
      </c>
      <c r="AK1060">
        <f>'Grid_Stock'!AI46</f>
        <v/>
      </c>
      <c r="AL1060">
        <f>'Grid_Stock'!AJ46</f>
        <v/>
      </c>
      <c r="AM1060">
        <f>'Grid_Stock'!AK46</f>
        <v/>
      </c>
      <c r="AN1060">
        <f>'Grid_Stock'!AL46</f>
        <v/>
      </c>
      <c r="AO1060">
        <f>'Grid_Stock'!AM46</f>
        <v/>
      </c>
      <c r="AP1060">
        <f>'Grid_Stock'!AN46</f>
        <v/>
      </c>
      <c r="AQ1060">
        <f>'Grid_Stock'!AO46</f>
        <v/>
      </c>
      <c r="AR1060">
        <f>'Grid_Stock'!AP46</f>
        <v/>
      </c>
      <c r="AS1060">
        <f>'Grid_Stock'!AQ46</f>
        <v/>
      </c>
      <c r="AT1060">
        <f>'Grid_Stock'!AR46</f>
        <v/>
      </c>
      <c r="AU1060">
        <f>'Grid_Stock'!AS46</f>
        <v/>
      </c>
      <c r="AV1060">
        <f>'Grid_Stock'!AT46</f>
        <v/>
      </c>
      <c r="AW1060">
        <f>'Grid_Stock'!AU46</f>
        <v/>
      </c>
      <c r="AX1060">
        <f>'Grid_Stock'!AV46</f>
        <v/>
      </c>
      <c r="AY1060">
        <f>'Grid_Stock'!AW46</f>
        <v/>
      </c>
      <c r="AZ1060">
        <f>'Grid_Stock'!AX46</f>
        <v/>
      </c>
      <c r="BA1060">
        <f>'Grid_Stock'!AY46</f>
        <v/>
      </c>
      <c r="BB1060">
        <f>'Grid_Stock'!AZ46</f>
        <v/>
      </c>
      <c r="BC1060">
        <f>'Grid_Stock'!BA46</f>
        <v/>
      </c>
      <c r="BD1060">
        <f>'Grid_Stock'!BB46</f>
        <v/>
      </c>
      <c r="BE1060">
        <f>'Grid_Stock'!BC46</f>
        <v/>
      </c>
      <c r="BF1060">
        <f>'Grid_Stock'!BD46</f>
        <v/>
      </c>
      <c r="BG1060">
        <f>'Grid_Stock'!BE46</f>
        <v/>
      </c>
      <c r="BH1060">
        <f>'Grid_Stock'!BF46</f>
        <v/>
      </c>
      <c r="BI1060">
        <f>'Grid_Stock'!BG46</f>
        <v/>
      </c>
      <c r="BJ1060">
        <f>'Grid_Stock'!BH46</f>
        <v/>
      </c>
      <c r="BK1060">
        <f>'Grid_Stock'!BI46</f>
        <v/>
      </c>
      <c r="BL1060">
        <f>'Grid_Stock'!BJ46</f>
        <v/>
      </c>
      <c r="BM1060">
        <f>'Grid_Stock'!BK46</f>
        <v/>
      </c>
      <c r="BN1060">
        <f>'Grid_Stock'!BL46</f>
        <v/>
      </c>
      <c r="BO1060">
        <f>'Grid_Stock'!BM46</f>
        <v/>
      </c>
      <c r="BP1060">
        <f>'Grid_Stock'!BN46</f>
        <v/>
      </c>
      <c r="BQ1060">
        <f>'Grid_Stock'!BO46</f>
        <v/>
      </c>
      <c r="BR1060">
        <f>'Grid_Stock'!BP46</f>
        <v/>
      </c>
      <c r="BS1060">
        <f>'Grid_Stock'!BQ46</f>
        <v/>
      </c>
      <c r="BT1060">
        <f>'Grid_Stock'!BR46</f>
        <v/>
      </c>
      <c r="BU1060">
        <f>'Grid_Stock'!BS46</f>
        <v/>
      </c>
      <c r="BV1060">
        <f>'Grid_Stock'!BT46</f>
        <v/>
      </c>
      <c r="BW1060">
        <f>'Grid_Stock'!BU46</f>
        <v/>
      </c>
      <c r="BX1060">
        <f>'Grid_Stock'!BV46</f>
        <v/>
      </c>
      <c r="BY1060">
        <f>'Grid_Stock'!BW46</f>
        <v/>
      </c>
      <c r="BZ1060">
        <f>'Grid_Stock'!BX46</f>
        <v/>
      </c>
      <c r="CA1060">
        <f>'Grid_Stock'!BY46</f>
        <v/>
      </c>
      <c r="CB1060">
        <f>'Grid_Stock'!BZ46</f>
        <v/>
      </c>
      <c r="CC1060">
        <f>'Grid_Stock'!CA46</f>
        <v/>
      </c>
      <c r="CD1060">
        <f>'Grid_Stock'!CB46</f>
        <v/>
      </c>
      <c r="CE1060">
        <f>'Grid_Stock'!CC46</f>
        <v/>
      </c>
      <c r="CF1060">
        <f>'Grid_Stock'!CD46</f>
        <v/>
      </c>
      <c r="CG1060">
        <f>'Grid_Stock'!CE46</f>
        <v/>
      </c>
      <c r="CH1060">
        <f>'Grid_Stock'!CF46</f>
        <v/>
      </c>
      <c r="CI1060">
        <f>'Grid_Stock'!CG46</f>
        <v/>
      </c>
      <c r="CJ1060">
        <f>'Grid_Stock'!CH46</f>
        <v/>
      </c>
      <c r="CK1060">
        <f>'Grid_Stock'!CI46</f>
        <v/>
      </c>
      <c r="CL1060">
        <f>'Grid_Stock'!CJ46</f>
        <v/>
      </c>
      <c r="CM1060">
        <f>'Grid_Stock'!CK46</f>
        <v/>
      </c>
      <c r="CN1060">
        <f>'Grid_Stock'!CL46</f>
        <v/>
      </c>
      <c r="CO1060">
        <f>'Grid_Stock'!CM46</f>
        <v/>
      </c>
      <c r="CP1060">
        <f>'Grid_Stock'!CN46</f>
        <v/>
      </c>
      <c r="CQ1060">
        <f>'Grid_Stock'!CO46</f>
        <v/>
      </c>
      <c r="CR1060">
        <f>'Grid_Stock'!CP46</f>
        <v/>
      </c>
      <c r="CS1060">
        <f>'Grid_Stock'!CQ46</f>
        <v/>
      </c>
      <c r="CT1060">
        <f>'Grid_Stock'!CR46</f>
        <v/>
      </c>
      <c r="CU1060">
        <f>'Grid_Stock'!CS46</f>
        <v/>
      </c>
      <c r="CV1060">
        <f>'Grid_Stock'!CT46</f>
        <v/>
      </c>
      <c r="CW1060">
        <f>'Grid_Stock'!CU46</f>
        <v/>
      </c>
      <c r="CX1060">
        <f>'Grid_Stock'!CV46</f>
        <v/>
      </c>
      <c r="CY1060">
        <f>'Grid_Stock'!CW46</f>
        <v/>
      </c>
      <c r="CZ1060">
        <f>'Grid_Stock'!CX46</f>
        <v/>
      </c>
      <c r="DA1060">
        <f>'Grid_Stock'!CY46</f>
        <v/>
      </c>
      <c r="DB1060">
        <f>'Grid_Stock'!CZ46</f>
        <v/>
      </c>
      <c r="DC1060">
        <f>'Grid_Stock'!DA46</f>
        <v/>
      </c>
    </row>
    <row r="1061">
      <c r="B1061" s="24" t="inlineStr">
        <is>
          <t>（発注の目安はDashboardの基準在庫[下限/上限]と色分けを参照）</t>
        </is>
      </c>
    </row>
    <row r="1063">
      <c r="A1063" s="21" t="inlineStr">
        <is>
          <t>CHEM-1470</t>
        </is>
      </c>
      <c r="B1063" s="21" t="inlineStr">
        <is>
          <t>Aluminium Oxide [SCFA-100] - NO LANTHANUM</t>
        </is>
      </c>
      <c r="C1063" s="22" t="n"/>
      <c r="D1063" s="21" t="n"/>
      <c r="E1063" s="21" t="n"/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  <c r="AA1063" s="21" t="n"/>
      <c r="AB1063" s="21" t="n"/>
      <c r="AC1063" s="21" t="n"/>
      <c r="AD1063" s="21" t="n"/>
      <c r="AE1063" s="21" t="n"/>
      <c r="AF1063" s="21" t="n"/>
      <c r="AG1063" s="21" t="n"/>
      <c r="AH1063" s="21" t="n"/>
      <c r="AI1063" s="21" t="n"/>
      <c r="AJ1063" s="21" t="n"/>
      <c r="AK1063" s="21" t="n"/>
      <c r="AL1063" s="21" t="n"/>
      <c r="AM1063" s="21" t="n"/>
      <c r="AN1063" s="21" t="n"/>
      <c r="AO1063" s="21" t="n"/>
      <c r="AP1063" s="21" t="n"/>
      <c r="AQ1063" s="21" t="n"/>
      <c r="AR1063" s="21" t="n"/>
      <c r="AS1063" s="21" t="n"/>
      <c r="AT1063" s="21" t="n"/>
      <c r="AU1063" s="21" t="n"/>
      <c r="AV1063" s="21" t="n"/>
      <c r="AW1063" s="21" t="n"/>
      <c r="AX1063" s="21" t="n"/>
      <c r="AY1063" s="21" t="n"/>
      <c r="AZ1063" s="21" t="n"/>
      <c r="BA1063" s="21" t="n"/>
      <c r="BB1063" s="21" t="n"/>
      <c r="BC1063" s="21" t="n"/>
      <c r="BD1063" s="21" t="n"/>
      <c r="BE1063" s="21" t="n"/>
      <c r="BF1063" s="21" t="n"/>
      <c r="BG1063" s="21" t="n"/>
      <c r="BH1063" s="21" t="n"/>
      <c r="BI1063" s="21" t="n"/>
      <c r="BJ1063" s="21" t="n"/>
      <c r="BK1063" s="21" t="n"/>
      <c r="BL1063" s="21" t="n"/>
      <c r="BM1063" s="21" t="n"/>
      <c r="BN1063" s="21" t="n"/>
      <c r="BO1063" s="21" t="n"/>
      <c r="BP1063" s="21" t="n"/>
      <c r="BQ1063" s="21" t="n"/>
      <c r="BR1063" s="21" t="n"/>
      <c r="BS1063" s="21" t="n"/>
      <c r="BT1063" s="21" t="n"/>
      <c r="BU1063" s="21" t="n"/>
      <c r="BV1063" s="21" t="n"/>
      <c r="BW1063" s="21" t="n"/>
      <c r="BX1063" s="21" t="n"/>
      <c r="BY1063" s="21" t="n"/>
      <c r="BZ1063" s="21" t="n"/>
      <c r="CA1063" s="21" t="n"/>
      <c r="CB1063" s="21" t="n"/>
      <c r="CC1063" s="21" t="n"/>
      <c r="CD1063" s="21" t="n"/>
      <c r="CE1063" s="21" t="n"/>
      <c r="CF1063" s="21" t="n"/>
      <c r="CG1063" s="21" t="n"/>
      <c r="CH1063" s="21" t="n"/>
      <c r="CI1063" s="21" t="n"/>
      <c r="CJ1063" s="21" t="n"/>
      <c r="CK1063" s="21" t="n"/>
      <c r="CL1063" s="21" t="n"/>
      <c r="CM1063" s="21" t="n"/>
      <c r="CN1063" s="21" t="n"/>
      <c r="CO1063" s="21" t="n"/>
      <c r="CP1063" s="21" t="n"/>
      <c r="CQ1063" s="21" t="n"/>
      <c r="CR1063" s="21" t="n"/>
      <c r="CS1063" s="21" t="n"/>
      <c r="CT1063" s="21" t="n"/>
      <c r="CU1063" s="21" t="n"/>
      <c r="CV1063" s="21" t="n"/>
      <c r="CW1063" s="21" t="n"/>
      <c r="CX1063" s="21" t="n"/>
      <c r="CY1063" s="21" t="n"/>
      <c r="CZ1063" s="21" t="n"/>
      <c r="DA1063" s="21" t="n"/>
      <c r="DB1063" s="21" t="n"/>
      <c r="DC1063" s="21" t="n"/>
    </row>
    <row r="1064">
      <c r="B1064" t="inlineStr">
        <is>
          <t>TSP-224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Name],$A1063)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Name],$A1063)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CHEM-1470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CHEM-1010</t>
        </is>
      </c>
      <c r="B1075" s="21" t="inlineStr">
        <is>
          <t>Sodium Carbonate Anhydrous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SOL-20P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TPP-699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t="inlineStr">
        <is>
          <t>TPP-700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Name],$A1075)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t="inlineStr">
        <is>
          <t>TPP-701</t>
        </is>
      </c>
      <c r="C1082" t="inlineStr">
        <is>
          <t>No. of batches</t>
        </is>
      </c>
      <c r="D1082">
        <f>IFERROR(INDEX(PP_Grid[#Data],$DD1082,2),0)</f>
        <v/>
      </c>
      <c r="E1082">
        <f>IFERROR(INDEX(PP_Grid[#Data],$DD1082,3),0)</f>
        <v/>
      </c>
      <c r="F1082">
        <f>IFERROR(INDEX(PP_Grid[#Data],$DD1082,4),0)</f>
        <v/>
      </c>
      <c r="G1082">
        <f>IFERROR(INDEX(PP_Grid[#Data],$DD1082,5),0)</f>
        <v/>
      </c>
      <c r="H1082">
        <f>IFERROR(INDEX(PP_Grid[#Data],$DD1082,6),0)</f>
        <v/>
      </c>
      <c r="I1082">
        <f>IFERROR(INDEX(PP_Grid[#Data],$DD1082,7),0)</f>
        <v/>
      </c>
      <c r="J1082">
        <f>IFERROR(INDEX(PP_Grid[#Data],$DD1082,8),0)</f>
        <v/>
      </c>
      <c r="K1082">
        <f>IFERROR(INDEX(PP_Grid[#Data],$DD1082,9),0)</f>
        <v/>
      </c>
      <c r="L1082">
        <f>IFERROR(INDEX(PP_Grid[#Data],$DD1082,10),0)</f>
        <v/>
      </c>
      <c r="M1082">
        <f>IFERROR(INDEX(PP_Grid[#Data],$DD1082,11),0)</f>
        <v/>
      </c>
      <c r="N1082">
        <f>IFERROR(INDEX(PP_Grid[#Data],$DD1082,12),0)</f>
        <v/>
      </c>
      <c r="O1082">
        <f>IFERROR(INDEX(PP_Grid[#Data],$DD1082,13),0)</f>
        <v/>
      </c>
      <c r="P1082">
        <f>IFERROR(INDEX(PP_Grid[#Data],$DD1082,14),0)</f>
        <v/>
      </c>
      <c r="Q1082">
        <f>IFERROR(INDEX(PP_Grid[#Data],$DD1082,15),0)</f>
        <v/>
      </c>
      <c r="R1082">
        <f>IFERROR(INDEX(PP_Grid[#Data],$DD1082,16),0)</f>
        <v/>
      </c>
      <c r="S1082">
        <f>IFERROR(INDEX(PP_Grid[#Data],$DD1082,17),0)</f>
        <v/>
      </c>
      <c r="T1082">
        <f>IFERROR(INDEX(PP_Grid[#Data],$DD1082,18),0)</f>
        <v/>
      </c>
      <c r="U1082">
        <f>IFERROR(INDEX(PP_Grid[#Data],$DD1082,19),0)</f>
        <v/>
      </c>
      <c r="V1082">
        <f>IFERROR(INDEX(PP_Grid[#Data],$DD1082,20),0)</f>
        <v/>
      </c>
      <c r="W1082">
        <f>IFERROR(INDEX(PP_Grid[#Data],$DD1082,21),0)</f>
        <v/>
      </c>
      <c r="X1082">
        <f>IFERROR(INDEX(PP_Grid[#Data],$DD1082,22),0)</f>
        <v/>
      </c>
      <c r="Y1082">
        <f>IFERROR(INDEX(PP_Grid[#Data],$DD1082,23),0)</f>
        <v/>
      </c>
      <c r="Z1082">
        <f>IFERROR(INDEX(PP_Grid[#Data],$DD1082,24),0)</f>
        <v/>
      </c>
      <c r="AA1082">
        <f>IFERROR(INDEX(PP_Grid[#Data],$DD1082,25),0)</f>
        <v/>
      </c>
      <c r="AB1082">
        <f>IFERROR(INDEX(PP_Grid[#Data],$DD1082,26),0)</f>
        <v/>
      </c>
      <c r="AC1082">
        <f>IFERROR(INDEX(PP_Grid[#Data],$DD1082,27),0)</f>
        <v/>
      </c>
      <c r="AD1082">
        <f>IFERROR(INDEX(PP_Grid[#Data],$DD1082,28),0)</f>
        <v/>
      </c>
      <c r="AE1082">
        <f>IFERROR(INDEX(PP_Grid[#Data],$DD1082,29),0)</f>
        <v/>
      </c>
      <c r="AF1082">
        <f>IFERROR(INDEX(PP_Grid[#Data],$DD1082,30),0)</f>
        <v/>
      </c>
      <c r="AG1082">
        <f>IFERROR(INDEX(PP_Grid[#Data],$DD1082,31),0)</f>
        <v/>
      </c>
      <c r="AH1082">
        <f>IFERROR(INDEX(PP_Grid[#Data],$DD1082,32),0)</f>
        <v/>
      </c>
      <c r="AI1082">
        <f>IFERROR(INDEX(PP_Grid[#Data],$DD1082,33),0)</f>
        <v/>
      </c>
      <c r="AJ1082">
        <f>IFERROR(INDEX(PP_Grid[#Data],$DD1082,34),0)</f>
        <v/>
      </c>
      <c r="AK1082">
        <f>IFERROR(INDEX(PP_Grid[#Data],$DD1082,35),0)</f>
        <v/>
      </c>
      <c r="AL1082">
        <f>IFERROR(INDEX(PP_Grid[#Data],$DD1082,36),0)</f>
        <v/>
      </c>
      <c r="AM1082">
        <f>IFERROR(INDEX(PP_Grid[#Data],$DD1082,37),0)</f>
        <v/>
      </c>
      <c r="AN1082">
        <f>IFERROR(INDEX(PP_Grid[#Data],$DD1082,38),0)</f>
        <v/>
      </c>
      <c r="AO1082">
        <f>IFERROR(INDEX(PP_Grid[#Data],$DD1082,39),0)</f>
        <v/>
      </c>
      <c r="AP1082">
        <f>IFERROR(INDEX(PP_Grid[#Data],$DD1082,40),0)</f>
        <v/>
      </c>
      <c r="AQ1082">
        <f>IFERROR(INDEX(PP_Grid[#Data],$DD1082,41),0)</f>
        <v/>
      </c>
      <c r="AR1082">
        <f>IFERROR(INDEX(PP_Grid[#Data],$DD1082,42),0)</f>
        <v/>
      </c>
      <c r="AS1082">
        <f>IFERROR(INDEX(PP_Grid[#Data],$DD1082,43),0)</f>
        <v/>
      </c>
      <c r="AT1082">
        <f>IFERROR(INDEX(PP_Grid[#Data],$DD1082,44),0)</f>
        <v/>
      </c>
      <c r="AU1082">
        <f>IFERROR(INDEX(PP_Grid[#Data],$DD1082,45),0)</f>
        <v/>
      </c>
      <c r="AV1082">
        <f>IFERROR(INDEX(PP_Grid[#Data],$DD1082,46),0)</f>
        <v/>
      </c>
      <c r="AW1082">
        <f>IFERROR(INDEX(PP_Grid[#Data],$DD1082,47),0)</f>
        <v/>
      </c>
      <c r="AX1082">
        <f>IFERROR(INDEX(PP_Grid[#Data],$DD1082,48),0)</f>
        <v/>
      </c>
      <c r="AY1082">
        <f>IFERROR(INDEX(PP_Grid[#Data],$DD1082,49),0)</f>
        <v/>
      </c>
      <c r="AZ1082">
        <f>IFERROR(INDEX(PP_Grid[#Data],$DD1082,50),0)</f>
        <v/>
      </c>
      <c r="BA1082">
        <f>IFERROR(INDEX(PP_Grid[#Data],$DD1082,51),0)</f>
        <v/>
      </c>
      <c r="BB1082">
        <f>IFERROR(INDEX(PP_Grid[#Data],$DD1082,52),0)</f>
        <v/>
      </c>
      <c r="BC1082">
        <f>IFERROR(INDEX(PP_Grid[#Data],$DD1082,53),0)</f>
        <v/>
      </c>
      <c r="BD1082">
        <f>IFERROR(INDEX(PP_Grid[#Data],$DD1082,54),0)</f>
        <v/>
      </c>
      <c r="BE1082">
        <f>IFERROR(INDEX(PP_Grid[#Data],$DD1082,55),0)</f>
        <v/>
      </c>
      <c r="BF1082">
        <f>IFERROR(INDEX(PP_Grid[#Data],$DD1082,56),0)</f>
        <v/>
      </c>
      <c r="BG1082">
        <f>IFERROR(INDEX(PP_Grid[#Data],$DD1082,57),0)</f>
        <v/>
      </c>
      <c r="BH1082">
        <f>IFERROR(INDEX(PP_Grid[#Data],$DD1082,58),0)</f>
        <v/>
      </c>
      <c r="BI1082">
        <f>IFERROR(INDEX(PP_Grid[#Data],$DD1082,59),0)</f>
        <v/>
      </c>
      <c r="BJ1082">
        <f>IFERROR(INDEX(PP_Grid[#Data],$DD1082,60),0)</f>
        <v/>
      </c>
      <c r="BK1082">
        <f>IFERROR(INDEX(PP_Grid[#Data],$DD1082,61),0)</f>
        <v/>
      </c>
      <c r="BL1082">
        <f>IFERROR(INDEX(PP_Grid[#Data],$DD1082,62),0)</f>
        <v/>
      </c>
      <c r="BM1082">
        <f>IFERROR(INDEX(PP_Grid[#Data],$DD1082,63),0)</f>
        <v/>
      </c>
      <c r="BN1082">
        <f>IFERROR(INDEX(PP_Grid[#Data],$DD1082,64),0)</f>
        <v/>
      </c>
      <c r="BO1082">
        <f>IFERROR(INDEX(PP_Grid[#Data],$DD1082,65),0)</f>
        <v/>
      </c>
      <c r="BP1082">
        <f>IFERROR(INDEX(PP_Grid[#Data],$DD1082,66),0)</f>
        <v/>
      </c>
      <c r="BQ1082">
        <f>IFERROR(INDEX(PP_Grid[#Data],$DD1082,67),0)</f>
        <v/>
      </c>
      <c r="BR1082">
        <f>IFERROR(INDEX(PP_Grid[#Data],$DD1082,68),0)</f>
        <v/>
      </c>
      <c r="BS1082">
        <f>IFERROR(INDEX(PP_Grid[#Data],$DD1082,69),0)</f>
        <v/>
      </c>
      <c r="BT1082">
        <f>IFERROR(INDEX(PP_Grid[#Data],$DD1082,70),0)</f>
        <v/>
      </c>
      <c r="BU1082">
        <f>IFERROR(INDEX(PP_Grid[#Data],$DD1082,71),0)</f>
        <v/>
      </c>
      <c r="BV1082">
        <f>IFERROR(INDEX(PP_Grid[#Data],$DD1082,72),0)</f>
        <v/>
      </c>
      <c r="BW1082">
        <f>IFERROR(INDEX(PP_Grid[#Data],$DD1082,73),0)</f>
        <v/>
      </c>
      <c r="BX1082">
        <f>IFERROR(INDEX(PP_Grid[#Data],$DD1082,74),0)</f>
        <v/>
      </c>
      <c r="BY1082">
        <f>IFERROR(INDEX(PP_Grid[#Data],$DD1082,75),0)</f>
        <v/>
      </c>
      <c r="BZ1082">
        <f>IFERROR(INDEX(PP_Grid[#Data],$DD1082,76),0)</f>
        <v/>
      </c>
      <c r="CA1082">
        <f>IFERROR(INDEX(PP_Grid[#Data],$DD1082,77),0)</f>
        <v/>
      </c>
      <c r="CB1082">
        <f>IFERROR(INDEX(PP_Grid[#Data],$DD1082,78),0)</f>
        <v/>
      </c>
      <c r="CC1082">
        <f>IFERROR(INDEX(PP_Grid[#Data],$DD1082,79),0)</f>
        <v/>
      </c>
      <c r="CD1082">
        <f>IFERROR(INDEX(PP_Grid[#Data],$DD1082,80),0)</f>
        <v/>
      </c>
      <c r="CE1082">
        <f>IFERROR(INDEX(PP_Grid[#Data],$DD1082,81),0)</f>
        <v/>
      </c>
      <c r="CF1082">
        <f>IFERROR(INDEX(PP_Grid[#Data],$DD1082,82),0)</f>
        <v/>
      </c>
      <c r="CG1082">
        <f>IFERROR(INDEX(PP_Grid[#Data],$DD1082,83),0)</f>
        <v/>
      </c>
      <c r="CH1082">
        <f>IFERROR(INDEX(PP_Grid[#Data],$DD1082,84),0)</f>
        <v/>
      </c>
      <c r="CI1082">
        <f>IFERROR(INDEX(PP_Grid[#Data],$DD1082,85),0)</f>
        <v/>
      </c>
      <c r="CJ1082">
        <f>IFERROR(INDEX(PP_Grid[#Data],$DD1082,86),0)</f>
        <v/>
      </c>
      <c r="CK1082">
        <f>IFERROR(INDEX(PP_Grid[#Data],$DD1082,87),0)</f>
        <v/>
      </c>
      <c r="CL1082">
        <f>IFERROR(INDEX(PP_Grid[#Data],$DD1082,88),0)</f>
        <v/>
      </c>
      <c r="CM1082">
        <f>IFERROR(INDEX(PP_Grid[#Data],$DD1082,89),0)</f>
        <v/>
      </c>
      <c r="CN1082">
        <f>IFERROR(INDEX(PP_Grid[#Data],$DD1082,90),0)</f>
        <v/>
      </c>
      <c r="CO1082">
        <f>IFERROR(INDEX(PP_Grid[#Data],$DD1082,91),0)</f>
        <v/>
      </c>
      <c r="CP1082">
        <f>IFERROR(INDEX(PP_Grid[#Data],$DD1082,92),0)</f>
        <v/>
      </c>
      <c r="CQ1082">
        <f>IFERROR(INDEX(PP_Grid[#Data],$DD1082,93),0)</f>
        <v/>
      </c>
      <c r="CR1082">
        <f>IFERROR(INDEX(PP_Grid[#Data],$DD1082,94),0)</f>
        <v/>
      </c>
      <c r="CS1082">
        <f>IFERROR(INDEX(PP_Grid[#Data],$DD1082,95),0)</f>
        <v/>
      </c>
      <c r="CT1082">
        <f>IFERROR(INDEX(PP_Grid[#Data],$DD1082,96),0)</f>
        <v/>
      </c>
      <c r="CU1082">
        <f>IFERROR(INDEX(PP_Grid[#Data],$DD1082,97),0)</f>
        <v/>
      </c>
      <c r="CV1082">
        <f>IFERROR(INDEX(PP_Grid[#Data],$DD1082,98),0)</f>
        <v/>
      </c>
      <c r="CW1082">
        <f>IFERROR(INDEX(PP_Grid[#Data],$DD1082,99),0)</f>
        <v/>
      </c>
      <c r="CX1082">
        <f>IFERROR(INDEX(PP_Grid[#Data],$DD1082,100),0)</f>
        <v/>
      </c>
      <c r="CY1082">
        <f>IFERROR(INDEX(PP_Grid[#Data],$DD1082,101),0)</f>
        <v/>
      </c>
      <c r="CZ1082">
        <f>IFERROR(INDEX(PP_Grid[#Data],$DD1082,102),0)</f>
        <v/>
      </c>
      <c r="DA1082">
        <f>IFERROR(INDEX(PP_Grid[#Data],$DD1082,103),0)</f>
        <v/>
      </c>
      <c r="DB1082">
        <f>IFERROR(INDEX(PP_Grid[#Data],$DD1082,104),0)</f>
        <v/>
      </c>
      <c r="DC1082">
        <f>IFERROR(INDEX(PP_Grid[#Data],$DD1082,105),0)</f>
        <v/>
      </c>
      <c r="DD1082" s="12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SUMIFS(M_BOM[RM_Qty_Per_Batch],M_BOM[Intermediate],$B1082,M_BOM[Part Name],$A1075)</f>
        <v/>
      </c>
      <c r="D1083">
        <f>$C1083*D1082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</row>
    <row r="1084">
      <c r="B1084" t="inlineStr">
        <is>
          <t>TPP-825</t>
        </is>
      </c>
      <c r="C1084" t="inlineStr">
        <is>
          <t>No. of batches</t>
        </is>
      </c>
      <c r="D1084">
        <f>IFERROR(INDEX(PP_Grid[#Data],$DD1084,2),0)</f>
        <v/>
      </c>
      <c r="E1084">
        <f>IFERROR(INDEX(PP_Grid[#Data],$DD1084,3),0)</f>
        <v/>
      </c>
      <c r="F1084">
        <f>IFERROR(INDEX(PP_Grid[#Data],$DD1084,4),0)</f>
        <v/>
      </c>
      <c r="G1084">
        <f>IFERROR(INDEX(PP_Grid[#Data],$DD1084,5),0)</f>
        <v/>
      </c>
      <c r="H1084">
        <f>IFERROR(INDEX(PP_Grid[#Data],$DD1084,6),0)</f>
        <v/>
      </c>
      <c r="I1084">
        <f>IFERROR(INDEX(PP_Grid[#Data],$DD1084,7),0)</f>
        <v/>
      </c>
      <c r="J1084">
        <f>IFERROR(INDEX(PP_Grid[#Data],$DD1084,8),0)</f>
        <v/>
      </c>
      <c r="K1084">
        <f>IFERROR(INDEX(PP_Grid[#Data],$DD1084,9),0)</f>
        <v/>
      </c>
      <c r="L1084">
        <f>IFERROR(INDEX(PP_Grid[#Data],$DD1084,10),0)</f>
        <v/>
      </c>
      <c r="M1084">
        <f>IFERROR(INDEX(PP_Grid[#Data],$DD1084,11),0)</f>
        <v/>
      </c>
      <c r="N1084">
        <f>IFERROR(INDEX(PP_Grid[#Data],$DD1084,12),0)</f>
        <v/>
      </c>
      <c r="O1084">
        <f>IFERROR(INDEX(PP_Grid[#Data],$DD1084,13),0)</f>
        <v/>
      </c>
      <c r="P1084">
        <f>IFERROR(INDEX(PP_Grid[#Data],$DD1084,14),0)</f>
        <v/>
      </c>
      <c r="Q1084">
        <f>IFERROR(INDEX(PP_Grid[#Data],$DD1084,15),0)</f>
        <v/>
      </c>
      <c r="R1084">
        <f>IFERROR(INDEX(PP_Grid[#Data],$DD1084,16),0)</f>
        <v/>
      </c>
      <c r="S1084">
        <f>IFERROR(INDEX(PP_Grid[#Data],$DD1084,17),0)</f>
        <v/>
      </c>
      <c r="T1084">
        <f>IFERROR(INDEX(PP_Grid[#Data],$DD1084,18),0)</f>
        <v/>
      </c>
      <c r="U1084">
        <f>IFERROR(INDEX(PP_Grid[#Data],$DD1084,19),0)</f>
        <v/>
      </c>
      <c r="V1084">
        <f>IFERROR(INDEX(PP_Grid[#Data],$DD1084,20),0)</f>
        <v/>
      </c>
      <c r="W1084">
        <f>IFERROR(INDEX(PP_Grid[#Data],$DD1084,21),0)</f>
        <v/>
      </c>
      <c r="X1084">
        <f>IFERROR(INDEX(PP_Grid[#Data],$DD1084,22),0)</f>
        <v/>
      </c>
      <c r="Y1084">
        <f>IFERROR(INDEX(PP_Grid[#Data],$DD1084,23),0)</f>
        <v/>
      </c>
      <c r="Z1084">
        <f>IFERROR(INDEX(PP_Grid[#Data],$DD1084,24),0)</f>
        <v/>
      </c>
      <c r="AA1084">
        <f>IFERROR(INDEX(PP_Grid[#Data],$DD1084,25),0)</f>
        <v/>
      </c>
      <c r="AB1084">
        <f>IFERROR(INDEX(PP_Grid[#Data],$DD1084,26),0)</f>
        <v/>
      </c>
      <c r="AC1084">
        <f>IFERROR(INDEX(PP_Grid[#Data],$DD1084,27),0)</f>
        <v/>
      </c>
      <c r="AD1084">
        <f>IFERROR(INDEX(PP_Grid[#Data],$DD1084,28),0)</f>
        <v/>
      </c>
      <c r="AE1084">
        <f>IFERROR(INDEX(PP_Grid[#Data],$DD1084,29),0)</f>
        <v/>
      </c>
      <c r="AF1084">
        <f>IFERROR(INDEX(PP_Grid[#Data],$DD1084,30),0)</f>
        <v/>
      </c>
      <c r="AG1084">
        <f>IFERROR(INDEX(PP_Grid[#Data],$DD1084,31),0)</f>
        <v/>
      </c>
      <c r="AH1084">
        <f>IFERROR(INDEX(PP_Grid[#Data],$DD1084,32),0)</f>
        <v/>
      </c>
      <c r="AI1084">
        <f>IFERROR(INDEX(PP_Grid[#Data],$DD1084,33),0)</f>
        <v/>
      </c>
      <c r="AJ1084">
        <f>IFERROR(INDEX(PP_Grid[#Data],$DD1084,34),0)</f>
        <v/>
      </c>
      <c r="AK1084">
        <f>IFERROR(INDEX(PP_Grid[#Data],$DD1084,35),0)</f>
        <v/>
      </c>
      <c r="AL1084">
        <f>IFERROR(INDEX(PP_Grid[#Data],$DD1084,36),0)</f>
        <v/>
      </c>
      <c r="AM1084">
        <f>IFERROR(INDEX(PP_Grid[#Data],$DD1084,37),0)</f>
        <v/>
      </c>
      <c r="AN1084">
        <f>IFERROR(INDEX(PP_Grid[#Data],$DD1084,38),0)</f>
        <v/>
      </c>
      <c r="AO1084">
        <f>IFERROR(INDEX(PP_Grid[#Data],$DD1084,39),0)</f>
        <v/>
      </c>
      <c r="AP1084">
        <f>IFERROR(INDEX(PP_Grid[#Data],$DD1084,40),0)</f>
        <v/>
      </c>
      <c r="AQ1084">
        <f>IFERROR(INDEX(PP_Grid[#Data],$DD1084,41),0)</f>
        <v/>
      </c>
      <c r="AR1084">
        <f>IFERROR(INDEX(PP_Grid[#Data],$DD1084,42),0)</f>
        <v/>
      </c>
      <c r="AS1084">
        <f>IFERROR(INDEX(PP_Grid[#Data],$DD1084,43),0)</f>
        <v/>
      </c>
      <c r="AT1084">
        <f>IFERROR(INDEX(PP_Grid[#Data],$DD1084,44),0)</f>
        <v/>
      </c>
      <c r="AU1084">
        <f>IFERROR(INDEX(PP_Grid[#Data],$DD1084,45),0)</f>
        <v/>
      </c>
      <c r="AV1084">
        <f>IFERROR(INDEX(PP_Grid[#Data],$DD1084,46),0)</f>
        <v/>
      </c>
      <c r="AW1084">
        <f>IFERROR(INDEX(PP_Grid[#Data],$DD1084,47),0)</f>
        <v/>
      </c>
      <c r="AX1084">
        <f>IFERROR(INDEX(PP_Grid[#Data],$DD1084,48),0)</f>
        <v/>
      </c>
      <c r="AY1084">
        <f>IFERROR(INDEX(PP_Grid[#Data],$DD1084,49),0)</f>
        <v/>
      </c>
      <c r="AZ1084">
        <f>IFERROR(INDEX(PP_Grid[#Data],$DD1084,50),0)</f>
        <v/>
      </c>
      <c r="BA1084">
        <f>IFERROR(INDEX(PP_Grid[#Data],$DD1084,51),0)</f>
        <v/>
      </c>
      <c r="BB1084">
        <f>IFERROR(INDEX(PP_Grid[#Data],$DD1084,52),0)</f>
        <v/>
      </c>
      <c r="BC1084">
        <f>IFERROR(INDEX(PP_Grid[#Data],$DD1084,53),0)</f>
        <v/>
      </c>
      <c r="BD1084">
        <f>IFERROR(INDEX(PP_Grid[#Data],$DD1084,54),0)</f>
        <v/>
      </c>
      <c r="BE1084">
        <f>IFERROR(INDEX(PP_Grid[#Data],$DD1084,55),0)</f>
        <v/>
      </c>
      <c r="BF1084">
        <f>IFERROR(INDEX(PP_Grid[#Data],$DD1084,56),0)</f>
        <v/>
      </c>
      <c r="BG1084">
        <f>IFERROR(INDEX(PP_Grid[#Data],$DD1084,57),0)</f>
        <v/>
      </c>
      <c r="BH1084">
        <f>IFERROR(INDEX(PP_Grid[#Data],$DD1084,58),0)</f>
        <v/>
      </c>
      <c r="BI1084">
        <f>IFERROR(INDEX(PP_Grid[#Data],$DD1084,59),0)</f>
        <v/>
      </c>
      <c r="BJ1084">
        <f>IFERROR(INDEX(PP_Grid[#Data],$DD1084,60),0)</f>
        <v/>
      </c>
      <c r="BK1084">
        <f>IFERROR(INDEX(PP_Grid[#Data],$DD1084,61),0)</f>
        <v/>
      </c>
      <c r="BL1084">
        <f>IFERROR(INDEX(PP_Grid[#Data],$DD1084,62),0)</f>
        <v/>
      </c>
      <c r="BM1084">
        <f>IFERROR(INDEX(PP_Grid[#Data],$DD1084,63),0)</f>
        <v/>
      </c>
      <c r="BN1084">
        <f>IFERROR(INDEX(PP_Grid[#Data],$DD1084,64),0)</f>
        <v/>
      </c>
      <c r="BO1084">
        <f>IFERROR(INDEX(PP_Grid[#Data],$DD1084,65),0)</f>
        <v/>
      </c>
      <c r="BP1084">
        <f>IFERROR(INDEX(PP_Grid[#Data],$DD1084,66),0)</f>
        <v/>
      </c>
      <c r="BQ1084">
        <f>IFERROR(INDEX(PP_Grid[#Data],$DD1084,67),0)</f>
        <v/>
      </c>
      <c r="BR1084">
        <f>IFERROR(INDEX(PP_Grid[#Data],$DD1084,68),0)</f>
        <v/>
      </c>
      <c r="BS1084">
        <f>IFERROR(INDEX(PP_Grid[#Data],$DD1084,69),0)</f>
        <v/>
      </c>
      <c r="BT1084">
        <f>IFERROR(INDEX(PP_Grid[#Data],$DD1084,70),0)</f>
        <v/>
      </c>
      <c r="BU1084">
        <f>IFERROR(INDEX(PP_Grid[#Data],$DD1084,71),0)</f>
        <v/>
      </c>
      <c r="BV1084">
        <f>IFERROR(INDEX(PP_Grid[#Data],$DD1084,72),0)</f>
        <v/>
      </c>
      <c r="BW1084">
        <f>IFERROR(INDEX(PP_Grid[#Data],$DD1084,73),0)</f>
        <v/>
      </c>
      <c r="BX1084">
        <f>IFERROR(INDEX(PP_Grid[#Data],$DD1084,74),0)</f>
        <v/>
      </c>
      <c r="BY1084">
        <f>IFERROR(INDEX(PP_Grid[#Data],$DD1084,75),0)</f>
        <v/>
      </c>
      <c r="BZ1084">
        <f>IFERROR(INDEX(PP_Grid[#Data],$DD1084,76),0)</f>
        <v/>
      </c>
      <c r="CA1084">
        <f>IFERROR(INDEX(PP_Grid[#Data],$DD1084,77),0)</f>
        <v/>
      </c>
      <c r="CB1084">
        <f>IFERROR(INDEX(PP_Grid[#Data],$DD1084,78),0)</f>
        <v/>
      </c>
      <c r="CC1084">
        <f>IFERROR(INDEX(PP_Grid[#Data],$DD1084,79),0)</f>
        <v/>
      </c>
      <c r="CD1084">
        <f>IFERROR(INDEX(PP_Grid[#Data],$DD1084,80),0)</f>
        <v/>
      </c>
      <c r="CE1084">
        <f>IFERROR(INDEX(PP_Grid[#Data],$DD1084,81),0)</f>
        <v/>
      </c>
      <c r="CF1084">
        <f>IFERROR(INDEX(PP_Grid[#Data],$DD1084,82),0)</f>
        <v/>
      </c>
      <c r="CG1084">
        <f>IFERROR(INDEX(PP_Grid[#Data],$DD1084,83),0)</f>
        <v/>
      </c>
      <c r="CH1084">
        <f>IFERROR(INDEX(PP_Grid[#Data],$DD1084,84),0)</f>
        <v/>
      </c>
      <c r="CI1084">
        <f>IFERROR(INDEX(PP_Grid[#Data],$DD1084,85),0)</f>
        <v/>
      </c>
      <c r="CJ1084">
        <f>IFERROR(INDEX(PP_Grid[#Data],$DD1084,86),0)</f>
        <v/>
      </c>
      <c r="CK1084">
        <f>IFERROR(INDEX(PP_Grid[#Data],$DD1084,87),0)</f>
        <v/>
      </c>
      <c r="CL1084">
        <f>IFERROR(INDEX(PP_Grid[#Data],$DD1084,88),0)</f>
        <v/>
      </c>
      <c r="CM1084">
        <f>IFERROR(INDEX(PP_Grid[#Data],$DD1084,89),0)</f>
        <v/>
      </c>
      <c r="CN1084">
        <f>IFERROR(INDEX(PP_Grid[#Data],$DD1084,90),0)</f>
        <v/>
      </c>
      <c r="CO1084">
        <f>IFERROR(INDEX(PP_Grid[#Data],$DD1084,91),0)</f>
        <v/>
      </c>
      <c r="CP1084">
        <f>IFERROR(INDEX(PP_Grid[#Data],$DD1084,92),0)</f>
        <v/>
      </c>
      <c r="CQ1084">
        <f>IFERROR(INDEX(PP_Grid[#Data],$DD1084,93),0)</f>
        <v/>
      </c>
      <c r="CR1084">
        <f>IFERROR(INDEX(PP_Grid[#Data],$DD1084,94),0)</f>
        <v/>
      </c>
      <c r="CS1084">
        <f>IFERROR(INDEX(PP_Grid[#Data],$DD1084,95),0)</f>
        <v/>
      </c>
      <c r="CT1084">
        <f>IFERROR(INDEX(PP_Grid[#Data],$DD1084,96),0)</f>
        <v/>
      </c>
      <c r="CU1084">
        <f>IFERROR(INDEX(PP_Grid[#Data],$DD1084,97),0)</f>
        <v/>
      </c>
      <c r="CV1084">
        <f>IFERROR(INDEX(PP_Grid[#Data],$DD1084,98),0)</f>
        <v/>
      </c>
      <c r="CW1084">
        <f>IFERROR(INDEX(PP_Grid[#Data],$DD1084,99),0)</f>
        <v/>
      </c>
      <c r="CX1084">
        <f>IFERROR(INDEX(PP_Grid[#Data],$DD1084,100),0)</f>
        <v/>
      </c>
      <c r="CY1084">
        <f>IFERROR(INDEX(PP_Grid[#Data],$DD1084,101),0)</f>
        <v/>
      </c>
      <c r="CZ1084">
        <f>IFERROR(INDEX(PP_Grid[#Data],$DD1084,102),0)</f>
        <v/>
      </c>
      <c r="DA1084">
        <f>IFERROR(INDEX(PP_Grid[#Data],$DD1084,103),0)</f>
        <v/>
      </c>
      <c r="DB1084">
        <f>IFERROR(INDEX(PP_Grid[#Data],$DD1084,104),0)</f>
        <v/>
      </c>
      <c r="DC1084">
        <f>IFERROR(INDEX(PP_Grid[#Data],$DD1084,105),0)</f>
        <v/>
      </c>
      <c r="DD1084" s="12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SUMIFS(M_BOM[RM_Qty_Per_Batch],M_BOM[Intermediate],$B1084,M_BOM[Part Name],$A1075)</f>
        <v/>
      </c>
      <c r="D1085">
        <f>$C1085*D1084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</row>
    <row r="1086">
      <c r="B1086" t="inlineStr">
        <is>
          <t>TSP-049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Name],$A1075)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TSP-067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Name],$A1075)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TSP-069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Name],$A1075)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TSP-224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Name],$A1075)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TSP-668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Name],$A1075)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TSP-669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Name],$A1075)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TSP-670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Name],$A1075)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TSP-828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Name],$A1075)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s="5" t="inlineStr">
        <is>
          <t>合計使用量(kg)/週</t>
        </is>
      </c>
      <c r="D1102">
        <f>'Grid_Requirement'!B48</f>
        <v/>
      </c>
      <c r="E1102">
        <f>'Grid_Requirement'!C48</f>
        <v/>
      </c>
      <c r="F1102">
        <f>'Grid_Requirement'!D48</f>
        <v/>
      </c>
      <c r="G1102">
        <f>'Grid_Requirement'!E48</f>
        <v/>
      </c>
      <c r="H1102">
        <f>'Grid_Requirement'!F48</f>
        <v/>
      </c>
      <c r="I1102">
        <f>'Grid_Requirement'!G48</f>
        <v/>
      </c>
      <c r="J1102">
        <f>'Grid_Requirement'!H48</f>
        <v/>
      </c>
      <c r="K1102">
        <f>'Grid_Requirement'!I48</f>
        <v/>
      </c>
      <c r="L1102">
        <f>'Grid_Requirement'!J48</f>
        <v/>
      </c>
      <c r="M1102">
        <f>'Grid_Requirement'!K48</f>
        <v/>
      </c>
      <c r="N1102">
        <f>'Grid_Requirement'!L48</f>
        <v/>
      </c>
      <c r="O1102">
        <f>'Grid_Requirement'!M48</f>
        <v/>
      </c>
      <c r="P1102">
        <f>'Grid_Requirement'!N48</f>
        <v/>
      </c>
      <c r="Q1102">
        <f>'Grid_Requirement'!O48</f>
        <v/>
      </c>
      <c r="R1102">
        <f>'Grid_Requirement'!P48</f>
        <v/>
      </c>
      <c r="S1102">
        <f>'Grid_Requirement'!Q48</f>
        <v/>
      </c>
      <c r="T1102">
        <f>'Grid_Requirement'!R48</f>
        <v/>
      </c>
      <c r="U1102">
        <f>'Grid_Requirement'!S48</f>
        <v/>
      </c>
      <c r="V1102">
        <f>'Grid_Requirement'!T48</f>
        <v/>
      </c>
      <c r="W1102">
        <f>'Grid_Requirement'!U48</f>
        <v/>
      </c>
      <c r="X1102">
        <f>'Grid_Requirement'!V48</f>
        <v/>
      </c>
      <c r="Y1102">
        <f>'Grid_Requirement'!W48</f>
        <v/>
      </c>
      <c r="Z1102">
        <f>'Grid_Requirement'!X48</f>
        <v/>
      </c>
      <c r="AA1102">
        <f>'Grid_Requirement'!Y48</f>
        <v/>
      </c>
      <c r="AB1102">
        <f>'Grid_Requirement'!Z48</f>
        <v/>
      </c>
      <c r="AC1102">
        <f>'Grid_Requirement'!AA48</f>
        <v/>
      </c>
      <c r="AD1102">
        <f>'Grid_Requirement'!AB48</f>
        <v/>
      </c>
      <c r="AE1102">
        <f>'Grid_Requirement'!AC48</f>
        <v/>
      </c>
      <c r="AF1102">
        <f>'Grid_Requirement'!AD48</f>
        <v/>
      </c>
      <c r="AG1102">
        <f>'Grid_Requirement'!AE48</f>
        <v/>
      </c>
      <c r="AH1102">
        <f>'Grid_Requirement'!AF48</f>
        <v/>
      </c>
      <c r="AI1102">
        <f>'Grid_Requirement'!AG48</f>
        <v/>
      </c>
      <c r="AJ1102">
        <f>'Grid_Requirement'!AH48</f>
        <v/>
      </c>
      <c r="AK1102">
        <f>'Grid_Requirement'!AI48</f>
        <v/>
      </c>
      <c r="AL1102">
        <f>'Grid_Requirement'!AJ48</f>
        <v/>
      </c>
      <c r="AM1102">
        <f>'Grid_Requirement'!AK48</f>
        <v/>
      </c>
      <c r="AN1102">
        <f>'Grid_Requirement'!AL48</f>
        <v/>
      </c>
      <c r="AO1102">
        <f>'Grid_Requirement'!AM48</f>
        <v/>
      </c>
      <c r="AP1102">
        <f>'Grid_Requirement'!AN48</f>
        <v/>
      </c>
      <c r="AQ1102">
        <f>'Grid_Requirement'!AO48</f>
        <v/>
      </c>
      <c r="AR1102">
        <f>'Grid_Requirement'!AP48</f>
        <v/>
      </c>
      <c r="AS1102">
        <f>'Grid_Requirement'!AQ48</f>
        <v/>
      </c>
      <c r="AT1102">
        <f>'Grid_Requirement'!AR48</f>
        <v/>
      </c>
      <c r="AU1102">
        <f>'Grid_Requirement'!AS48</f>
        <v/>
      </c>
      <c r="AV1102">
        <f>'Grid_Requirement'!AT48</f>
        <v/>
      </c>
      <c r="AW1102">
        <f>'Grid_Requirement'!AU48</f>
        <v/>
      </c>
      <c r="AX1102">
        <f>'Grid_Requirement'!AV48</f>
        <v/>
      </c>
      <c r="AY1102">
        <f>'Grid_Requirement'!AW48</f>
        <v/>
      </c>
      <c r="AZ1102">
        <f>'Grid_Requirement'!AX48</f>
        <v/>
      </c>
      <c r="BA1102">
        <f>'Grid_Requirement'!AY48</f>
        <v/>
      </c>
      <c r="BB1102">
        <f>'Grid_Requirement'!AZ48</f>
        <v/>
      </c>
      <c r="BC1102">
        <f>'Grid_Requirement'!BA48</f>
        <v/>
      </c>
      <c r="BD1102">
        <f>'Grid_Requirement'!BB48</f>
        <v/>
      </c>
      <c r="BE1102">
        <f>'Grid_Requirement'!BC48</f>
        <v/>
      </c>
      <c r="BF1102">
        <f>'Grid_Requirement'!BD48</f>
        <v/>
      </c>
      <c r="BG1102">
        <f>'Grid_Requirement'!BE48</f>
        <v/>
      </c>
      <c r="BH1102">
        <f>'Grid_Requirement'!BF48</f>
        <v/>
      </c>
      <c r="BI1102">
        <f>'Grid_Requirement'!BG48</f>
        <v/>
      </c>
      <c r="BJ1102">
        <f>'Grid_Requirement'!BH48</f>
        <v/>
      </c>
      <c r="BK1102">
        <f>'Grid_Requirement'!BI48</f>
        <v/>
      </c>
      <c r="BL1102">
        <f>'Grid_Requirement'!BJ48</f>
        <v/>
      </c>
      <c r="BM1102">
        <f>'Grid_Requirement'!BK48</f>
        <v/>
      </c>
      <c r="BN1102">
        <f>'Grid_Requirement'!BL48</f>
        <v/>
      </c>
      <c r="BO1102">
        <f>'Grid_Requirement'!BM48</f>
        <v/>
      </c>
      <c r="BP1102">
        <f>'Grid_Requirement'!BN48</f>
        <v/>
      </c>
      <c r="BQ1102">
        <f>'Grid_Requirement'!BO48</f>
        <v/>
      </c>
      <c r="BR1102">
        <f>'Grid_Requirement'!BP48</f>
        <v/>
      </c>
      <c r="BS1102">
        <f>'Grid_Requirement'!BQ48</f>
        <v/>
      </c>
      <c r="BT1102">
        <f>'Grid_Requirement'!BR48</f>
        <v/>
      </c>
      <c r="BU1102">
        <f>'Grid_Requirement'!BS48</f>
        <v/>
      </c>
      <c r="BV1102">
        <f>'Grid_Requirement'!BT48</f>
        <v/>
      </c>
      <c r="BW1102">
        <f>'Grid_Requirement'!BU48</f>
        <v/>
      </c>
      <c r="BX1102">
        <f>'Grid_Requirement'!BV48</f>
        <v/>
      </c>
      <c r="BY1102">
        <f>'Grid_Requirement'!BW48</f>
        <v/>
      </c>
      <c r="BZ1102">
        <f>'Grid_Requirement'!BX48</f>
        <v/>
      </c>
      <c r="CA1102">
        <f>'Grid_Requirement'!BY48</f>
        <v/>
      </c>
      <c r="CB1102">
        <f>'Grid_Requirement'!BZ48</f>
        <v/>
      </c>
      <c r="CC1102">
        <f>'Grid_Requirement'!CA48</f>
        <v/>
      </c>
      <c r="CD1102">
        <f>'Grid_Requirement'!CB48</f>
        <v/>
      </c>
      <c r="CE1102">
        <f>'Grid_Requirement'!CC48</f>
        <v/>
      </c>
      <c r="CF1102">
        <f>'Grid_Requirement'!CD48</f>
        <v/>
      </c>
      <c r="CG1102">
        <f>'Grid_Requirement'!CE48</f>
        <v/>
      </c>
      <c r="CH1102">
        <f>'Grid_Requirement'!CF48</f>
        <v/>
      </c>
      <c r="CI1102">
        <f>'Grid_Requirement'!CG48</f>
        <v/>
      </c>
      <c r="CJ1102">
        <f>'Grid_Requirement'!CH48</f>
        <v/>
      </c>
      <c r="CK1102">
        <f>'Grid_Requirement'!CI48</f>
        <v/>
      </c>
      <c r="CL1102">
        <f>'Grid_Requirement'!CJ48</f>
        <v/>
      </c>
      <c r="CM1102">
        <f>'Grid_Requirement'!CK48</f>
        <v/>
      </c>
      <c r="CN1102">
        <f>'Grid_Requirement'!CL48</f>
        <v/>
      </c>
      <c r="CO1102">
        <f>'Grid_Requirement'!CM48</f>
        <v/>
      </c>
      <c r="CP1102">
        <f>'Grid_Requirement'!CN48</f>
        <v/>
      </c>
      <c r="CQ1102">
        <f>'Grid_Requirement'!CO48</f>
        <v/>
      </c>
      <c r="CR1102">
        <f>'Grid_Requirement'!CP48</f>
        <v/>
      </c>
      <c r="CS1102">
        <f>'Grid_Requirement'!CQ48</f>
        <v/>
      </c>
      <c r="CT1102">
        <f>'Grid_Requirement'!CR48</f>
        <v/>
      </c>
      <c r="CU1102">
        <f>'Grid_Requirement'!CS48</f>
        <v/>
      </c>
      <c r="CV1102">
        <f>'Grid_Requirement'!CT48</f>
        <v/>
      </c>
      <c r="CW1102">
        <f>'Grid_Requirement'!CU48</f>
        <v/>
      </c>
      <c r="CX1102">
        <f>'Grid_Requirement'!CV48</f>
        <v/>
      </c>
      <c r="CY1102">
        <f>'Grid_Requirement'!CW48</f>
        <v/>
      </c>
      <c r="CZ1102">
        <f>'Grid_Requirement'!CX48</f>
        <v/>
      </c>
      <c r="DA1102">
        <f>'Grid_Requirement'!CY48</f>
        <v/>
      </c>
      <c r="DB1102">
        <f>'Grid_Requirement'!CZ48</f>
        <v/>
      </c>
      <c r="DC1102">
        <f>'Grid_Requirement'!DA48</f>
        <v/>
      </c>
    </row>
    <row r="1103">
      <c r="B1103" t="inlineStr">
        <is>
          <t>TTAF在庫(実績,kg)</t>
        </is>
      </c>
      <c r="D1103">
        <f>'T_TTAFStock'!B52</f>
        <v/>
      </c>
      <c r="E1103">
        <f>'T_TTAFStock'!C52</f>
        <v/>
      </c>
      <c r="F1103">
        <f>'T_TTAFStock'!D52</f>
        <v/>
      </c>
      <c r="G1103">
        <f>'T_TTAFStock'!E52</f>
        <v/>
      </c>
      <c r="H1103">
        <f>'T_TTAFStock'!F52</f>
        <v/>
      </c>
      <c r="I1103">
        <f>'T_TTAFStock'!G52</f>
        <v/>
      </c>
      <c r="J1103">
        <f>'T_TTAFStock'!H52</f>
        <v/>
      </c>
      <c r="K1103">
        <f>'T_TTAFStock'!I52</f>
        <v/>
      </c>
      <c r="L1103">
        <f>'T_TTAFStock'!J52</f>
        <v/>
      </c>
      <c r="M1103">
        <f>'T_TTAFStock'!K52</f>
        <v/>
      </c>
      <c r="N1103">
        <f>'T_TTAFStock'!L52</f>
        <v/>
      </c>
      <c r="O1103">
        <f>'T_TTAFStock'!M52</f>
        <v/>
      </c>
      <c r="P1103">
        <f>'T_TTAFStock'!N52</f>
        <v/>
      </c>
      <c r="Q1103">
        <f>'T_TTAFStock'!O52</f>
        <v/>
      </c>
      <c r="R1103">
        <f>'T_TTAFStock'!P52</f>
        <v/>
      </c>
      <c r="S1103">
        <f>'T_TTAFStock'!Q52</f>
        <v/>
      </c>
      <c r="T1103">
        <f>'T_TTAFStock'!R52</f>
        <v/>
      </c>
      <c r="U1103">
        <f>'T_TTAFStock'!S52</f>
        <v/>
      </c>
      <c r="V1103">
        <f>'T_TTAFStock'!T52</f>
        <v/>
      </c>
      <c r="W1103">
        <f>'T_TTAFStock'!U52</f>
        <v/>
      </c>
      <c r="X1103">
        <f>'T_TTAFStock'!V52</f>
        <v/>
      </c>
      <c r="Y1103">
        <f>'T_TTAFStock'!W52</f>
        <v/>
      </c>
      <c r="Z1103">
        <f>'T_TTAFStock'!X52</f>
        <v/>
      </c>
      <c r="AA1103">
        <f>'T_TTAFStock'!Y52</f>
        <v/>
      </c>
      <c r="AB1103">
        <f>'T_TTAFStock'!Z52</f>
        <v/>
      </c>
      <c r="AC1103">
        <f>'T_TTAFStock'!AA52</f>
        <v/>
      </c>
      <c r="AD1103">
        <f>'T_TTAFStock'!AB52</f>
        <v/>
      </c>
      <c r="AE1103">
        <f>'T_TTAFStock'!AC52</f>
        <v/>
      </c>
      <c r="AF1103">
        <f>'T_TTAFStock'!AD52</f>
        <v/>
      </c>
      <c r="AG1103">
        <f>'T_TTAFStock'!AE52</f>
        <v/>
      </c>
      <c r="AH1103">
        <f>'T_TTAFStock'!AF52</f>
        <v/>
      </c>
      <c r="AI1103">
        <f>'T_TTAFStock'!AG52</f>
        <v/>
      </c>
      <c r="AJ1103">
        <f>'T_TTAFStock'!AH52</f>
        <v/>
      </c>
      <c r="AK1103">
        <f>'T_TTAFStock'!AI52</f>
        <v/>
      </c>
      <c r="AL1103">
        <f>'T_TTAFStock'!AJ52</f>
        <v/>
      </c>
      <c r="AM1103">
        <f>'T_TTAFStock'!AK52</f>
        <v/>
      </c>
      <c r="AN1103">
        <f>'T_TTAFStock'!AL52</f>
        <v/>
      </c>
      <c r="AO1103">
        <f>'T_TTAFStock'!AM52</f>
        <v/>
      </c>
      <c r="AP1103">
        <f>'T_TTAFStock'!AN52</f>
        <v/>
      </c>
      <c r="AQ1103">
        <f>'T_TTAFStock'!AO52</f>
        <v/>
      </c>
      <c r="AR1103">
        <f>'T_TTAFStock'!AP52</f>
        <v/>
      </c>
      <c r="AS1103">
        <f>'T_TTAFStock'!AQ52</f>
        <v/>
      </c>
      <c r="AT1103">
        <f>'T_TTAFStock'!AR52</f>
        <v/>
      </c>
      <c r="AU1103">
        <f>'T_TTAFStock'!AS52</f>
        <v/>
      </c>
      <c r="AV1103">
        <f>'T_TTAFStock'!AT52</f>
        <v/>
      </c>
      <c r="AW1103">
        <f>'T_TTAFStock'!AU52</f>
        <v/>
      </c>
      <c r="AX1103">
        <f>'T_TTAFStock'!AV52</f>
        <v/>
      </c>
      <c r="AY1103">
        <f>'T_TTAFStock'!AW52</f>
        <v/>
      </c>
      <c r="AZ1103">
        <f>'T_TTAFStock'!AX52</f>
        <v/>
      </c>
      <c r="BA1103">
        <f>'T_TTAFStock'!AY52</f>
        <v/>
      </c>
      <c r="BB1103">
        <f>'T_TTAFStock'!AZ52</f>
        <v/>
      </c>
      <c r="BC1103">
        <f>'T_TTAFStock'!BA52</f>
        <v/>
      </c>
      <c r="BD1103">
        <f>'T_TTAFStock'!BB52</f>
        <v/>
      </c>
      <c r="BE1103">
        <f>'T_TTAFStock'!BC52</f>
        <v/>
      </c>
      <c r="BF1103">
        <f>'T_TTAFStock'!BD52</f>
        <v/>
      </c>
      <c r="BG1103">
        <f>'T_TTAFStock'!BE52</f>
        <v/>
      </c>
      <c r="BH1103">
        <f>'T_TTAFStock'!BF52</f>
        <v/>
      </c>
      <c r="BI1103">
        <f>'T_TTAFStock'!BG52</f>
        <v/>
      </c>
      <c r="BJ1103">
        <f>'T_TTAFStock'!BH52</f>
        <v/>
      </c>
      <c r="BK1103">
        <f>'T_TTAFStock'!BI52</f>
        <v/>
      </c>
      <c r="BL1103">
        <f>'T_TTAFStock'!BJ52</f>
        <v/>
      </c>
      <c r="BM1103">
        <f>'T_TTAFStock'!BK52</f>
        <v/>
      </c>
      <c r="BN1103">
        <f>'T_TTAFStock'!BL52</f>
        <v/>
      </c>
      <c r="BO1103">
        <f>'T_TTAFStock'!BM52</f>
        <v/>
      </c>
      <c r="BP1103">
        <f>'T_TTAFStock'!BN52</f>
        <v/>
      </c>
      <c r="BQ1103">
        <f>'T_TTAFStock'!BO52</f>
        <v/>
      </c>
      <c r="BR1103">
        <f>'T_TTAFStock'!BP52</f>
        <v/>
      </c>
      <c r="BS1103">
        <f>'T_TTAFStock'!BQ52</f>
        <v/>
      </c>
      <c r="BT1103">
        <f>'T_TTAFStock'!BR52</f>
        <v/>
      </c>
      <c r="BU1103">
        <f>'T_TTAFStock'!BS52</f>
        <v/>
      </c>
      <c r="BV1103">
        <f>'T_TTAFStock'!BT52</f>
        <v/>
      </c>
      <c r="BW1103">
        <f>'T_TTAFStock'!BU52</f>
        <v/>
      </c>
      <c r="BX1103">
        <f>'T_TTAFStock'!BV52</f>
        <v/>
      </c>
      <c r="BY1103">
        <f>'T_TTAFStock'!BW52</f>
        <v/>
      </c>
      <c r="BZ1103">
        <f>'T_TTAFStock'!BX52</f>
        <v/>
      </c>
      <c r="CA1103">
        <f>'T_TTAFStock'!BY52</f>
        <v/>
      </c>
      <c r="CB1103">
        <f>'T_TTAFStock'!BZ52</f>
        <v/>
      </c>
      <c r="CC1103">
        <f>'T_TTAFStock'!CA52</f>
        <v/>
      </c>
      <c r="CD1103">
        <f>'T_TTAFStock'!CB52</f>
        <v/>
      </c>
      <c r="CE1103">
        <f>'T_TTAFStock'!CC52</f>
        <v/>
      </c>
      <c r="CF1103">
        <f>'T_TTAFStock'!CD52</f>
        <v/>
      </c>
      <c r="CG1103">
        <f>'T_TTAFStock'!CE52</f>
        <v/>
      </c>
      <c r="CH1103">
        <f>'T_TTAFStock'!CF52</f>
        <v/>
      </c>
      <c r="CI1103">
        <f>'T_TTAFStock'!CG52</f>
        <v/>
      </c>
      <c r="CJ1103">
        <f>'T_TTAFStock'!CH52</f>
        <v/>
      </c>
      <c r="CK1103">
        <f>'T_TTAFStock'!CI52</f>
        <v/>
      </c>
      <c r="CL1103">
        <f>'T_TTAFStock'!CJ52</f>
        <v/>
      </c>
      <c r="CM1103">
        <f>'T_TTAFStock'!CK52</f>
        <v/>
      </c>
      <c r="CN1103">
        <f>'T_TTAFStock'!CL52</f>
        <v/>
      </c>
      <c r="CO1103">
        <f>'T_TTAFStock'!CM52</f>
        <v/>
      </c>
      <c r="CP1103">
        <f>'T_TTAFStock'!CN52</f>
        <v/>
      </c>
      <c r="CQ1103">
        <f>'T_TTAFStock'!CO52</f>
        <v/>
      </c>
      <c r="CR1103">
        <f>'T_TTAFStock'!CP52</f>
        <v/>
      </c>
      <c r="CS1103">
        <f>'T_TTAFStock'!CQ52</f>
        <v/>
      </c>
      <c r="CT1103">
        <f>'T_TTAFStock'!CR52</f>
        <v/>
      </c>
      <c r="CU1103">
        <f>'T_TTAFStock'!CS52</f>
        <v/>
      </c>
      <c r="CV1103">
        <f>'T_TTAFStock'!CT52</f>
        <v/>
      </c>
      <c r="CW1103">
        <f>'T_TTAFStock'!CU52</f>
        <v/>
      </c>
      <c r="CX1103">
        <f>'T_TTAFStock'!CV52</f>
        <v/>
      </c>
      <c r="CY1103">
        <f>'T_TTAFStock'!CW52</f>
        <v/>
      </c>
      <c r="CZ1103">
        <f>'T_TTAFStock'!CX52</f>
        <v/>
      </c>
      <c r="DA1103">
        <f>'T_TTAFStock'!CY52</f>
        <v/>
      </c>
      <c r="DB1103">
        <f>'T_TTAFStock'!CZ52</f>
        <v/>
      </c>
      <c r="DC1103">
        <f>'T_TTAFStock'!DA52</f>
        <v/>
      </c>
    </row>
    <row r="1104">
      <c r="B1104" t="inlineStr">
        <is>
          <t>自社在庫(実績,kg)</t>
        </is>
      </c>
      <c r="D1104">
        <f>'T_SelfStock'!B52</f>
        <v/>
      </c>
      <c r="E1104">
        <f>'T_SelfStock'!C52</f>
        <v/>
      </c>
      <c r="F1104">
        <f>'T_SelfStock'!D52</f>
        <v/>
      </c>
      <c r="G1104">
        <f>'T_SelfStock'!E52</f>
        <v/>
      </c>
      <c r="H1104">
        <f>'T_SelfStock'!F52</f>
        <v/>
      </c>
      <c r="I1104">
        <f>'T_SelfStock'!G52</f>
        <v/>
      </c>
      <c r="J1104">
        <f>'T_SelfStock'!H52</f>
        <v/>
      </c>
      <c r="K1104">
        <f>'T_SelfStock'!I52</f>
        <v/>
      </c>
      <c r="L1104">
        <f>'T_SelfStock'!J52</f>
        <v/>
      </c>
      <c r="M1104">
        <f>'T_SelfStock'!K52</f>
        <v/>
      </c>
      <c r="N1104">
        <f>'T_SelfStock'!L52</f>
        <v/>
      </c>
      <c r="O1104">
        <f>'T_SelfStock'!M52</f>
        <v/>
      </c>
      <c r="P1104">
        <f>'T_SelfStock'!N52</f>
        <v/>
      </c>
      <c r="Q1104">
        <f>'T_SelfStock'!O52</f>
        <v/>
      </c>
      <c r="R1104">
        <f>'T_SelfStock'!P52</f>
        <v/>
      </c>
      <c r="S1104">
        <f>'T_SelfStock'!Q52</f>
        <v/>
      </c>
      <c r="T1104">
        <f>'T_SelfStock'!R52</f>
        <v/>
      </c>
      <c r="U1104">
        <f>'T_SelfStock'!S52</f>
        <v/>
      </c>
      <c r="V1104">
        <f>'T_SelfStock'!T52</f>
        <v/>
      </c>
      <c r="W1104">
        <f>'T_SelfStock'!U52</f>
        <v/>
      </c>
      <c r="X1104">
        <f>'T_SelfStock'!V52</f>
        <v/>
      </c>
      <c r="Y1104">
        <f>'T_SelfStock'!W52</f>
        <v/>
      </c>
      <c r="Z1104">
        <f>'T_SelfStock'!X52</f>
        <v/>
      </c>
      <c r="AA1104">
        <f>'T_SelfStock'!Y52</f>
        <v/>
      </c>
      <c r="AB1104">
        <f>'T_SelfStock'!Z52</f>
        <v/>
      </c>
      <c r="AC1104">
        <f>'T_SelfStock'!AA52</f>
        <v/>
      </c>
      <c r="AD1104">
        <f>'T_SelfStock'!AB52</f>
        <v/>
      </c>
      <c r="AE1104">
        <f>'T_SelfStock'!AC52</f>
        <v/>
      </c>
      <c r="AF1104">
        <f>'T_SelfStock'!AD52</f>
        <v/>
      </c>
      <c r="AG1104">
        <f>'T_SelfStock'!AE52</f>
        <v/>
      </c>
      <c r="AH1104">
        <f>'T_SelfStock'!AF52</f>
        <v/>
      </c>
      <c r="AI1104">
        <f>'T_SelfStock'!AG52</f>
        <v/>
      </c>
      <c r="AJ1104">
        <f>'T_SelfStock'!AH52</f>
        <v/>
      </c>
      <c r="AK1104">
        <f>'T_SelfStock'!AI52</f>
        <v/>
      </c>
      <c r="AL1104">
        <f>'T_SelfStock'!AJ52</f>
        <v/>
      </c>
      <c r="AM1104">
        <f>'T_SelfStock'!AK52</f>
        <v/>
      </c>
      <c r="AN1104">
        <f>'T_SelfStock'!AL52</f>
        <v/>
      </c>
      <c r="AO1104">
        <f>'T_SelfStock'!AM52</f>
        <v/>
      </c>
      <c r="AP1104">
        <f>'T_SelfStock'!AN52</f>
        <v/>
      </c>
      <c r="AQ1104">
        <f>'T_SelfStock'!AO52</f>
        <v/>
      </c>
      <c r="AR1104">
        <f>'T_SelfStock'!AP52</f>
        <v/>
      </c>
      <c r="AS1104">
        <f>'T_SelfStock'!AQ52</f>
        <v/>
      </c>
      <c r="AT1104">
        <f>'T_SelfStock'!AR52</f>
        <v/>
      </c>
      <c r="AU1104">
        <f>'T_SelfStock'!AS52</f>
        <v/>
      </c>
      <c r="AV1104">
        <f>'T_SelfStock'!AT52</f>
        <v/>
      </c>
      <c r="AW1104">
        <f>'T_SelfStock'!AU52</f>
        <v/>
      </c>
      <c r="AX1104">
        <f>'T_SelfStock'!AV52</f>
        <v/>
      </c>
      <c r="AY1104">
        <f>'T_SelfStock'!AW52</f>
        <v/>
      </c>
      <c r="AZ1104">
        <f>'T_SelfStock'!AX52</f>
        <v/>
      </c>
      <c r="BA1104">
        <f>'T_SelfStock'!AY52</f>
        <v/>
      </c>
      <c r="BB1104">
        <f>'T_SelfStock'!AZ52</f>
        <v/>
      </c>
      <c r="BC1104">
        <f>'T_SelfStock'!BA52</f>
        <v/>
      </c>
      <c r="BD1104">
        <f>'T_SelfStock'!BB52</f>
        <v/>
      </c>
      <c r="BE1104">
        <f>'T_SelfStock'!BC52</f>
        <v/>
      </c>
      <c r="BF1104">
        <f>'T_SelfStock'!BD52</f>
        <v/>
      </c>
      <c r="BG1104">
        <f>'T_SelfStock'!BE52</f>
        <v/>
      </c>
      <c r="BH1104">
        <f>'T_SelfStock'!BF52</f>
        <v/>
      </c>
      <c r="BI1104">
        <f>'T_SelfStock'!BG52</f>
        <v/>
      </c>
      <c r="BJ1104">
        <f>'T_SelfStock'!BH52</f>
        <v/>
      </c>
      <c r="BK1104">
        <f>'T_SelfStock'!BI52</f>
        <v/>
      </c>
      <c r="BL1104">
        <f>'T_SelfStock'!BJ52</f>
        <v/>
      </c>
      <c r="BM1104">
        <f>'T_SelfStock'!BK52</f>
        <v/>
      </c>
      <c r="BN1104">
        <f>'T_SelfStock'!BL52</f>
        <v/>
      </c>
      <c r="BO1104">
        <f>'T_SelfStock'!BM52</f>
        <v/>
      </c>
      <c r="BP1104">
        <f>'T_SelfStock'!BN52</f>
        <v/>
      </c>
      <c r="BQ1104">
        <f>'T_SelfStock'!BO52</f>
        <v/>
      </c>
      <c r="BR1104">
        <f>'T_SelfStock'!BP52</f>
        <v/>
      </c>
      <c r="BS1104">
        <f>'T_SelfStock'!BQ52</f>
        <v/>
      </c>
      <c r="BT1104">
        <f>'T_SelfStock'!BR52</f>
        <v/>
      </c>
      <c r="BU1104">
        <f>'T_SelfStock'!BS52</f>
        <v/>
      </c>
      <c r="BV1104">
        <f>'T_SelfStock'!BT52</f>
        <v/>
      </c>
      <c r="BW1104">
        <f>'T_SelfStock'!BU52</f>
        <v/>
      </c>
      <c r="BX1104">
        <f>'T_SelfStock'!BV52</f>
        <v/>
      </c>
      <c r="BY1104">
        <f>'T_SelfStock'!BW52</f>
        <v/>
      </c>
      <c r="BZ1104">
        <f>'T_SelfStock'!BX52</f>
        <v/>
      </c>
      <c r="CA1104">
        <f>'T_SelfStock'!BY52</f>
        <v/>
      </c>
      <c r="CB1104">
        <f>'T_SelfStock'!BZ52</f>
        <v/>
      </c>
      <c r="CC1104">
        <f>'T_SelfStock'!CA52</f>
        <v/>
      </c>
      <c r="CD1104">
        <f>'T_SelfStock'!CB52</f>
        <v/>
      </c>
      <c r="CE1104">
        <f>'T_SelfStock'!CC52</f>
        <v/>
      </c>
      <c r="CF1104">
        <f>'T_SelfStock'!CD52</f>
        <v/>
      </c>
      <c r="CG1104">
        <f>'T_SelfStock'!CE52</f>
        <v/>
      </c>
      <c r="CH1104">
        <f>'T_SelfStock'!CF52</f>
        <v/>
      </c>
      <c r="CI1104">
        <f>'T_SelfStock'!CG52</f>
        <v/>
      </c>
      <c r="CJ1104">
        <f>'T_SelfStock'!CH52</f>
        <v/>
      </c>
      <c r="CK1104">
        <f>'T_SelfStock'!CI52</f>
        <v/>
      </c>
      <c r="CL1104">
        <f>'T_SelfStock'!CJ52</f>
        <v/>
      </c>
      <c r="CM1104">
        <f>'T_SelfStock'!CK52</f>
        <v/>
      </c>
      <c r="CN1104">
        <f>'T_SelfStock'!CL52</f>
        <v/>
      </c>
      <c r="CO1104">
        <f>'T_SelfStock'!CM52</f>
        <v/>
      </c>
      <c r="CP1104">
        <f>'T_SelfStock'!CN52</f>
        <v/>
      </c>
      <c r="CQ1104">
        <f>'T_SelfStock'!CO52</f>
        <v/>
      </c>
      <c r="CR1104">
        <f>'T_SelfStock'!CP52</f>
        <v/>
      </c>
      <c r="CS1104">
        <f>'T_SelfStock'!CQ52</f>
        <v/>
      </c>
      <c r="CT1104">
        <f>'T_SelfStock'!CR52</f>
        <v/>
      </c>
      <c r="CU1104">
        <f>'T_SelfStock'!CS52</f>
        <v/>
      </c>
      <c r="CV1104">
        <f>'T_SelfStock'!CT52</f>
        <v/>
      </c>
      <c r="CW1104">
        <f>'T_SelfStock'!CU52</f>
        <v/>
      </c>
      <c r="CX1104">
        <f>'T_SelfStock'!CV52</f>
        <v/>
      </c>
      <c r="CY1104">
        <f>'T_SelfStock'!CW52</f>
        <v/>
      </c>
      <c r="CZ1104">
        <f>'T_SelfStock'!CX52</f>
        <v/>
      </c>
      <c r="DA1104">
        <f>'T_SelfStock'!CY52</f>
        <v/>
      </c>
      <c r="DB1104">
        <f>'T_SelfStock'!CZ52</f>
        <v/>
      </c>
      <c r="DC1104">
        <f>'T_SelfStock'!DA52</f>
        <v/>
      </c>
    </row>
    <row r="1105">
      <c r="B1105" t="inlineStr">
        <is>
          <t>Order(発注予定,kg)</t>
        </is>
      </c>
      <c r="D1105" s="23" t="n"/>
      <c r="E1105" s="23" t="n"/>
      <c r="F1105" s="23" t="n"/>
      <c r="G1105" s="23" t="n"/>
      <c r="H1105" s="23" t="n"/>
      <c r="I1105" s="23" t="n"/>
      <c r="J1105" s="23" t="n"/>
      <c r="K1105" s="23" t="n"/>
      <c r="L1105" s="23" t="n"/>
      <c r="M1105" s="23" t="n"/>
      <c r="N1105" s="23" t="n"/>
      <c r="O1105" s="23" t="n"/>
      <c r="P1105" s="23" t="n"/>
      <c r="Q1105" s="23" t="n"/>
      <c r="R1105" s="23" t="n"/>
      <c r="S1105" s="23" t="n"/>
      <c r="T1105" s="23" t="n"/>
      <c r="U1105" s="23" t="n"/>
      <c r="V1105" s="23" t="n"/>
      <c r="W1105" s="23" t="n"/>
      <c r="X1105" s="23" t="n"/>
      <c r="Y1105" s="23" t="n"/>
      <c r="Z1105" s="23" t="n"/>
      <c r="AA1105" s="23" t="n"/>
      <c r="AB1105" s="23" t="n"/>
      <c r="AC1105" s="23" t="n"/>
      <c r="AD1105" s="23" t="n"/>
      <c r="AE1105" s="23" t="n"/>
      <c r="AF1105" s="23" t="n"/>
      <c r="AG1105" s="23" t="n"/>
      <c r="AH1105" s="23" t="n"/>
      <c r="AI1105" s="23" t="n"/>
      <c r="AJ1105" s="23" t="n"/>
      <c r="AK1105" s="23" t="n"/>
      <c r="AL1105" s="23" t="n"/>
      <c r="AM1105" s="23" t="n"/>
      <c r="AN1105" s="23" t="n"/>
      <c r="AO1105" s="23" t="n"/>
      <c r="AP1105" s="23" t="n"/>
      <c r="AQ1105" s="23" t="n"/>
      <c r="AR1105" s="23" t="n"/>
      <c r="AS1105" s="23" t="n"/>
      <c r="AT1105" s="23" t="n"/>
      <c r="AU1105" s="23" t="n"/>
      <c r="AV1105" s="23" t="n"/>
      <c r="AW1105" s="23" t="n"/>
      <c r="AX1105" s="23" t="n"/>
      <c r="AY1105" s="23" t="n"/>
      <c r="AZ1105" s="23" t="n"/>
      <c r="BA1105" s="23" t="n"/>
      <c r="BB1105" s="23" t="n"/>
      <c r="BC1105" s="23" t="n"/>
      <c r="BD1105" s="23" t="n"/>
      <c r="BE1105" s="23" t="n"/>
      <c r="BF1105" s="23" t="n"/>
      <c r="BG1105" s="23" t="n"/>
      <c r="BH1105" s="23" t="n"/>
      <c r="BI1105" s="23" t="n"/>
      <c r="BJ1105" s="23" t="n"/>
      <c r="BK1105" s="23" t="n"/>
      <c r="BL1105" s="23" t="n"/>
      <c r="BM1105" s="23" t="n"/>
      <c r="BN1105" s="23" t="n"/>
      <c r="BO1105" s="23" t="n"/>
      <c r="BP1105" s="23" t="n"/>
      <c r="BQ1105" s="23" t="n"/>
      <c r="BR1105" s="23" t="n"/>
      <c r="BS1105" s="23" t="n"/>
      <c r="BT1105" s="23" t="n"/>
      <c r="BU1105" s="23" t="n"/>
      <c r="BV1105" s="23" t="n"/>
      <c r="BW1105" s="23" t="n"/>
      <c r="BX1105" s="23" t="n"/>
      <c r="BY1105" s="23" t="n"/>
      <c r="BZ1105" s="23" t="n"/>
      <c r="CA1105" s="23" t="n"/>
      <c r="CB1105" s="23" t="n"/>
      <c r="CC1105" s="23" t="n"/>
      <c r="CD1105" s="23" t="n"/>
      <c r="CE1105" s="23" t="n"/>
      <c r="CF1105" s="23" t="n"/>
      <c r="CG1105" s="23" t="n"/>
      <c r="CH1105" s="23" t="n"/>
      <c r="CI1105" s="23" t="n"/>
      <c r="CJ1105" s="23" t="n"/>
      <c r="CK1105" s="23" t="n"/>
      <c r="CL1105" s="23" t="n"/>
      <c r="CM1105" s="23" t="n"/>
      <c r="CN1105" s="23" t="n"/>
      <c r="CO1105" s="23" t="n"/>
      <c r="CP1105" s="23" t="n"/>
      <c r="CQ1105" s="23" t="n"/>
      <c r="CR1105" s="23" t="n"/>
      <c r="CS1105" s="23" t="n"/>
      <c r="CT1105" s="23" t="n"/>
      <c r="CU1105" s="23" t="n"/>
      <c r="CV1105" s="23" t="n"/>
      <c r="CW1105" s="23" t="n"/>
      <c r="CX1105" s="23" t="n"/>
      <c r="CY1105" s="23" t="n"/>
      <c r="CZ1105" s="23" t="n"/>
      <c r="DA1105" s="23" t="n"/>
      <c r="DB1105" s="23" t="n"/>
      <c r="DC1105" s="23" t="n"/>
      <c r="DE1105" s="12" t="inlineStr">
        <is>
          <t>CHEM-1010</t>
        </is>
      </c>
    </row>
    <row r="1106">
      <c r="B1106" s="5" t="inlineStr">
        <is>
          <t>合計在庫(週末時点,kg)</t>
        </is>
      </c>
      <c r="D1106">
        <f>'Grid_Stock'!B48</f>
        <v/>
      </c>
      <c r="E1106">
        <f>'Grid_Stock'!C48</f>
        <v/>
      </c>
      <c r="F1106">
        <f>'Grid_Stock'!D48</f>
        <v/>
      </c>
      <c r="G1106">
        <f>'Grid_Stock'!E48</f>
        <v/>
      </c>
      <c r="H1106">
        <f>'Grid_Stock'!F48</f>
        <v/>
      </c>
      <c r="I1106">
        <f>'Grid_Stock'!G48</f>
        <v/>
      </c>
      <c r="J1106">
        <f>'Grid_Stock'!H48</f>
        <v/>
      </c>
      <c r="K1106">
        <f>'Grid_Stock'!I48</f>
        <v/>
      </c>
      <c r="L1106">
        <f>'Grid_Stock'!J48</f>
        <v/>
      </c>
      <c r="M1106">
        <f>'Grid_Stock'!K48</f>
        <v/>
      </c>
      <c r="N1106">
        <f>'Grid_Stock'!L48</f>
        <v/>
      </c>
      <c r="O1106">
        <f>'Grid_Stock'!M48</f>
        <v/>
      </c>
      <c r="P1106">
        <f>'Grid_Stock'!N48</f>
        <v/>
      </c>
      <c r="Q1106">
        <f>'Grid_Stock'!O48</f>
        <v/>
      </c>
      <c r="R1106">
        <f>'Grid_Stock'!P48</f>
        <v/>
      </c>
      <c r="S1106">
        <f>'Grid_Stock'!Q48</f>
        <v/>
      </c>
      <c r="T1106">
        <f>'Grid_Stock'!R48</f>
        <v/>
      </c>
      <c r="U1106">
        <f>'Grid_Stock'!S48</f>
        <v/>
      </c>
      <c r="V1106">
        <f>'Grid_Stock'!T48</f>
        <v/>
      </c>
      <c r="W1106">
        <f>'Grid_Stock'!U48</f>
        <v/>
      </c>
      <c r="X1106">
        <f>'Grid_Stock'!V48</f>
        <v/>
      </c>
      <c r="Y1106">
        <f>'Grid_Stock'!W48</f>
        <v/>
      </c>
      <c r="Z1106">
        <f>'Grid_Stock'!X48</f>
        <v/>
      </c>
      <c r="AA1106">
        <f>'Grid_Stock'!Y48</f>
        <v/>
      </c>
      <c r="AB1106">
        <f>'Grid_Stock'!Z48</f>
        <v/>
      </c>
      <c r="AC1106">
        <f>'Grid_Stock'!AA48</f>
        <v/>
      </c>
      <c r="AD1106">
        <f>'Grid_Stock'!AB48</f>
        <v/>
      </c>
      <c r="AE1106">
        <f>'Grid_Stock'!AC48</f>
        <v/>
      </c>
      <c r="AF1106">
        <f>'Grid_Stock'!AD48</f>
        <v/>
      </c>
      <c r="AG1106">
        <f>'Grid_Stock'!AE48</f>
        <v/>
      </c>
      <c r="AH1106">
        <f>'Grid_Stock'!AF48</f>
        <v/>
      </c>
      <c r="AI1106">
        <f>'Grid_Stock'!AG48</f>
        <v/>
      </c>
      <c r="AJ1106">
        <f>'Grid_Stock'!AH48</f>
        <v/>
      </c>
      <c r="AK1106">
        <f>'Grid_Stock'!AI48</f>
        <v/>
      </c>
      <c r="AL1106">
        <f>'Grid_Stock'!AJ48</f>
        <v/>
      </c>
      <c r="AM1106">
        <f>'Grid_Stock'!AK48</f>
        <v/>
      </c>
      <c r="AN1106">
        <f>'Grid_Stock'!AL48</f>
        <v/>
      </c>
      <c r="AO1106">
        <f>'Grid_Stock'!AM48</f>
        <v/>
      </c>
      <c r="AP1106">
        <f>'Grid_Stock'!AN48</f>
        <v/>
      </c>
      <c r="AQ1106">
        <f>'Grid_Stock'!AO48</f>
        <v/>
      </c>
      <c r="AR1106">
        <f>'Grid_Stock'!AP48</f>
        <v/>
      </c>
      <c r="AS1106">
        <f>'Grid_Stock'!AQ48</f>
        <v/>
      </c>
      <c r="AT1106">
        <f>'Grid_Stock'!AR48</f>
        <v/>
      </c>
      <c r="AU1106">
        <f>'Grid_Stock'!AS48</f>
        <v/>
      </c>
      <c r="AV1106">
        <f>'Grid_Stock'!AT48</f>
        <v/>
      </c>
      <c r="AW1106">
        <f>'Grid_Stock'!AU48</f>
        <v/>
      </c>
      <c r="AX1106">
        <f>'Grid_Stock'!AV48</f>
        <v/>
      </c>
      <c r="AY1106">
        <f>'Grid_Stock'!AW48</f>
        <v/>
      </c>
      <c r="AZ1106">
        <f>'Grid_Stock'!AX48</f>
        <v/>
      </c>
      <c r="BA1106">
        <f>'Grid_Stock'!AY48</f>
        <v/>
      </c>
      <c r="BB1106">
        <f>'Grid_Stock'!AZ48</f>
        <v/>
      </c>
      <c r="BC1106">
        <f>'Grid_Stock'!BA48</f>
        <v/>
      </c>
      <c r="BD1106">
        <f>'Grid_Stock'!BB48</f>
        <v/>
      </c>
      <c r="BE1106">
        <f>'Grid_Stock'!BC48</f>
        <v/>
      </c>
      <c r="BF1106">
        <f>'Grid_Stock'!BD48</f>
        <v/>
      </c>
      <c r="BG1106">
        <f>'Grid_Stock'!BE48</f>
        <v/>
      </c>
      <c r="BH1106">
        <f>'Grid_Stock'!BF48</f>
        <v/>
      </c>
      <c r="BI1106">
        <f>'Grid_Stock'!BG48</f>
        <v/>
      </c>
      <c r="BJ1106">
        <f>'Grid_Stock'!BH48</f>
        <v/>
      </c>
      <c r="BK1106">
        <f>'Grid_Stock'!BI48</f>
        <v/>
      </c>
      <c r="BL1106">
        <f>'Grid_Stock'!BJ48</f>
        <v/>
      </c>
      <c r="BM1106">
        <f>'Grid_Stock'!BK48</f>
        <v/>
      </c>
      <c r="BN1106">
        <f>'Grid_Stock'!BL48</f>
        <v/>
      </c>
      <c r="BO1106">
        <f>'Grid_Stock'!BM48</f>
        <v/>
      </c>
      <c r="BP1106">
        <f>'Grid_Stock'!BN48</f>
        <v/>
      </c>
      <c r="BQ1106">
        <f>'Grid_Stock'!BO48</f>
        <v/>
      </c>
      <c r="BR1106">
        <f>'Grid_Stock'!BP48</f>
        <v/>
      </c>
      <c r="BS1106">
        <f>'Grid_Stock'!BQ48</f>
        <v/>
      </c>
      <c r="BT1106">
        <f>'Grid_Stock'!BR48</f>
        <v/>
      </c>
      <c r="BU1106">
        <f>'Grid_Stock'!BS48</f>
        <v/>
      </c>
      <c r="BV1106">
        <f>'Grid_Stock'!BT48</f>
        <v/>
      </c>
      <c r="BW1106">
        <f>'Grid_Stock'!BU48</f>
        <v/>
      </c>
      <c r="BX1106">
        <f>'Grid_Stock'!BV48</f>
        <v/>
      </c>
      <c r="BY1106">
        <f>'Grid_Stock'!BW48</f>
        <v/>
      </c>
      <c r="BZ1106">
        <f>'Grid_Stock'!BX48</f>
        <v/>
      </c>
      <c r="CA1106">
        <f>'Grid_Stock'!BY48</f>
        <v/>
      </c>
      <c r="CB1106">
        <f>'Grid_Stock'!BZ48</f>
        <v/>
      </c>
      <c r="CC1106">
        <f>'Grid_Stock'!CA48</f>
        <v/>
      </c>
      <c r="CD1106">
        <f>'Grid_Stock'!CB48</f>
        <v/>
      </c>
      <c r="CE1106">
        <f>'Grid_Stock'!CC48</f>
        <v/>
      </c>
      <c r="CF1106">
        <f>'Grid_Stock'!CD48</f>
        <v/>
      </c>
      <c r="CG1106">
        <f>'Grid_Stock'!CE48</f>
        <v/>
      </c>
      <c r="CH1106">
        <f>'Grid_Stock'!CF48</f>
        <v/>
      </c>
      <c r="CI1106">
        <f>'Grid_Stock'!CG48</f>
        <v/>
      </c>
      <c r="CJ1106">
        <f>'Grid_Stock'!CH48</f>
        <v/>
      </c>
      <c r="CK1106">
        <f>'Grid_Stock'!CI48</f>
        <v/>
      </c>
      <c r="CL1106">
        <f>'Grid_Stock'!CJ48</f>
        <v/>
      </c>
      <c r="CM1106">
        <f>'Grid_Stock'!CK48</f>
        <v/>
      </c>
      <c r="CN1106">
        <f>'Grid_Stock'!CL48</f>
        <v/>
      </c>
      <c r="CO1106">
        <f>'Grid_Stock'!CM48</f>
        <v/>
      </c>
      <c r="CP1106">
        <f>'Grid_Stock'!CN48</f>
        <v/>
      </c>
      <c r="CQ1106">
        <f>'Grid_Stock'!CO48</f>
        <v/>
      </c>
      <c r="CR1106">
        <f>'Grid_Stock'!CP48</f>
        <v/>
      </c>
      <c r="CS1106">
        <f>'Grid_Stock'!CQ48</f>
        <v/>
      </c>
      <c r="CT1106">
        <f>'Grid_Stock'!CR48</f>
        <v/>
      </c>
      <c r="CU1106">
        <f>'Grid_Stock'!CS48</f>
        <v/>
      </c>
      <c r="CV1106">
        <f>'Grid_Stock'!CT48</f>
        <v/>
      </c>
      <c r="CW1106">
        <f>'Grid_Stock'!CU48</f>
        <v/>
      </c>
      <c r="CX1106">
        <f>'Grid_Stock'!CV48</f>
        <v/>
      </c>
      <c r="CY1106">
        <f>'Grid_Stock'!CW48</f>
        <v/>
      </c>
      <c r="CZ1106">
        <f>'Grid_Stock'!CX48</f>
        <v/>
      </c>
      <c r="DA1106">
        <f>'Grid_Stock'!CY48</f>
        <v/>
      </c>
      <c r="DB1106">
        <f>'Grid_Stock'!CZ48</f>
        <v/>
      </c>
      <c r="DC1106">
        <f>'Grid_Stock'!DA48</f>
        <v/>
      </c>
    </row>
    <row r="1107">
      <c r="B1107" s="24" t="inlineStr">
        <is>
          <t>（発注の目安はDashboardの基準在庫[下限/上限]と色分けを参照）</t>
        </is>
      </c>
    </row>
    <row r="1109">
      <c r="A1109" s="21" t="inlineStr">
        <is>
          <t>CHEM-1760</t>
        </is>
      </c>
      <c r="B1109" s="21" t="inlineStr">
        <is>
          <t>Pigment TC RED FD (A)</t>
        </is>
      </c>
      <c r="C1109" s="22" t="n"/>
      <c r="D1109" s="21" t="n"/>
      <c r="E1109" s="21" t="n"/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  <c r="AA1109" s="21" t="n"/>
      <c r="AB1109" s="21" t="n"/>
      <c r="AC1109" s="21" t="n"/>
      <c r="AD1109" s="21" t="n"/>
      <c r="AE1109" s="21" t="n"/>
      <c r="AF1109" s="21" t="n"/>
      <c r="AG1109" s="21" t="n"/>
      <c r="AH1109" s="21" t="n"/>
      <c r="AI1109" s="21" t="n"/>
      <c r="AJ1109" s="21" t="n"/>
      <c r="AK1109" s="21" t="n"/>
      <c r="AL1109" s="21" t="n"/>
      <c r="AM1109" s="21" t="n"/>
      <c r="AN1109" s="21" t="n"/>
      <c r="AO1109" s="21" t="n"/>
      <c r="AP1109" s="21" t="n"/>
      <c r="AQ1109" s="21" t="n"/>
      <c r="AR1109" s="21" t="n"/>
      <c r="AS1109" s="21" t="n"/>
      <c r="AT1109" s="21" t="n"/>
      <c r="AU1109" s="21" t="n"/>
      <c r="AV1109" s="21" t="n"/>
      <c r="AW1109" s="21" t="n"/>
      <c r="AX1109" s="21" t="n"/>
      <c r="AY1109" s="21" t="n"/>
      <c r="AZ1109" s="21" t="n"/>
      <c r="BA1109" s="21" t="n"/>
      <c r="BB1109" s="21" t="n"/>
      <c r="BC1109" s="21" t="n"/>
      <c r="BD1109" s="21" t="n"/>
      <c r="BE1109" s="21" t="n"/>
      <c r="BF1109" s="21" t="n"/>
      <c r="BG1109" s="21" t="n"/>
      <c r="BH1109" s="21" t="n"/>
      <c r="BI1109" s="21" t="n"/>
      <c r="BJ1109" s="21" t="n"/>
      <c r="BK1109" s="21" t="n"/>
      <c r="BL1109" s="21" t="n"/>
      <c r="BM1109" s="21" t="n"/>
      <c r="BN1109" s="21" t="n"/>
      <c r="BO1109" s="21" t="n"/>
      <c r="BP1109" s="21" t="n"/>
      <c r="BQ1109" s="21" t="n"/>
      <c r="BR1109" s="21" t="n"/>
      <c r="BS1109" s="21" t="n"/>
      <c r="BT1109" s="21" t="n"/>
      <c r="BU1109" s="21" t="n"/>
      <c r="BV1109" s="21" t="n"/>
      <c r="BW1109" s="21" t="n"/>
      <c r="BX1109" s="21" t="n"/>
      <c r="BY1109" s="21" t="n"/>
      <c r="BZ1109" s="21" t="n"/>
      <c r="CA1109" s="21" t="n"/>
      <c r="CB1109" s="21" t="n"/>
      <c r="CC1109" s="21" t="n"/>
      <c r="CD1109" s="21" t="n"/>
      <c r="CE1109" s="21" t="n"/>
      <c r="CF1109" s="21" t="n"/>
      <c r="CG1109" s="21" t="n"/>
      <c r="CH1109" s="21" t="n"/>
      <c r="CI1109" s="21" t="n"/>
      <c r="CJ1109" s="21" t="n"/>
      <c r="CK1109" s="21" t="n"/>
      <c r="CL1109" s="21" t="n"/>
      <c r="CM1109" s="21" t="n"/>
      <c r="CN1109" s="21" t="n"/>
      <c r="CO1109" s="21" t="n"/>
      <c r="CP1109" s="21" t="n"/>
      <c r="CQ1109" s="21" t="n"/>
      <c r="CR1109" s="21" t="n"/>
      <c r="CS1109" s="21" t="n"/>
      <c r="CT1109" s="21" t="n"/>
      <c r="CU1109" s="21" t="n"/>
      <c r="CV1109" s="21" t="n"/>
      <c r="CW1109" s="21" t="n"/>
      <c r="CX1109" s="21" t="n"/>
      <c r="CY1109" s="21" t="n"/>
      <c r="CZ1109" s="21" t="n"/>
      <c r="DA1109" s="21" t="n"/>
      <c r="DB1109" s="21" t="n"/>
      <c r="DC1109" s="21" t="n"/>
    </row>
    <row r="1110">
      <c r="B1110" t="inlineStr">
        <is>
          <t>TVS-267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TVS-500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Name],$A1109)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TVS-664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Name],$A1109)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TVS-833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Name],$A1109)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s="5" t="inlineStr">
        <is>
          <t>合計使用量(kg)/週</t>
        </is>
      </c>
      <c r="D1118">
        <f>'Grid_Requirement'!B49</f>
        <v/>
      </c>
      <c r="E1118">
        <f>'Grid_Requirement'!C49</f>
        <v/>
      </c>
      <c r="F1118">
        <f>'Grid_Requirement'!D49</f>
        <v/>
      </c>
      <c r="G1118">
        <f>'Grid_Requirement'!E49</f>
        <v/>
      </c>
      <c r="H1118">
        <f>'Grid_Requirement'!F49</f>
        <v/>
      </c>
      <c r="I1118">
        <f>'Grid_Requirement'!G49</f>
        <v/>
      </c>
      <c r="J1118">
        <f>'Grid_Requirement'!H49</f>
        <v/>
      </c>
      <c r="K1118">
        <f>'Grid_Requirement'!I49</f>
        <v/>
      </c>
      <c r="L1118">
        <f>'Grid_Requirement'!J49</f>
        <v/>
      </c>
      <c r="M1118">
        <f>'Grid_Requirement'!K49</f>
        <v/>
      </c>
      <c r="N1118">
        <f>'Grid_Requirement'!L49</f>
        <v/>
      </c>
      <c r="O1118">
        <f>'Grid_Requirement'!M49</f>
        <v/>
      </c>
      <c r="P1118">
        <f>'Grid_Requirement'!N49</f>
        <v/>
      </c>
      <c r="Q1118">
        <f>'Grid_Requirement'!O49</f>
        <v/>
      </c>
      <c r="R1118">
        <f>'Grid_Requirement'!P49</f>
        <v/>
      </c>
      <c r="S1118">
        <f>'Grid_Requirement'!Q49</f>
        <v/>
      </c>
      <c r="T1118">
        <f>'Grid_Requirement'!R49</f>
        <v/>
      </c>
      <c r="U1118">
        <f>'Grid_Requirement'!S49</f>
        <v/>
      </c>
      <c r="V1118">
        <f>'Grid_Requirement'!T49</f>
        <v/>
      </c>
      <c r="W1118">
        <f>'Grid_Requirement'!U49</f>
        <v/>
      </c>
      <c r="X1118">
        <f>'Grid_Requirement'!V49</f>
        <v/>
      </c>
      <c r="Y1118">
        <f>'Grid_Requirement'!W49</f>
        <v/>
      </c>
      <c r="Z1118">
        <f>'Grid_Requirement'!X49</f>
        <v/>
      </c>
      <c r="AA1118">
        <f>'Grid_Requirement'!Y49</f>
        <v/>
      </c>
      <c r="AB1118">
        <f>'Grid_Requirement'!Z49</f>
        <v/>
      </c>
      <c r="AC1118">
        <f>'Grid_Requirement'!AA49</f>
        <v/>
      </c>
      <c r="AD1118">
        <f>'Grid_Requirement'!AB49</f>
        <v/>
      </c>
      <c r="AE1118">
        <f>'Grid_Requirement'!AC49</f>
        <v/>
      </c>
      <c r="AF1118">
        <f>'Grid_Requirement'!AD49</f>
        <v/>
      </c>
      <c r="AG1118">
        <f>'Grid_Requirement'!AE49</f>
        <v/>
      </c>
      <c r="AH1118">
        <f>'Grid_Requirement'!AF49</f>
        <v/>
      </c>
      <c r="AI1118">
        <f>'Grid_Requirement'!AG49</f>
        <v/>
      </c>
      <c r="AJ1118">
        <f>'Grid_Requirement'!AH49</f>
        <v/>
      </c>
      <c r="AK1118">
        <f>'Grid_Requirement'!AI49</f>
        <v/>
      </c>
      <c r="AL1118">
        <f>'Grid_Requirement'!AJ49</f>
        <v/>
      </c>
      <c r="AM1118">
        <f>'Grid_Requirement'!AK49</f>
        <v/>
      </c>
      <c r="AN1118">
        <f>'Grid_Requirement'!AL49</f>
        <v/>
      </c>
      <c r="AO1118">
        <f>'Grid_Requirement'!AM49</f>
        <v/>
      </c>
      <c r="AP1118">
        <f>'Grid_Requirement'!AN49</f>
        <v/>
      </c>
      <c r="AQ1118">
        <f>'Grid_Requirement'!AO49</f>
        <v/>
      </c>
      <c r="AR1118">
        <f>'Grid_Requirement'!AP49</f>
        <v/>
      </c>
      <c r="AS1118">
        <f>'Grid_Requirement'!AQ49</f>
        <v/>
      </c>
      <c r="AT1118">
        <f>'Grid_Requirement'!AR49</f>
        <v/>
      </c>
      <c r="AU1118">
        <f>'Grid_Requirement'!AS49</f>
        <v/>
      </c>
      <c r="AV1118">
        <f>'Grid_Requirement'!AT49</f>
        <v/>
      </c>
      <c r="AW1118">
        <f>'Grid_Requirement'!AU49</f>
        <v/>
      </c>
      <c r="AX1118">
        <f>'Grid_Requirement'!AV49</f>
        <v/>
      </c>
      <c r="AY1118">
        <f>'Grid_Requirement'!AW49</f>
        <v/>
      </c>
      <c r="AZ1118">
        <f>'Grid_Requirement'!AX49</f>
        <v/>
      </c>
      <c r="BA1118">
        <f>'Grid_Requirement'!AY49</f>
        <v/>
      </c>
      <c r="BB1118">
        <f>'Grid_Requirement'!AZ49</f>
        <v/>
      </c>
      <c r="BC1118">
        <f>'Grid_Requirement'!BA49</f>
        <v/>
      </c>
      <c r="BD1118">
        <f>'Grid_Requirement'!BB49</f>
        <v/>
      </c>
      <c r="BE1118">
        <f>'Grid_Requirement'!BC49</f>
        <v/>
      </c>
      <c r="BF1118">
        <f>'Grid_Requirement'!BD49</f>
        <v/>
      </c>
      <c r="BG1118">
        <f>'Grid_Requirement'!BE49</f>
        <v/>
      </c>
      <c r="BH1118">
        <f>'Grid_Requirement'!BF49</f>
        <v/>
      </c>
      <c r="BI1118">
        <f>'Grid_Requirement'!BG49</f>
        <v/>
      </c>
      <c r="BJ1118">
        <f>'Grid_Requirement'!BH49</f>
        <v/>
      </c>
      <c r="BK1118">
        <f>'Grid_Requirement'!BI49</f>
        <v/>
      </c>
      <c r="BL1118">
        <f>'Grid_Requirement'!BJ49</f>
        <v/>
      </c>
      <c r="BM1118">
        <f>'Grid_Requirement'!BK49</f>
        <v/>
      </c>
      <c r="BN1118">
        <f>'Grid_Requirement'!BL49</f>
        <v/>
      </c>
      <c r="BO1118">
        <f>'Grid_Requirement'!BM49</f>
        <v/>
      </c>
      <c r="BP1118">
        <f>'Grid_Requirement'!BN49</f>
        <v/>
      </c>
      <c r="BQ1118">
        <f>'Grid_Requirement'!BO49</f>
        <v/>
      </c>
      <c r="BR1118">
        <f>'Grid_Requirement'!BP49</f>
        <v/>
      </c>
      <c r="BS1118">
        <f>'Grid_Requirement'!BQ49</f>
        <v/>
      </c>
      <c r="BT1118">
        <f>'Grid_Requirement'!BR49</f>
        <v/>
      </c>
      <c r="BU1118">
        <f>'Grid_Requirement'!BS49</f>
        <v/>
      </c>
      <c r="BV1118">
        <f>'Grid_Requirement'!BT49</f>
        <v/>
      </c>
      <c r="BW1118">
        <f>'Grid_Requirement'!BU49</f>
        <v/>
      </c>
      <c r="BX1118">
        <f>'Grid_Requirement'!BV49</f>
        <v/>
      </c>
      <c r="BY1118">
        <f>'Grid_Requirement'!BW49</f>
        <v/>
      </c>
      <c r="BZ1118">
        <f>'Grid_Requirement'!BX49</f>
        <v/>
      </c>
      <c r="CA1118">
        <f>'Grid_Requirement'!BY49</f>
        <v/>
      </c>
      <c r="CB1118">
        <f>'Grid_Requirement'!BZ49</f>
        <v/>
      </c>
      <c r="CC1118">
        <f>'Grid_Requirement'!CA49</f>
        <v/>
      </c>
      <c r="CD1118">
        <f>'Grid_Requirement'!CB49</f>
        <v/>
      </c>
      <c r="CE1118">
        <f>'Grid_Requirement'!CC49</f>
        <v/>
      </c>
      <c r="CF1118">
        <f>'Grid_Requirement'!CD49</f>
        <v/>
      </c>
      <c r="CG1118">
        <f>'Grid_Requirement'!CE49</f>
        <v/>
      </c>
      <c r="CH1118">
        <f>'Grid_Requirement'!CF49</f>
        <v/>
      </c>
      <c r="CI1118">
        <f>'Grid_Requirement'!CG49</f>
        <v/>
      </c>
      <c r="CJ1118">
        <f>'Grid_Requirement'!CH49</f>
        <v/>
      </c>
      <c r="CK1118">
        <f>'Grid_Requirement'!CI49</f>
        <v/>
      </c>
      <c r="CL1118">
        <f>'Grid_Requirement'!CJ49</f>
        <v/>
      </c>
      <c r="CM1118">
        <f>'Grid_Requirement'!CK49</f>
        <v/>
      </c>
      <c r="CN1118">
        <f>'Grid_Requirement'!CL49</f>
        <v/>
      </c>
      <c r="CO1118">
        <f>'Grid_Requirement'!CM49</f>
        <v/>
      </c>
      <c r="CP1118">
        <f>'Grid_Requirement'!CN49</f>
        <v/>
      </c>
      <c r="CQ1118">
        <f>'Grid_Requirement'!CO49</f>
        <v/>
      </c>
      <c r="CR1118">
        <f>'Grid_Requirement'!CP49</f>
        <v/>
      </c>
      <c r="CS1118">
        <f>'Grid_Requirement'!CQ49</f>
        <v/>
      </c>
      <c r="CT1118">
        <f>'Grid_Requirement'!CR49</f>
        <v/>
      </c>
      <c r="CU1118">
        <f>'Grid_Requirement'!CS49</f>
        <v/>
      </c>
      <c r="CV1118">
        <f>'Grid_Requirement'!CT49</f>
        <v/>
      </c>
      <c r="CW1118">
        <f>'Grid_Requirement'!CU49</f>
        <v/>
      </c>
      <c r="CX1118">
        <f>'Grid_Requirement'!CV49</f>
        <v/>
      </c>
      <c r="CY1118">
        <f>'Grid_Requirement'!CW49</f>
        <v/>
      </c>
      <c r="CZ1118">
        <f>'Grid_Requirement'!CX49</f>
        <v/>
      </c>
      <c r="DA1118">
        <f>'Grid_Requirement'!CY49</f>
        <v/>
      </c>
      <c r="DB1118">
        <f>'Grid_Requirement'!CZ49</f>
        <v/>
      </c>
      <c r="DC1118">
        <f>'Grid_Requirement'!DA49</f>
        <v/>
      </c>
    </row>
    <row r="1119">
      <c r="B1119" t="inlineStr">
        <is>
          <t>TTAF在庫(実績,kg)</t>
        </is>
      </c>
      <c r="D1119">
        <f>'T_TTAFStock'!B53</f>
        <v/>
      </c>
      <c r="E1119">
        <f>'T_TTAFStock'!C53</f>
        <v/>
      </c>
      <c r="F1119">
        <f>'T_TTAFStock'!D53</f>
        <v/>
      </c>
      <c r="G1119">
        <f>'T_TTAFStock'!E53</f>
        <v/>
      </c>
      <c r="H1119">
        <f>'T_TTAFStock'!F53</f>
        <v/>
      </c>
      <c r="I1119">
        <f>'T_TTAFStock'!G53</f>
        <v/>
      </c>
      <c r="J1119">
        <f>'T_TTAFStock'!H53</f>
        <v/>
      </c>
      <c r="K1119">
        <f>'T_TTAFStock'!I53</f>
        <v/>
      </c>
      <c r="L1119">
        <f>'T_TTAFStock'!J53</f>
        <v/>
      </c>
      <c r="M1119">
        <f>'T_TTAFStock'!K53</f>
        <v/>
      </c>
      <c r="N1119">
        <f>'T_TTAFStock'!L53</f>
        <v/>
      </c>
      <c r="O1119">
        <f>'T_TTAFStock'!M53</f>
        <v/>
      </c>
      <c r="P1119">
        <f>'T_TTAFStock'!N53</f>
        <v/>
      </c>
      <c r="Q1119">
        <f>'T_TTAFStock'!O53</f>
        <v/>
      </c>
      <c r="R1119">
        <f>'T_TTAFStock'!P53</f>
        <v/>
      </c>
      <c r="S1119">
        <f>'T_TTAFStock'!Q53</f>
        <v/>
      </c>
      <c r="T1119">
        <f>'T_TTAFStock'!R53</f>
        <v/>
      </c>
      <c r="U1119">
        <f>'T_TTAFStock'!S53</f>
        <v/>
      </c>
      <c r="V1119">
        <f>'T_TTAFStock'!T53</f>
        <v/>
      </c>
      <c r="W1119">
        <f>'T_TTAFStock'!U53</f>
        <v/>
      </c>
      <c r="X1119">
        <f>'T_TTAFStock'!V53</f>
        <v/>
      </c>
      <c r="Y1119">
        <f>'T_TTAFStock'!W53</f>
        <v/>
      </c>
      <c r="Z1119">
        <f>'T_TTAFStock'!X53</f>
        <v/>
      </c>
      <c r="AA1119">
        <f>'T_TTAFStock'!Y53</f>
        <v/>
      </c>
      <c r="AB1119">
        <f>'T_TTAFStock'!Z53</f>
        <v/>
      </c>
      <c r="AC1119">
        <f>'T_TTAFStock'!AA53</f>
        <v/>
      </c>
      <c r="AD1119">
        <f>'T_TTAFStock'!AB53</f>
        <v/>
      </c>
      <c r="AE1119">
        <f>'T_TTAFStock'!AC53</f>
        <v/>
      </c>
      <c r="AF1119">
        <f>'T_TTAFStock'!AD53</f>
        <v/>
      </c>
      <c r="AG1119">
        <f>'T_TTAFStock'!AE53</f>
        <v/>
      </c>
      <c r="AH1119">
        <f>'T_TTAFStock'!AF53</f>
        <v/>
      </c>
      <c r="AI1119">
        <f>'T_TTAFStock'!AG53</f>
        <v/>
      </c>
      <c r="AJ1119">
        <f>'T_TTAFStock'!AH53</f>
        <v/>
      </c>
      <c r="AK1119">
        <f>'T_TTAFStock'!AI53</f>
        <v/>
      </c>
      <c r="AL1119">
        <f>'T_TTAFStock'!AJ53</f>
        <v/>
      </c>
      <c r="AM1119">
        <f>'T_TTAFStock'!AK53</f>
        <v/>
      </c>
      <c r="AN1119">
        <f>'T_TTAFStock'!AL53</f>
        <v/>
      </c>
      <c r="AO1119">
        <f>'T_TTAFStock'!AM53</f>
        <v/>
      </c>
      <c r="AP1119">
        <f>'T_TTAFStock'!AN53</f>
        <v/>
      </c>
      <c r="AQ1119">
        <f>'T_TTAFStock'!AO53</f>
        <v/>
      </c>
      <c r="AR1119">
        <f>'T_TTAFStock'!AP53</f>
        <v/>
      </c>
      <c r="AS1119">
        <f>'T_TTAFStock'!AQ53</f>
        <v/>
      </c>
      <c r="AT1119">
        <f>'T_TTAFStock'!AR53</f>
        <v/>
      </c>
      <c r="AU1119">
        <f>'T_TTAFStock'!AS53</f>
        <v/>
      </c>
      <c r="AV1119">
        <f>'T_TTAFStock'!AT53</f>
        <v/>
      </c>
      <c r="AW1119">
        <f>'T_TTAFStock'!AU53</f>
        <v/>
      </c>
      <c r="AX1119">
        <f>'T_TTAFStock'!AV53</f>
        <v/>
      </c>
      <c r="AY1119">
        <f>'T_TTAFStock'!AW53</f>
        <v/>
      </c>
      <c r="AZ1119">
        <f>'T_TTAFStock'!AX53</f>
        <v/>
      </c>
      <c r="BA1119">
        <f>'T_TTAFStock'!AY53</f>
        <v/>
      </c>
      <c r="BB1119">
        <f>'T_TTAFStock'!AZ53</f>
        <v/>
      </c>
      <c r="BC1119">
        <f>'T_TTAFStock'!BA53</f>
        <v/>
      </c>
      <c r="BD1119">
        <f>'T_TTAFStock'!BB53</f>
        <v/>
      </c>
      <c r="BE1119">
        <f>'T_TTAFStock'!BC53</f>
        <v/>
      </c>
      <c r="BF1119">
        <f>'T_TTAFStock'!BD53</f>
        <v/>
      </c>
      <c r="BG1119">
        <f>'T_TTAFStock'!BE53</f>
        <v/>
      </c>
      <c r="BH1119">
        <f>'T_TTAFStock'!BF53</f>
        <v/>
      </c>
      <c r="BI1119">
        <f>'T_TTAFStock'!BG53</f>
        <v/>
      </c>
      <c r="BJ1119">
        <f>'T_TTAFStock'!BH53</f>
        <v/>
      </c>
      <c r="BK1119">
        <f>'T_TTAFStock'!BI53</f>
        <v/>
      </c>
      <c r="BL1119">
        <f>'T_TTAFStock'!BJ53</f>
        <v/>
      </c>
      <c r="BM1119">
        <f>'T_TTAFStock'!BK53</f>
        <v/>
      </c>
      <c r="BN1119">
        <f>'T_TTAFStock'!BL53</f>
        <v/>
      </c>
      <c r="BO1119">
        <f>'T_TTAFStock'!BM53</f>
        <v/>
      </c>
      <c r="BP1119">
        <f>'T_TTAFStock'!BN53</f>
        <v/>
      </c>
      <c r="BQ1119">
        <f>'T_TTAFStock'!BO53</f>
        <v/>
      </c>
      <c r="BR1119">
        <f>'T_TTAFStock'!BP53</f>
        <v/>
      </c>
      <c r="BS1119">
        <f>'T_TTAFStock'!BQ53</f>
        <v/>
      </c>
      <c r="BT1119">
        <f>'T_TTAFStock'!BR53</f>
        <v/>
      </c>
      <c r="BU1119">
        <f>'T_TTAFStock'!BS53</f>
        <v/>
      </c>
      <c r="BV1119">
        <f>'T_TTAFStock'!BT53</f>
        <v/>
      </c>
      <c r="BW1119">
        <f>'T_TTAFStock'!BU53</f>
        <v/>
      </c>
      <c r="BX1119">
        <f>'T_TTAFStock'!BV53</f>
        <v/>
      </c>
      <c r="BY1119">
        <f>'T_TTAFStock'!BW53</f>
        <v/>
      </c>
      <c r="BZ1119">
        <f>'T_TTAFStock'!BX53</f>
        <v/>
      </c>
      <c r="CA1119">
        <f>'T_TTAFStock'!BY53</f>
        <v/>
      </c>
      <c r="CB1119">
        <f>'T_TTAFStock'!BZ53</f>
        <v/>
      </c>
      <c r="CC1119">
        <f>'T_TTAFStock'!CA53</f>
        <v/>
      </c>
      <c r="CD1119">
        <f>'T_TTAFStock'!CB53</f>
        <v/>
      </c>
      <c r="CE1119">
        <f>'T_TTAFStock'!CC53</f>
        <v/>
      </c>
      <c r="CF1119">
        <f>'T_TTAFStock'!CD53</f>
        <v/>
      </c>
      <c r="CG1119">
        <f>'T_TTAFStock'!CE53</f>
        <v/>
      </c>
      <c r="CH1119">
        <f>'T_TTAFStock'!CF53</f>
        <v/>
      </c>
      <c r="CI1119">
        <f>'T_TTAFStock'!CG53</f>
        <v/>
      </c>
      <c r="CJ1119">
        <f>'T_TTAFStock'!CH53</f>
        <v/>
      </c>
      <c r="CK1119">
        <f>'T_TTAFStock'!CI53</f>
        <v/>
      </c>
      <c r="CL1119">
        <f>'T_TTAFStock'!CJ53</f>
        <v/>
      </c>
      <c r="CM1119">
        <f>'T_TTAFStock'!CK53</f>
        <v/>
      </c>
      <c r="CN1119">
        <f>'T_TTAFStock'!CL53</f>
        <v/>
      </c>
      <c r="CO1119">
        <f>'T_TTAFStock'!CM53</f>
        <v/>
      </c>
      <c r="CP1119">
        <f>'T_TTAFStock'!CN53</f>
        <v/>
      </c>
      <c r="CQ1119">
        <f>'T_TTAFStock'!CO53</f>
        <v/>
      </c>
      <c r="CR1119">
        <f>'T_TTAFStock'!CP53</f>
        <v/>
      </c>
      <c r="CS1119">
        <f>'T_TTAFStock'!CQ53</f>
        <v/>
      </c>
      <c r="CT1119">
        <f>'T_TTAFStock'!CR53</f>
        <v/>
      </c>
      <c r="CU1119">
        <f>'T_TTAFStock'!CS53</f>
        <v/>
      </c>
      <c r="CV1119">
        <f>'T_TTAFStock'!CT53</f>
        <v/>
      </c>
      <c r="CW1119">
        <f>'T_TTAFStock'!CU53</f>
        <v/>
      </c>
      <c r="CX1119">
        <f>'T_TTAFStock'!CV53</f>
        <v/>
      </c>
      <c r="CY1119">
        <f>'T_TTAFStock'!CW53</f>
        <v/>
      </c>
      <c r="CZ1119">
        <f>'T_TTAFStock'!CX53</f>
        <v/>
      </c>
      <c r="DA1119">
        <f>'T_TTAFStock'!CY53</f>
        <v/>
      </c>
      <c r="DB1119">
        <f>'T_TTAFStock'!CZ53</f>
        <v/>
      </c>
      <c r="DC1119">
        <f>'T_TTAFStock'!DA53</f>
        <v/>
      </c>
    </row>
    <row r="1120">
      <c r="B1120" t="inlineStr">
        <is>
          <t>自社在庫(実績,kg)</t>
        </is>
      </c>
      <c r="D1120">
        <f>'T_SelfStock'!B53</f>
        <v/>
      </c>
      <c r="E1120">
        <f>'T_SelfStock'!C53</f>
        <v/>
      </c>
      <c r="F1120">
        <f>'T_SelfStock'!D53</f>
        <v/>
      </c>
      <c r="G1120">
        <f>'T_SelfStock'!E53</f>
        <v/>
      </c>
      <c r="H1120">
        <f>'T_SelfStock'!F53</f>
        <v/>
      </c>
      <c r="I1120">
        <f>'T_SelfStock'!G53</f>
        <v/>
      </c>
      <c r="J1120">
        <f>'T_SelfStock'!H53</f>
        <v/>
      </c>
      <c r="K1120">
        <f>'T_SelfStock'!I53</f>
        <v/>
      </c>
      <c r="L1120">
        <f>'T_SelfStock'!J53</f>
        <v/>
      </c>
      <c r="M1120">
        <f>'T_SelfStock'!K53</f>
        <v/>
      </c>
      <c r="N1120">
        <f>'T_SelfStock'!L53</f>
        <v/>
      </c>
      <c r="O1120">
        <f>'T_SelfStock'!M53</f>
        <v/>
      </c>
      <c r="P1120">
        <f>'T_SelfStock'!N53</f>
        <v/>
      </c>
      <c r="Q1120">
        <f>'T_SelfStock'!O53</f>
        <v/>
      </c>
      <c r="R1120">
        <f>'T_SelfStock'!P53</f>
        <v/>
      </c>
      <c r="S1120">
        <f>'T_SelfStock'!Q53</f>
        <v/>
      </c>
      <c r="T1120">
        <f>'T_SelfStock'!R53</f>
        <v/>
      </c>
      <c r="U1120">
        <f>'T_SelfStock'!S53</f>
        <v/>
      </c>
      <c r="V1120">
        <f>'T_SelfStock'!T53</f>
        <v/>
      </c>
      <c r="W1120">
        <f>'T_SelfStock'!U53</f>
        <v/>
      </c>
      <c r="X1120">
        <f>'T_SelfStock'!V53</f>
        <v/>
      </c>
      <c r="Y1120">
        <f>'T_SelfStock'!W53</f>
        <v/>
      </c>
      <c r="Z1120">
        <f>'T_SelfStock'!X53</f>
        <v/>
      </c>
      <c r="AA1120">
        <f>'T_SelfStock'!Y53</f>
        <v/>
      </c>
      <c r="AB1120">
        <f>'T_SelfStock'!Z53</f>
        <v/>
      </c>
      <c r="AC1120">
        <f>'T_SelfStock'!AA53</f>
        <v/>
      </c>
      <c r="AD1120">
        <f>'T_SelfStock'!AB53</f>
        <v/>
      </c>
      <c r="AE1120">
        <f>'T_SelfStock'!AC53</f>
        <v/>
      </c>
      <c r="AF1120">
        <f>'T_SelfStock'!AD53</f>
        <v/>
      </c>
      <c r="AG1120">
        <f>'T_SelfStock'!AE53</f>
        <v/>
      </c>
      <c r="AH1120">
        <f>'T_SelfStock'!AF53</f>
        <v/>
      </c>
      <c r="AI1120">
        <f>'T_SelfStock'!AG53</f>
        <v/>
      </c>
      <c r="AJ1120">
        <f>'T_SelfStock'!AH53</f>
        <v/>
      </c>
      <c r="AK1120">
        <f>'T_SelfStock'!AI53</f>
        <v/>
      </c>
      <c r="AL1120">
        <f>'T_SelfStock'!AJ53</f>
        <v/>
      </c>
      <c r="AM1120">
        <f>'T_SelfStock'!AK53</f>
        <v/>
      </c>
      <c r="AN1120">
        <f>'T_SelfStock'!AL53</f>
        <v/>
      </c>
      <c r="AO1120">
        <f>'T_SelfStock'!AM53</f>
        <v/>
      </c>
      <c r="AP1120">
        <f>'T_SelfStock'!AN53</f>
        <v/>
      </c>
      <c r="AQ1120">
        <f>'T_SelfStock'!AO53</f>
        <v/>
      </c>
      <c r="AR1120">
        <f>'T_SelfStock'!AP53</f>
        <v/>
      </c>
      <c r="AS1120">
        <f>'T_SelfStock'!AQ53</f>
        <v/>
      </c>
      <c r="AT1120">
        <f>'T_SelfStock'!AR53</f>
        <v/>
      </c>
      <c r="AU1120">
        <f>'T_SelfStock'!AS53</f>
        <v/>
      </c>
      <c r="AV1120">
        <f>'T_SelfStock'!AT53</f>
        <v/>
      </c>
      <c r="AW1120">
        <f>'T_SelfStock'!AU53</f>
        <v/>
      </c>
      <c r="AX1120">
        <f>'T_SelfStock'!AV53</f>
        <v/>
      </c>
      <c r="AY1120">
        <f>'T_SelfStock'!AW53</f>
        <v/>
      </c>
      <c r="AZ1120">
        <f>'T_SelfStock'!AX53</f>
        <v/>
      </c>
      <c r="BA1120">
        <f>'T_SelfStock'!AY53</f>
        <v/>
      </c>
      <c r="BB1120">
        <f>'T_SelfStock'!AZ53</f>
        <v/>
      </c>
      <c r="BC1120">
        <f>'T_SelfStock'!BA53</f>
        <v/>
      </c>
      <c r="BD1120">
        <f>'T_SelfStock'!BB53</f>
        <v/>
      </c>
      <c r="BE1120">
        <f>'T_SelfStock'!BC53</f>
        <v/>
      </c>
      <c r="BF1120">
        <f>'T_SelfStock'!BD53</f>
        <v/>
      </c>
      <c r="BG1120">
        <f>'T_SelfStock'!BE53</f>
        <v/>
      </c>
      <c r="BH1120">
        <f>'T_SelfStock'!BF53</f>
        <v/>
      </c>
      <c r="BI1120">
        <f>'T_SelfStock'!BG53</f>
        <v/>
      </c>
      <c r="BJ1120">
        <f>'T_SelfStock'!BH53</f>
        <v/>
      </c>
      <c r="BK1120">
        <f>'T_SelfStock'!BI53</f>
        <v/>
      </c>
      <c r="BL1120">
        <f>'T_SelfStock'!BJ53</f>
        <v/>
      </c>
      <c r="BM1120">
        <f>'T_SelfStock'!BK53</f>
        <v/>
      </c>
      <c r="BN1120">
        <f>'T_SelfStock'!BL53</f>
        <v/>
      </c>
      <c r="BO1120">
        <f>'T_SelfStock'!BM53</f>
        <v/>
      </c>
      <c r="BP1120">
        <f>'T_SelfStock'!BN53</f>
        <v/>
      </c>
      <c r="BQ1120">
        <f>'T_SelfStock'!BO53</f>
        <v/>
      </c>
      <c r="BR1120">
        <f>'T_SelfStock'!BP53</f>
        <v/>
      </c>
      <c r="BS1120">
        <f>'T_SelfStock'!BQ53</f>
        <v/>
      </c>
      <c r="BT1120">
        <f>'T_SelfStock'!BR53</f>
        <v/>
      </c>
      <c r="BU1120">
        <f>'T_SelfStock'!BS53</f>
        <v/>
      </c>
      <c r="BV1120">
        <f>'T_SelfStock'!BT53</f>
        <v/>
      </c>
      <c r="BW1120">
        <f>'T_SelfStock'!BU53</f>
        <v/>
      </c>
      <c r="BX1120">
        <f>'T_SelfStock'!BV53</f>
        <v/>
      </c>
      <c r="BY1120">
        <f>'T_SelfStock'!BW53</f>
        <v/>
      </c>
      <c r="BZ1120">
        <f>'T_SelfStock'!BX53</f>
        <v/>
      </c>
      <c r="CA1120">
        <f>'T_SelfStock'!BY53</f>
        <v/>
      </c>
      <c r="CB1120">
        <f>'T_SelfStock'!BZ53</f>
        <v/>
      </c>
      <c r="CC1120">
        <f>'T_SelfStock'!CA53</f>
        <v/>
      </c>
      <c r="CD1120">
        <f>'T_SelfStock'!CB53</f>
        <v/>
      </c>
      <c r="CE1120">
        <f>'T_SelfStock'!CC53</f>
        <v/>
      </c>
      <c r="CF1120">
        <f>'T_SelfStock'!CD53</f>
        <v/>
      </c>
      <c r="CG1120">
        <f>'T_SelfStock'!CE53</f>
        <v/>
      </c>
      <c r="CH1120">
        <f>'T_SelfStock'!CF53</f>
        <v/>
      </c>
      <c r="CI1120">
        <f>'T_SelfStock'!CG53</f>
        <v/>
      </c>
      <c r="CJ1120">
        <f>'T_SelfStock'!CH53</f>
        <v/>
      </c>
      <c r="CK1120">
        <f>'T_SelfStock'!CI53</f>
        <v/>
      </c>
      <c r="CL1120">
        <f>'T_SelfStock'!CJ53</f>
        <v/>
      </c>
      <c r="CM1120">
        <f>'T_SelfStock'!CK53</f>
        <v/>
      </c>
      <c r="CN1120">
        <f>'T_SelfStock'!CL53</f>
        <v/>
      </c>
      <c r="CO1120">
        <f>'T_SelfStock'!CM53</f>
        <v/>
      </c>
      <c r="CP1120">
        <f>'T_SelfStock'!CN53</f>
        <v/>
      </c>
      <c r="CQ1120">
        <f>'T_SelfStock'!CO53</f>
        <v/>
      </c>
      <c r="CR1120">
        <f>'T_SelfStock'!CP53</f>
        <v/>
      </c>
      <c r="CS1120">
        <f>'T_SelfStock'!CQ53</f>
        <v/>
      </c>
      <c r="CT1120">
        <f>'T_SelfStock'!CR53</f>
        <v/>
      </c>
      <c r="CU1120">
        <f>'T_SelfStock'!CS53</f>
        <v/>
      </c>
      <c r="CV1120">
        <f>'T_SelfStock'!CT53</f>
        <v/>
      </c>
      <c r="CW1120">
        <f>'T_SelfStock'!CU53</f>
        <v/>
      </c>
      <c r="CX1120">
        <f>'T_SelfStock'!CV53</f>
        <v/>
      </c>
      <c r="CY1120">
        <f>'T_SelfStock'!CW53</f>
        <v/>
      </c>
      <c r="CZ1120">
        <f>'T_SelfStock'!CX53</f>
        <v/>
      </c>
      <c r="DA1120">
        <f>'T_SelfStock'!CY53</f>
        <v/>
      </c>
      <c r="DB1120">
        <f>'T_SelfStock'!CZ53</f>
        <v/>
      </c>
      <c r="DC1120">
        <f>'T_SelfStock'!DA53</f>
        <v/>
      </c>
    </row>
    <row r="1121">
      <c r="B1121" t="inlineStr">
        <is>
          <t>Order(発注予定,kg)</t>
        </is>
      </c>
      <c r="D1121" s="23" t="n"/>
      <c r="E1121" s="23" t="n"/>
      <c r="F1121" s="23" t="n"/>
      <c r="G1121" s="23" t="n"/>
      <c r="H1121" s="23" t="n"/>
      <c r="I1121" s="23" t="n"/>
      <c r="J1121" s="23" t="n"/>
      <c r="K1121" s="23" t="n"/>
      <c r="L1121" s="23" t="n"/>
      <c r="M1121" s="23" t="n"/>
      <c r="N1121" s="23" t="n"/>
      <c r="O1121" s="23" t="n"/>
      <c r="P1121" s="23" t="n"/>
      <c r="Q1121" s="23" t="n"/>
      <c r="R1121" s="23" t="n"/>
      <c r="S1121" s="23" t="n"/>
      <c r="T1121" s="23" t="n"/>
      <c r="U1121" s="23" t="n"/>
      <c r="V1121" s="23" t="n"/>
      <c r="W1121" s="23" t="n"/>
      <c r="X1121" s="23" t="n"/>
      <c r="Y1121" s="23" t="n"/>
      <c r="Z1121" s="23" t="n"/>
      <c r="AA1121" s="23" t="n"/>
      <c r="AB1121" s="23" t="n"/>
      <c r="AC1121" s="23" t="n"/>
      <c r="AD1121" s="23" t="n"/>
      <c r="AE1121" s="23" t="n"/>
      <c r="AF1121" s="23" t="n"/>
      <c r="AG1121" s="23" t="n"/>
      <c r="AH1121" s="23" t="n"/>
      <c r="AI1121" s="23" t="n"/>
      <c r="AJ1121" s="23" t="n"/>
      <c r="AK1121" s="23" t="n"/>
      <c r="AL1121" s="23" t="n"/>
      <c r="AM1121" s="23" t="n"/>
      <c r="AN1121" s="23" t="n"/>
      <c r="AO1121" s="23" t="n"/>
      <c r="AP1121" s="23" t="n"/>
      <c r="AQ1121" s="23" t="n"/>
      <c r="AR1121" s="23" t="n"/>
      <c r="AS1121" s="23" t="n"/>
      <c r="AT1121" s="23" t="n"/>
      <c r="AU1121" s="23" t="n"/>
      <c r="AV1121" s="23" t="n"/>
      <c r="AW1121" s="23" t="n"/>
      <c r="AX1121" s="23" t="n"/>
      <c r="AY1121" s="23" t="n"/>
      <c r="AZ1121" s="23" t="n"/>
      <c r="BA1121" s="23" t="n"/>
      <c r="BB1121" s="23" t="n"/>
      <c r="BC1121" s="23" t="n"/>
      <c r="BD1121" s="23" t="n"/>
      <c r="BE1121" s="23" t="n"/>
      <c r="BF1121" s="23" t="n"/>
      <c r="BG1121" s="23" t="n"/>
      <c r="BH1121" s="23" t="n"/>
      <c r="BI1121" s="23" t="n"/>
      <c r="BJ1121" s="23" t="n"/>
      <c r="BK1121" s="23" t="n"/>
      <c r="BL1121" s="23" t="n"/>
      <c r="BM1121" s="23" t="n"/>
      <c r="BN1121" s="23" t="n"/>
      <c r="BO1121" s="23" t="n"/>
      <c r="BP1121" s="23" t="n"/>
      <c r="BQ1121" s="23" t="n"/>
      <c r="BR1121" s="23" t="n"/>
      <c r="BS1121" s="23" t="n"/>
      <c r="BT1121" s="23" t="n"/>
      <c r="BU1121" s="23" t="n"/>
      <c r="BV1121" s="23" t="n"/>
      <c r="BW1121" s="23" t="n"/>
      <c r="BX1121" s="23" t="n"/>
      <c r="BY1121" s="23" t="n"/>
      <c r="BZ1121" s="23" t="n"/>
      <c r="CA1121" s="23" t="n"/>
      <c r="CB1121" s="23" t="n"/>
      <c r="CC1121" s="23" t="n"/>
      <c r="CD1121" s="23" t="n"/>
      <c r="CE1121" s="23" t="n"/>
      <c r="CF1121" s="23" t="n"/>
      <c r="CG1121" s="23" t="n"/>
      <c r="CH1121" s="23" t="n"/>
      <c r="CI1121" s="23" t="n"/>
      <c r="CJ1121" s="23" t="n"/>
      <c r="CK1121" s="23" t="n"/>
      <c r="CL1121" s="23" t="n"/>
      <c r="CM1121" s="23" t="n"/>
      <c r="CN1121" s="23" t="n"/>
      <c r="CO1121" s="23" t="n"/>
      <c r="CP1121" s="23" t="n"/>
      <c r="CQ1121" s="23" t="n"/>
      <c r="CR1121" s="23" t="n"/>
      <c r="CS1121" s="23" t="n"/>
      <c r="CT1121" s="23" t="n"/>
      <c r="CU1121" s="23" t="n"/>
      <c r="CV1121" s="23" t="n"/>
      <c r="CW1121" s="23" t="n"/>
      <c r="CX1121" s="23" t="n"/>
      <c r="CY1121" s="23" t="n"/>
      <c r="CZ1121" s="23" t="n"/>
      <c r="DA1121" s="23" t="n"/>
      <c r="DB1121" s="23" t="n"/>
      <c r="DC1121" s="23" t="n"/>
      <c r="DE1121" s="12" t="inlineStr">
        <is>
          <t>CHEM-1760</t>
        </is>
      </c>
    </row>
    <row r="1122">
      <c r="B1122" s="5" t="inlineStr">
        <is>
          <t>合計在庫(週末時点,kg)</t>
        </is>
      </c>
      <c r="D1122">
        <f>'Grid_Stock'!B49</f>
        <v/>
      </c>
      <c r="E1122">
        <f>'Grid_Stock'!C49</f>
        <v/>
      </c>
      <c r="F1122">
        <f>'Grid_Stock'!D49</f>
        <v/>
      </c>
      <c r="G1122">
        <f>'Grid_Stock'!E49</f>
        <v/>
      </c>
      <c r="H1122">
        <f>'Grid_Stock'!F49</f>
        <v/>
      </c>
      <c r="I1122">
        <f>'Grid_Stock'!G49</f>
        <v/>
      </c>
      <c r="J1122">
        <f>'Grid_Stock'!H49</f>
        <v/>
      </c>
      <c r="K1122">
        <f>'Grid_Stock'!I49</f>
        <v/>
      </c>
      <c r="L1122">
        <f>'Grid_Stock'!J49</f>
        <v/>
      </c>
      <c r="M1122">
        <f>'Grid_Stock'!K49</f>
        <v/>
      </c>
      <c r="N1122">
        <f>'Grid_Stock'!L49</f>
        <v/>
      </c>
      <c r="O1122">
        <f>'Grid_Stock'!M49</f>
        <v/>
      </c>
      <c r="P1122">
        <f>'Grid_Stock'!N49</f>
        <v/>
      </c>
      <c r="Q1122">
        <f>'Grid_Stock'!O49</f>
        <v/>
      </c>
      <c r="R1122">
        <f>'Grid_Stock'!P49</f>
        <v/>
      </c>
      <c r="S1122">
        <f>'Grid_Stock'!Q49</f>
        <v/>
      </c>
      <c r="T1122">
        <f>'Grid_Stock'!R49</f>
        <v/>
      </c>
      <c r="U1122">
        <f>'Grid_Stock'!S49</f>
        <v/>
      </c>
      <c r="V1122">
        <f>'Grid_Stock'!T49</f>
        <v/>
      </c>
      <c r="W1122">
        <f>'Grid_Stock'!U49</f>
        <v/>
      </c>
      <c r="X1122">
        <f>'Grid_Stock'!V49</f>
        <v/>
      </c>
      <c r="Y1122">
        <f>'Grid_Stock'!W49</f>
        <v/>
      </c>
      <c r="Z1122">
        <f>'Grid_Stock'!X49</f>
        <v/>
      </c>
      <c r="AA1122">
        <f>'Grid_Stock'!Y49</f>
        <v/>
      </c>
      <c r="AB1122">
        <f>'Grid_Stock'!Z49</f>
        <v/>
      </c>
      <c r="AC1122">
        <f>'Grid_Stock'!AA49</f>
        <v/>
      </c>
      <c r="AD1122">
        <f>'Grid_Stock'!AB49</f>
        <v/>
      </c>
      <c r="AE1122">
        <f>'Grid_Stock'!AC49</f>
        <v/>
      </c>
      <c r="AF1122">
        <f>'Grid_Stock'!AD49</f>
        <v/>
      </c>
      <c r="AG1122">
        <f>'Grid_Stock'!AE49</f>
        <v/>
      </c>
      <c r="AH1122">
        <f>'Grid_Stock'!AF49</f>
        <v/>
      </c>
      <c r="AI1122">
        <f>'Grid_Stock'!AG49</f>
        <v/>
      </c>
      <c r="AJ1122">
        <f>'Grid_Stock'!AH49</f>
        <v/>
      </c>
      <c r="AK1122">
        <f>'Grid_Stock'!AI49</f>
        <v/>
      </c>
      <c r="AL1122">
        <f>'Grid_Stock'!AJ49</f>
        <v/>
      </c>
      <c r="AM1122">
        <f>'Grid_Stock'!AK49</f>
        <v/>
      </c>
      <c r="AN1122">
        <f>'Grid_Stock'!AL49</f>
        <v/>
      </c>
      <c r="AO1122">
        <f>'Grid_Stock'!AM49</f>
        <v/>
      </c>
      <c r="AP1122">
        <f>'Grid_Stock'!AN49</f>
        <v/>
      </c>
      <c r="AQ1122">
        <f>'Grid_Stock'!AO49</f>
        <v/>
      </c>
      <c r="AR1122">
        <f>'Grid_Stock'!AP49</f>
        <v/>
      </c>
      <c r="AS1122">
        <f>'Grid_Stock'!AQ49</f>
        <v/>
      </c>
      <c r="AT1122">
        <f>'Grid_Stock'!AR49</f>
        <v/>
      </c>
      <c r="AU1122">
        <f>'Grid_Stock'!AS49</f>
        <v/>
      </c>
      <c r="AV1122">
        <f>'Grid_Stock'!AT49</f>
        <v/>
      </c>
      <c r="AW1122">
        <f>'Grid_Stock'!AU49</f>
        <v/>
      </c>
      <c r="AX1122">
        <f>'Grid_Stock'!AV49</f>
        <v/>
      </c>
      <c r="AY1122">
        <f>'Grid_Stock'!AW49</f>
        <v/>
      </c>
      <c r="AZ1122">
        <f>'Grid_Stock'!AX49</f>
        <v/>
      </c>
      <c r="BA1122">
        <f>'Grid_Stock'!AY49</f>
        <v/>
      </c>
      <c r="BB1122">
        <f>'Grid_Stock'!AZ49</f>
        <v/>
      </c>
      <c r="BC1122">
        <f>'Grid_Stock'!BA49</f>
        <v/>
      </c>
      <c r="BD1122">
        <f>'Grid_Stock'!BB49</f>
        <v/>
      </c>
      <c r="BE1122">
        <f>'Grid_Stock'!BC49</f>
        <v/>
      </c>
      <c r="BF1122">
        <f>'Grid_Stock'!BD49</f>
        <v/>
      </c>
      <c r="BG1122">
        <f>'Grid_Stock'!BE49</f>
        <v/>
      </c>
      <c r="BH1122">
        <f>'Grid_Stock'!BF49</f>
        <v/>
      </c>
      <c r="BI1122">
        <f>'Grid_Stock'!BG49</f>
        <v/>
      </c>
      <c r="BJ1122">
        <f>'Grid_Stock'!BH49</f>
        <v/>
      </c>
      <c r="BK1122">
        <f>'Grid_Stock'!BI49</f>
        <v/>
      </c>
      <c r="BL1122">
        <f>'Grid_Stock'!BJ49</f>
        <v/>
      </c>
      <c r="BM1122">
        <f>'Grid_Stock'!BK49</f>
        <v/>
      </c>
      <c r="BN1122">
        <f>'Grid_Stock'!BL49</f>
        <v/>
      </c>
      <c r="BO1122">
        <f>'Grid_Stock'!BM49</f>
        <v/>
      </c>
      <c r="BP1122">
        <f>'Grid_Stock'!BN49</f>
        <v/>
      </c>
      <c r="BQ1122">
        <f>'Grid_Stock'!BO49</f>
        <v/>
      </c>
      <c r="BR1122">
        <f>'Grid_Stock'!BP49</f>
        <v/>
      </c>
      <c r="BS1122">
        <f>'Grid_Stock'!BQ49</f>
        <v/>
      </c>
      <c r="BT1122">
        <f>'Grid_Stock'!BR49</f>
        <v/>
      </c>
      <c r="BU1122">
        <f>'Grid_Stock'!BS49</f>
        <v/>
      </c>
      <c r="BV1122">
        <f>'Grid_Stock'!BT49</f>
        <v/>
      </c>
      <c r="BW1122">
        <f>'Grid_Stock'!BU49</f>
        <v/>
      </c>
      <c r="BX1122">
        <f>'Grid_Stock'!BV49</f>
        <v/>
      </c>
      <c r="BY1122">
        <f>'Grid_Stock'!BW49</f>
        <v/>
      </c>
      <c r="BZ1122">
        <f>'Grid_Stock'!BX49</f>
        <v/>
      </c>
      <c r="CA1122">
        <f>'Grid_Stock'!BY49</f>
        <v/>
      </c>
      <c r="CB1122">
        <f>'Grid_Stock'!BZ49</f>
        <v/>
      </c>
      <c r="CC1122">
        <f>'Grid_Stock'!CA49</f>
        <v/>
      </c>
      <c r="CD1122">
        <f>'Grid_Stock'!CB49</f>
        <v/>
      </c>
      <c r="CE1122">
        <f>'Grid_Stock'!CC49</f>
        <v/>
      </c>
      <c r="CF1122">
        <f>'Grid_Stock'!CD49</f>
        <v/>
      </c>
      <c r="CG1122">
        <f>'Grid_Stock'!CE49</f>
        <v/>
      </c>
      <c r="CH1122">
        <f>'Grid_Stock'!CF49</f>
        <v/>
      </c>
      <c r="CI1122">
        <f>'Grid_Stock'!CG49</f>
        <v/>
      </c>
      <c r="CJ1122">
        <f>'Grid_Stock'!CH49</f>
        <v/>
      </c>
      <c r="CK1122">
        <f>'Grid_Stock'!CI49</f>
        <v/>
      </c>
      <c r="CL1122">
        <f>'Grid_Stock'!CJ49</f>
        <v/>
      </c>
      <c r="CM1122">
        <f>'Grid_Stock'!CK49</f>
        <v/>
      </c>
      <c r="CN1122">
        <f>'Grid_Stock'!CL49</f>
        <v/>
      </c>
      <c r="CO1122">
        <f>'Grid_Stock'!CM49</f>
        <v/>
      </c>
      <c r="CP1122">
        <f>'Grid_Stock'!CN49</f>
        <v/>
      </c>
      <c r="CQ1122">
        <f>'Grid_Stock'!CO49</f>
        <v/>
      </c>
      <c r="CR1122">
        <f>'Grid_Stock'!CP49</f>
        <v/>
      </c>
      <c r="CS1122">
        <f>'Grid_Stock'!CQ49</f>
        <v/>
      </c>
      <c r="CT1122">
        <f>'Grid_Stock'!CR49</f>
        <v/>
      </c>
      <c r="CU1122">
        <f>'Grid_Stock'!CS49</f>
        <v/>
      </c>
      <c r="CV1122">
        <f>'Grid_Stock'!CT49</f>
        <v/>
      </c>
      <c r="CW1122">
        <f>'Grid_Stock'!CU49</f>
        <v/>
      </c>
      <c r="CX1122">
        <f>'Grid_Stock'!CV49</f>
        <v/>
      </c>
      <c r="CY1122">
        <f>'Grid_Stock'!CW49</f>
        <v/>
      </c>
      <c r="CZ1122">
        <f>'Grid_Stock'!CX49</f>
        <v/>
      </c>
      <c r="DA1122">
        <f>'Grid_Stock'!CY49</f>
        <v/>
      </c>
      <c r="DB1122">
        <f>'Grid_Stock'!CZ49</f>
        <v/>
      </c>
      <c r="DC1122">
        <f>'Grid_Stock'!DA49</f>
        <v/>
      </c>
    </row>
    <row r="1123">
      <c r="B1123" s="24" t="inlineStr">
        <is>
          <t>（発注の目安はDashboardの基準在庫[下限/上限]と色分けを参照）</t>
        </is>
      </c>
    </row>
    <row r="1125">
      <c r="A1125" s="21" t="inlineStr">
        <is>
          <t>CHEM-1700</t>
        </is>
      </c>
      <c r="B1125" s="21" t="inlineStr">
        <is>
          <t>Tepyrus CT38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</row>
    <row r="1126">
      <c r="B1126" t="inlineStr">
        <is>
          <t>TSP-1388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TSP-1448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TSP-1449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TSP-1499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TSP-1555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Name],$A1125)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TSP-620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Name],$A1125)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TSP-623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Name],$A1125)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TSP-934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Name],$A1125)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TSP-935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Name],$A1125)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TSP-936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Name],$A1125)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TSP-937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Name],$A1125)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s="5" t="inlineStr">
        <is>
          <t>合計使用量(kg)/週</t>
        </is>
      </c>
      <c r="D1148">
        <f>'Grid_Requirement'!B50</f>
        <v/>
      </c>
      <c r="E1148">
        <f>'Grid_Requirement'!C50</f>
        <v/>
      </c>
      <c r="F1148">
        <f>'Grid_Requirement'!D50</f>
        <v/>
      </c>
      <c r="G1148">
        <f>'Grid_Requirement'!E50</f>
        <v/>
      </c>
      <c r="H1148">
        <f>'Grid_Requirement'!F50</f>
        <v/>
      </c>
      <c r="I1148">
        <f>'Grid_Requirement'!G50</f>
        <v/>
      </c>
      <c r="J1148">
        <f>'Grid_Requirement'!H50</f>
        <v/>
      </c>
      <c r="K1148">
        <f>'Grid_Requirement'!I50</f>
        <v/>
      </c>
      <c r="L1148">
        <f>'Grid_Requirement'!J50</f>
        <v/>
      </c>
      <c r="M1148">
        <f>'Grid_Requirement'!K50</f>
        <v/>
      </c>
      <c r="N1148">
        <f>'Grid_Requirement'!L50</f>
        <v/>
      </c>
      <c r="O1148">
        <f>'Grid_Requirement'!M50</f>
        <v/>
      </c>
      <c r="P1148">
        <f>'Grid_Requirement'!N50</f>
        <v/>
      </c>
      <c r="Q1148">
        <f>'Grid_Requirement'!O50</f>
        <v/>
      </c>
      <c r="R1148">
        <f>'Grid_Requirement'!P50</f>
        <v/>
      </c>
      <c r="S1148">
        <f>'Grid_Requirement'!Q50</f>
        <v/>
      </c>
      <c r="T1148">
        <f>'Grid_Requirement'!R50</f>
        <v/>
      </c>
      <c r="U1148">
        <f>'Grid_Requirement'!S50</f>
        <v/>
      </c>
      <c r="V1148">
        <f>'Grid_Requirement'!T50</f>
        <v/>
      </c>
      <c r="W1148">
        <f>'Grid_Requirement'!U50</f>
        <v/>
      </c>
      <c r="X1148">
        <f>'Grid_Requirement'!V50</f>
        <v/>
      </c>
      <c r="Y1148">
        <f>'Grid_Requirement'!W50</f>
        <v/>
      </c>
      <c r="Z1148">
        <f>'Grid_Requirement'!X50</f>
        <v/>
      </c>
      <c r="AA1148">
        <f>'Grid_Requirement'!Y50</f>
        <v/>
      </c>
      <c r="AB1148">
        <f>'Grid_Requirement'!Z50</f>
        <v/>
      </c>
      <c r="AC1148">
        <f>'Grid_Requirement'!AA50</f>
        <v/>
      </c>
      <c r="AD1148">
        <f>'Grid_Requirement'!AB50</f>
        <v/>
      </c>
      <c r="AE1148">
        <f>'Grid_Requirement'!AC50</f>
        <v/>
      </c>
      <c r="AF1148">
        <f>'Grid_Requirement'!AD50</f>
        <v/>
      </c>
      <c r="AG1148">
        <f>'Grid_Requirement'!AE50</f>
        <v/>
      </c>
      <c r="AH1148">
        <f>'Grid_Requirement'!AF50</f>
        <v/>
      </c>
      <c r="AI1148">
        <f>'Grid_Requirement'!AG50</f>
        <v/>
      </c>
      <c r="AJ1148">
        <f>'Grid_Requirement'!AH50</f>
        <v/>
      </c>
      <c r="AK1148">
        <f>'Grid_Requirement'!AI50</f>
        <v/>
      </c>
      <c r="AL1148">
        <f>'Grid_Requirement'!AJ50</f>
        <v/>
      </c>
      <c r="AM1148">
        <f>'Grid_Requirement'!AK50</f>
        <v/>
      </c>
      <c r="AN1148">
        <f>'Grid_Requirement'!AL50</f>
        <v/>
      </c>
      <c r="AO1148">
        <f>'Grid_Requirement'!AM50</f>
        <v/>
      </c>
      <c r="AP1148">
        <f>'Grid_Requirement'!AN50</f>
        <v/>
      </c>
      <c r="AQ1148">
        <f>'Grid_Requirement'!AO50</f>
        <v/>
      </c>
      <c r="AR1148">
        <f>'Grid_Requirement'!AP50</f>
        <v/>
      </c>
      <c r="AS1148">
        <f>'Grid_Requirement'!AQ50</f>
        <v/>
      </c>
      <c r="AT1148">
        <f>'Grid_Requirement'!AR50</f>
        <v/>
      </c>
      <c r="AU1148">
        <f>'Grid_Requirement'!AS50</f>
        <v/>
      </c>
      <c r="AV1148">
        <f>'Grid_Requirement'!AT50</f>
        <v/>
      </c>
      <c r="AW1148">
        <f>'Grid_Requirement'!AU50</f>
        <v/>
      </c>
      <c r="AX1148">
        <f>'Grid_Requirement'!AV50</f>
        <v/>
      </c>
      <c r="AY1148">
        <f>'Grid_Requirement'!AW50</f>
        <v/>
      </c>
      <c r="AZ1148">
        <f>'Grid_Requirement'!AX50</f>
        <v/>
      </c>
      <c r="BA1148">
        <f>'Grid_Requirement'!AY50</f>
        <v/>
      </c>
      <c r="BB1148">
        <f>'Grid_Requirement'!AZ50</f>
        <v/>
      </c>
      <c r="BC1148">
        <f>'Grid_Requirement'!BA50</f>
        <v/>
      </c>
      <c r="BD1148">
        <f>'Grid_Requirement'!BB50</f>
        <v/>
      </c>
      <c r="BE1148">
        <f>'Grid_Requirement'!BC50</f>
        <v/>
      </c>
      <c r="BF1148">
        <f>'Grid_Requirement'!BD50</f>
        <v/>
      </c>
      <c r="BG1148">
        <f>'Grid_Requirement'!BE50</f>
        <v/>
      </c>
      <c r="BH1148">
        <f>'Grid_Requirement'!BF50</f>
        <v/>
      </c>
      <c r="BI1148">
        <f>'Grid_Requirement'!BG50</f>
        <v/>
      </c>
      <c r="BJ1148">
        <f>'Grid_Requirement'!BH50</f>
        <v/>
      </c>
      <c r="BK1148">
        <f>'Grid_Requirement'!BI50</f>
        <v/>
      </c>
      <c r="BL1148">
        <f>'Grid_Requirement'!BJ50</f>
        <v/>
      </c>
      <c r="BM1148">
        <f>'Grid_Requirement'!BK50</f>
        <v/>
      </c>
      <c r="BN1148">
        <f>'Grid_Requirement'!BL50</f>
        <v/>
      </c>
      <c r="BO1148">
        <f>'Grid_Requirement'!BM50</f>
        <v/>
      </c>
      <c r="BP1148">
        <f>'Grid_Requirement'!BN50</f>
        <v/>
      </c>
      <c r="BQ1148">
        <f>'Grid_Requirement'!BO50</f>
        <v/>
      </c>
      <c r="BR1148">
        <f>'Grid_Requirement'!BP50</f>
        <v/>
      </c>
      <c r="BS1148">
        <f>'Grid_Requirement'!BQ50</f>
        <v/>
      </c>
      <c r="BT1148">
        <f>'Grid_Requirement'!BR50</f>
        <v/>
      </c>
      <c r="BU1148">
        <f>'Grid_Requirement'!BS50</f>
        <v/>
      </c>
      <c r="BV1148">
        <f>'Grid_Requirement'!BT50</f>
        <v/>
      </c>
      <c r="BW1148">
        <f>'Grid_Requirement'!BU50</f>
        <v/>
      </c>
      <c r="BX1148">
        <f>'Grid_Requirement'!BV50</f>
        <v/>
      </c>
      <c r="BY1148">
        <f>'Grid_Requirement'!BW50</f>
        <v/>
      </c>
      <c r="BZ1148">
        <f>'Grid_Requirement'!BX50</f>
        <v/>
      </c>
      <c r="CA1148">
        <f>'Grid_Requirement'!BY50</f>
        <v/>
      </c>
      <c r="CB1148">
        <f>'Grid_Requirement'!BZ50</f>
        <v/>
      </c>
      <c r="CC1148">
        <f>'Grid_Requirement'!CA50</f>
        <v/>
      </c>
      <c r="CD1148">
        <f>'Grid_Requirement'!CB50</f>
        <v/>
      </c>
      <c r="CE1148">
        <f>'Grid_Requirement'!CC50</f>
        <v/>
      </c>
      <c r="CF1148">
        <f>'Grid_Requirement'!CD50</f>
        <v/>
      </c>
      <c r="CG1148">
        <f>'Grid_Requirement'!CE50</f>
        <v/>
      </c>
      <c r="CH1148">
        <f>'Grid_Requirement'!CF50</f>
        <v/>
      </c>
      <c r="CI1148">
        <f>'Grid_Requirement'!CG50</f>
        <v/>
      </c>
      <c r="CJ1148">
        <f>'Grid_Requirement'!CH50</f>
        <v/>
      </c>
      <c r="CK1148">
        <f>'Grid_Requirement'!CI50</f>
        <v/>
      </c>
      <c r="CL1148">
        <f>'Grid_Requirement'!CJ50</f>
        <v/>
      </c>
      <c r="CM1148">
        <f>'Grid_Requirement'!CK50</f>
        <v/>
      </c>
      <c r="CN1148">
        <f>'Grid_Requirement'!CL50</f>
        <v/>
      </c>
      <c r="CO1148">
        <f>'Grid_Requirement'!CM50</f>
        <v/>
      </c>
      <c r="CP1148">
        <f>'Grid_Requirement'!CN50</f>
        <v/>
      </c>
      <c r="CQ1148">
        <f>'Grid_Requirement'!CO50</f>
        <v/>
      </c>
      <c r="CR1148">
        <f>'Grid_Requirement'!CP50</f>
        <v/>
      </c>
      <c r="CS1148">
        <f>'Grid_Requirement'!CQ50</f>
        <v/>
      </c>
      <c r="CT1148">
        <f>'Grid_Requirement'!CR50</f>
        <v/>
      </c>
      <c r="CU1148">
        <f>'Grid_Requirement'!CS50</f>
        <v/>
      </c>
      <c r="CV1148">
        <f>'Grid_Requirement'!CT50</f>
        <v/>
      </c>
      <c r="CW1148">
        <f>'Grid_Requirement'!CU50</f>
        <v/>
      </c>
      <c r="CX1148">
        <f>'Grid_Requirement'!CV50</f>
        <v/>
      </c>
      <c r="CY1148">
        <f>'Grid_Requirement'!CW50</f>
        <v/>
      </c>
      <c r="CZ1148">
        <f>'Grid_Requirement'!CX50</f>
        <v/>
      </c>
      <c r="DA1148">
        <f>'Grid_Requirement'!CY50</f>
        <v/>
      </c>
      <c r="DB1148">
        <f>'Grid_Requirement'!CZ50</f>
        <v/>
      </c>
      <c r="DC1148">
        <f>'Grid_Requirement'!DA50</f>
        <v/>
      </c>
    </row>
    <row r="1149">
      <c r="B1149" t="inlineStr">
        <is>
          <t>TTAF在庫(実績,kg)</t>
        </is>
      </c>
      <c r="D1149">
        <f>'T_TTAFStock'!B54</f>
        <v/>
      </c>
      <c r="E1149">
        <f>'T_TTAFStock'!C54</f>
        <v/>
      </c>
      <c r="F1149">
        <f>'T_TTAFStock'!D54</f>
        <v/>
      </c>
      <c r="G1149">
        <f>'T_TTAFStock'!E54</f>
        <v/>
      </c>
      <c r="H1149">
        <f>'T_TTAFStock'!F54</f>
        <v/>
      </c>
      <c r="I1149">
        <f>'T_TTAFStock'!G54</f>
        <v/>
      </c>
      <c r="J1149">
        <f>'T_TTAFStock'!H54</f>
        <v/>
      </c>
      <c r="K1149">
        <f>'T_TTAFStock'!I54</f>
        <v/>
      </c>
      <c r="L1149">
        <f>'T_TTAFStock'!J54</f>
        <v/>
      </c>
      <c r="M1149">
        <f>'T_TTAFStock'!K54</f>
        <v/>
      </c>
      <c r="N1149">
        <f>'T_TTAFStock'!L54</f>
        <v/>
      </c>
      <c r="O1149">
        <f>'T_TTAFStock'!M54</f>
        <v/>
      </c>
      <c r="P1149">
        <f>'T_TTAFStock'!N54</f>
        <v/>
      </c>
      <c r="Q1149">
        <f>'T_TTAFStock'!O54</f>
        <v/>
      </c>
      <c r="R1149">
        <f>'T_TTAFStock'!P54</f>
        <v/>
      </c>
      <c r="S1149">
        <f>'T_TTAFStock'!Q54</f>
        <v/>
      </c>
      <c r="T1149">
        <f>'T_TTAFStock'!R54</f>
        <v/>
      </c>
      <c r="U1149">
        <f>'T_TTAFStock'!S54</f>
        <v/>
      </c>
      <c r="V1149">
        <f>'T_TTAFStock'!T54</f>
        <v/>
      </c>
      <c r="W1149">
        <f>'T_TTAFStock'!U54</f>
        <v/>
      </c>
      <c r="X1149">
        <f>'T_TTAFStock'!V54</f>
        <v/>
      </c>
      <c r="Y1149">
        <f>'T_TTAFStock'!W54</f>
        <v/>
      </c>
      <c r="Z1149">
        <f>'T_TTAFStock'!X54</f>
        <v/>
      </c>
      <c r="AA1149">
        <f>'T_TTAFStock'!Y54</f>
        <v/>
      </c>
      <c r="AB1149">
        <f>'T_TTAFStock'!Z54</f>
        <v/>
      </c>
      <c r="AC1149">
        <f>'T_TTAFStock'!AA54</f>
        <v/>
      </c>
      <c r="AD1149">
        <f>'T_TTAFStock'!AB54</f>
        <v/>
      </c>
      <c r="AE1149">
        <f>'T_TTAFStock'!AC54</f>
        <v/>
      </c>
      <c r="AF1149">
        <f>'T_TTAFStock'!AD54</f>
        <v/>
      </c>
      <c r="AG1149">
        <f>'T_TTAFStock'!AE54</f>
        <v/>
      </c>
      <c r="AH1149">
        <f>'T_TTAFStock'!AF54</f>
        <v/>
      </c>
      <c r="AI1149">
        <f>'T_TTAFStock'!AG54</f>
        <v/>
      </c>
      <c r="AJ1149">
        <f>'T_TTAFStock'!AH54</f>
        <v/>
      </c>
      <c r="AK1149">
        <f>'T_TTAFStock'!AI54</f>
        <v/>
      </c>
      <c r="AL1149">
        <f>'T_TTAFStock'!AJ54</f>
        <v/>
      </c>
      <c r="AM1149">
        <f>'T_TTAFStock'!AK54</f>
        <v/>
      </c>
      <c r="AN1149">
        <f>'T_TTAFStock'!AL54</f>
        <v/>
      </c>
      <c r="AO1149">
        <f>'T_TTAFStock'!AM54</f>
        <v/>
      </c>
      <c r="AP1149">
        <f>'T_TTAFStock'!AN54</f>
        <v/>
      </c>
      <c r="AQ1149">
        <f>'T_TTAFStock'!AO54</f>
        <v/>
      </c>
      <c r="AR1149">
        <f>'T_TTAFStock'!AP54</f>
        <v/>
      </c>
      <c r="AS1149">
        <f>'T_TTAFStock'!AQ54</f>
        <v/>
      </c>
      <c r="AT1149">
        <f>'T_TTAFStock'!AR54</f>
        <v/>
      </c>
      <c r="AU1149">
        <f>'T_TTAFStock'!AS54</f>
        <v/>
      </c>
      <c r="AV1149">
        <f>'T_TTAFStock'!AT54</f>
        <v/>
      </c>
      <c r="AW1149">
        <f>'T_TTAFStock'!AU54</f>
        <v/>
      </c>
      <c r="AX1149">
        <f>'T_TTAFStock'!AV54</f>
        <v/>
      </c>
      <c r="AY1149">
        <f>'T_TTAFStock'!AW54</f>
        <v/>
      </c>
      <c r="AZ1149">
        <f>'T_TTAFStock'!AX54</f>
        <v/>
      </c>
      <c r="BA1149">
        <f>'T_TTAFStock'!AY54</f>
        <v/>
      </c>
      <c r="BB1149">
        <f>'T_TTAFStock'!AZ54</f>
        <v/>
      </c>
      <c r="BC1149">
        <f>'T_TTAFStock'!BA54</f>
        <v/>
      </c>
      <c r="BD1149">
        <f>'T_TTAFStock'!BB54</f>
        <v/>
      </c>
      <c r="BE1149">
        <f>'T_TTAFStock'!BC54</f>
        <v/>
      </c>
      <c r="BF1149">
        <f>'T_TTAFStock'!BD54</f>
        <v/>
      </c>
      <c r="BG1149">
        <f>'T_TTAFStock'!BE54</f>
        <v/>
      </c>
      <c r="BH1149">
        <f>'T_TTAFStock'!BF54</f>
        <v/>
      </c>
      <c r="BI1149">
        <f>'T_TTAFStock'!BG54</f>
        <v/>
      </c>
      <c r="BJ1149">
        <f>'T_TTAFStock'!BH54</f>
        <v/>
      </c>
      <c r="BK1149">
        <f>'T_TTAFStock'!BI54</f>
        <v/>
      </c>
      <c r="BL1149">
        <f>'T_TTAFStock'!BJ54</f>
        <v/>
      </c>
      <c r="BM1149">
        <f>'T_TTAFStock'!BK54</f>
        <v/>
      </c>
      <c r="BN1149">
        <f>'T_TTAFStock'!BL54</f>
        <v/>
      </c>
      <c r="BO1149">
        <f>'T_TTAFStock'!BM54</f>
        <v/>
      </c>
      <c r="BP1149">
        <f>'T_TTAFStock'!BN54</f>
        <v/>
      </c>
      <c r="BQ1149">
        <f>'T_TTAFStock'!BO54</f>
        <v/>
      </c>
      <c r="BR1149">
        <f>'T_TTAFStock'!BP54</f>
        <v/>
      </c>
      <c r="BS1149">
        <f>'T_TTAFStock'!BQ54</f>
        <v/>
      </c>
      <c r="BT1149">
        <f>'T_TTAFStock'!BR54</f>
        <v/>
      </c>
      <c r="BU1149">
        <f>'T_TTAFStock'!BS54</f>
        <v/>
      </c>
      <c r="BV1149">
        <f>'T_TTAFStock'!BT54</f>
        <v/>
      </c>
      <c r="BW1149">
        <f>'T_TTAFStock'!BU54</f>
        <v/>
      </c>
      <c r="BX1149">
        <f>'T_TTAFStock'!BV54</f>
        <v/>
      </c>
      <c r="BY1149">
        <f>'T_TTAFStock'!BW54</f>
        <v/>
      </c>
      <c r="BZ1149">
        <f>'T_TTAFStock'!BX54</f>
        <v/>
      </c>
      <c r="CA1149">
        <f>'T_TTAFStock'!BY54</f>
        <v/>
      </c>
      <c r="CB1149">
        <f>'T_TTAFStock'!BZ54</f>
        <v/>
      </c>
      <c r="CC1149">
        <f>'T_TTAFStock'!CA54</f>
        <v/>
      </c>
      <c r="CD1149">
        <f>'T_TTAFStock'!CB54</f>
        <v/>
      </c>
      <c r="CE1149">
        <f>'T_TTAFStock'!CC54</f>
        <v/>
      </c>
      <c r="CF1149">
        <f>'T_TTAFStock'!CD54</f>
        <v/>
      </c>
      <c r="CG1149">
        <f>'T_TTAFStock'!CE54</f>
        <v/>
      </c>
      <c r="CH1149">
        <f>'T_TTAFStock'!CF54</f>
        <v/>
      </c>
      <c r="CI1149">
        <f>'T_TTAFStock'!CG54</f>
        <v/>
      </c>
      <c r="CJ1149">
        <f>'T_TTAFStock'!CH54</f>
        <v/>
      </c>
      <c r="CK1149">
        <f>'T_TTAFStock'!CI54</f>
        <v/>
      </c>
      <c r="CL1149">
        <f>'T_TTAFStock'!CJ54</f>
        <v/>
      </c>
      <c r="CM1149">
        <f>'T_TTAFStock'!CK54</f>
        <v/>
      </c>
      <c r="CN1149">
        <f>'T_TTAFStock'!CL54</f>
        <v/>
      </c>
      <c r="CO1149">
        <f>'T_TTAFStock'!CM54</f>
        <v/>
      </c>
      <c r="CP1149">
        <f>'T_TTAFStock'!CN54</f>
        <v/>
      </c>
      <c r="CQ1149">
        <f>'T_TTAFStock'!CO54</f>
        <v/>
      </c>
      <c r="CR1149">
        <f>'T_TTAFStock'!CP54</f>
        <v/>
      </c>
      <c r="CS1149">
        <f>'T_TTAFStock'!CQ54</f>
        <v/>
      </c>
      <c r="CT1149">
        <f>'T_TTAFStock'!CR54</f>
        <v/>
      </c>
      <c r="CU1149">
        <f>'T_TTAFStock'!CS54</f>
        <v/>
      </c>
      <c r="CV1149">
        <f>'T_TTAFStock'!CT54</f>
        <v/>
      </c>
      <c r="CW1149">
        <f>'T_TTAFStock'!CU54</f>
        <v/>
      </c>
      <c r="CX1149">
        <f>'T_TTAFStock'!CV54</f>
        <v/>
      </c>
      <c r="CY1149">
        <f>'T_TTAFStock'!CW54</f>
        <v/>
      </c>
      <c r="CZ1149">
        <f>'T_TTAFStock'!CX54</f>
        <v/>
      </c>
      <c r="DA1149">
        <f>'T_TTAFStock'!CY54</f>
        <v/>
      </c>
      <c r="DB1149">
        <f>'T_TTAFStock'!CZ54</f>
        <v/>
      </c>
      <c r="DC1149">
        <f>'T_TTAFStock'!DA54</f>
        <v/>
      </c>
    </row>
    <row r="1150">
      <c r="B1150" t="inlineStr">
        <is>
          <t>自社在庫(実績,kg)</t>
        </is>
      </c>
      <c r="D1150">
        <f>'T_SelfStock'!B54</f>
        <v/>
      </c>
      <c r="E1150">
        <f>'T_SelfStock'!C54</f>
        <v/>
      </c>
      <c r="F1150">
        <f>'T_SelfStock'!D54</f>
        <v/>
      </c>
      <c r="G1150">
        <f>'T_SelfStock'!E54</f>
        <v/>
      </c>
      <c r="H1150">
        <f>'T_SelfStock'!F54</f>
        <v/>
      </c>
      <c r="I1150">
        <f>'T_SelfStock'!G54</f>
        <v/>
      </c>
      <c r="J1150">
        <f>'T_SelfStock'!H54</f>
        <v/>
      </c>
      <c r="K1150">
        <f>'T_SelfStock'!I54</f>
        <v/>
      </c>
      <c r="L1150">
        <f>'T_SelfStock'!J54</f>
        <v/>
      </c>
      <c r="M1150">
        <f>'T_SelfStock'!K54</f>
        <v/>
      </c>
      <c r="N1150">
        <f>'T_SelfStock'!L54</f>
        <v/>
      </c>
      <c r="O1150">
        <f>'T_SelfStock'!M54</f>
        <v/>
      </c>
      <c r="P1150">
        <f>'T_SelfStock'!N54</f>
        <v/>
      </c>
      <c r="Q1150">
        <f>'T_SelfStock'!O54</f>
        <v/>
      </c>
      <c r="R1150">
        <f>'T_SelfStock'!P54</f>
        <v/>
      </c>
      <c r="S1150">
        <f>'T_SelfStock'!Q54</f>
        <v/>
      </c>
      <c r="T1150">
        <f>'T_SelfStock'!R54</f>
        <v/>
      </c>
      <c r="U1150">
        <f>'T_SelfStock'!S54</f>
        <v/>
      </c>
      <c r="V1150">
        <f>'T_SelfStock'!T54</f>
        <v/>
      </c>
      <c r="W1150">
        <f>'T_SelfStock'!U54</f>
        <v/>
      </c>
      <c r="X1150">
        <f>'T_SelfStock'!V54</f>
        <v/>
      </c>
      <c r="Y1150">
        <f>'T_SelfStock'!W54</f>
        <v/>
      </c>
      <c r="Z1150">
        <f>'T_SelfStock'!X54</f>
        <v/>
      </c>
      <c r="AA1150">
        <f>'T_SelfStock'!Y54</f>
        <v/>
      </c>
      <c r="AB1150">
        <f>'T_SelfStock'!Z54</f>
        <v/>
      </c>
      <c r="AC1150">
        <f>'T_SelfStock'!AA54</f>
        <v/>
      </c>
      <c r="AD1150">
        <f>'T_SelfStock'!AB54</f>
        <v/>
      </c>
      <c r="AE1150">
        <f>'T_SelfStock'!AC54</f>
        <v/>
      </c>
      <c r="AF1150">
        <f>'T_SelfStock'!AD54</f>
        <v/>
      </c>
      <c r="AG1150">
        <f>'T_SelfStock'!AE54</f>
        <v/>
      </c>
      <c r="AH1150">
        <f>'T_SelfStock'!AF54</f>
        <v/>
      </c>
      <c r="AI1150">
        <f>'T_SelfStock'!AG54</f>
        <v/>
      </c>
      <c r="AJ1150">
        <f>'T_SelfStock'!AH54</f>
        <v/>
      </c>
      <c r="AK1150">
        <f>'T_SelfStock'!AI54</f>
        <v/>
      </c>
      <c r="AL1150">
        <f>'T_SelfStock'!AJ54</f>
        <v/>
      </c>
      <c r="AM1150">
        <f>'T_SelfStock'!AK54</f>
        <v/>
      </c>
      <c r="AN1150">
        <f>'T_SelfStock'!AL54</f>
        <v/>
      </c>
      <c r="AO1150">
        <f>'T_SelfStock'!AM54</f>
        <v/>
      </c>
      <c r="AP1150">
        <f>'T_SelfStock'!AN54</f>
        <v/>
      </c>
      <c r="AQ1150">
        <f>'T_SelfStock'!AO54</f>
        <v/>
      </c>
      <c r="AR1150">
        <f>'T_SelfStock'!AP54</f>
        <v/>
      </c>
      <c r="AS1150">
        <f>'T_SelfStock'!AQ54</f>
        <v/>
      </c>
      <c r="AT1150">
        <f>'T_SelfStock'!AR54</f>
        <v/>
      </c>
      <c r="AU1150">
        <f>'T_SelfStock'!AS54</f>
        <v/>
      </c>
      <c r="AV1150">
        <f>'T_SelfStock'!AT54</f>
        <v/>
      </c>
      <c r="AW1150">
        <f>'T_SelfStock'!AU54</f>
        <v/>
      </c>
      <c r="AX1150">
        <f>'T_SelfStock'!AV54</f>
        <v/>
      </c>
      <c r="AY1150">
        <f>'T_SelfStock'!AW54</f>
        <v/>
      </c>
      <c r="AZ1150">
        <f>'T_SelfStock'!AX54</f>
        <v/>
      </c>
      <c r="BA1150">
        <f>'T_SelfStock'!AY54</f>
        <v/>
      </c>
      <c r="BB1150">
        <f>'T_SelfStock'!AZ54</f>
        <v/>
      </c>
      <c r="BC1150">
        <f>'T_SelfStock'!BA54</f>
        <v/>
      </c>
      <c r="BD1150">
        <f>'T_SelfStock'!BB54</f>
        <v/>
      </c>
      <c r="BE1150">
        <f>'T_SelfStock'!BC54</f>
        <v/>
      </c>
      <c r="BF1150">
        <f>'T_SelfStock'!BD54</f>
        <v/>
      </c>
      <c r="BG1150">
        <f>'T_SelfStock'!BE54</f>
        <v/>
      </c>
      <c r="BH1150">
        <f>'T_SelfStock'!BF54</f>
        <v/>
      </c>
      <c r="BI1150">
        <f>'T_SelfStock'!BG54</f>
        <v/>
      </c>
      <c r="BJ1150">
        <f>'T_SelfStock'!BH54</f>
        <v/>
      </c>
      <c r="BK1150">
        <f>'T_SelfStock'!BI54</f>
        <v/>
      </c>
      <c r="BL1150">
        <f>'T_SelfStock'!BJ54</f>
        <v/>
      </c>
      <c r="BM1150">
        <f>'T_SelfStock'!BK54</f>
        <v/>
      </c>
      <c r="BN1150">
        <f>'T_SelfStock'!BL54</f>
        <v/>
      </c>
      <c r="BO1150">
        <f>'T_SelfStock'!BM54</f>
        <v/>
      </c>
      <c r="BP1150">
        <f>'T_SelfStock'!BN54</f>
        <v/>
      </c>
      <c r="BQ1150">
        <f>'T_SelfStock'!BO54</f>
        <v/>
      </c>
      <c r="BR1150">
        <f>'T_SelfStock'!BP54</f>
        <v/>
      </c>
      <c r="BS1150">
        <f>'T_SelfStock'!BQ54</f>
        <v/>
      </c>
      <c r="BT1150">
        <f>'T_SelfStock'!BR54</f>
        <v/>
      </c>
      <c r="BU1150">
        <f>'T_SelfStock'!BS54</f>
        <v/>
      </c>
      <c r="BV1150">
        <f>'T_SelfStock'!BT54</f>
        <v/>
      </c>
      <c r="BW1150">
        <f>'T_SelfStock'!BU54</f>
        <v/>
      </c>
      <c r="BX1150">
        <f>'T_SelfStock'!BV54</f>
        <v/>
      </c>
      <c r="BY1150">
        <f>'T_SelfStock'!BW54</f>
        <v/>
      </c>
      <c r="BZ1150">
        <f>'T_SelfStock'!BX54</f>
        <v/>
      </c>
      <c r="CA1150">
        <f>'T_SelfStock'!BY54</f>
        <v/>
      </c>
      <c r="CB1150">
        <f>'T_SelfStock'!BZ54</f>
        <v/>
      </c>
      <c r="CC1150">
        <f>'T_SelfStock'!CA54</f>
        <v/>
      </c>
      <c r="CD1150">
        <f>'T_SelfStock'!CB54</f>
        <v/>
      </c>
      <c r="CE1150">
        <f>'T_SelfStock'!CC54</f>
        <v/>
      </c>
      <c r="CF1150">
        <f>'T_SelfStock'!CD54</f>
        <v/>
      </c>
      <c r="CG1150">
        <f>'T_SelfStock'!CE54</f>
        <v/>
      </c>
      <c r="CH1150">
        <f>'T_SelfStock'!CF54</f>
        <v/>
      </c>
      <c r="CI1150">
        <f>'T_SelfStock'!CG54</f>
        <v/>
      </c>
      <c r="CJ1150">
        <f>'T_SelfStock'!CH54</f>
        <v/>
      </c>
      <c r="CK1150">
        <f>'T_SelfStock'!CI54</f>
        <v/>
      </c>
      <c r="CL1150">
        <f>'T_SelfStock'!CJ54</f>
        <v/>
      </c>
      <c r="CM1150">
        <f>'T_SelfStock'!CK54</f>
        <v/>
      </c>
      <c r="CN1150">
        <f>'T_SelfStock'!CL54</f>
        <v/>
      </c>
      <c r="CO1150">
        <f>'T_SelfStock'!CM54</f>
        <v/>
      </c>
      <c r="CP1150">
        <f>'T_SelfStock'!CN54</f>
        <v/>
      </c>
      <c r="CQ1150">
        <f>'T_SelfStock'!CO54</f>
        <v/>
      </c>
      <c r="CR1150">
        <f>'T_SelfStock'!CP54</f>
        <v/>
      </c>
      <c r="CS1150">
        <f>'T_SelfStock'!CQ54</f>
        <v/>
      </c>
      <c r="CT1150">
        <f>'T_SelfStock'!CR54</f>
        <v/>
      </c>
      <c r="CU1150">
        <f>'T_SelfStock'!CS54</f>
        <v/>
      </c>
      <c r="CV1150">
        <f>'T_SelfStock'!CT54</f>
        <v/>
      </c>
      <c r="CW1150">
        <f>'T_SelfStock'!CU54</f>
        <v/>
      </c>
      <c r="CX1150">
        <f>'T_SelfStock'!CV54</f>
        <v/>
      </c>
      <c r="CY1150">
        <f>'T_SelfStock'!CW54</f>
        <v/>
      </c>
      <c r="CZ1150">
        <f>'T_SelfStock'!CX54</f>
        <v/>
      </c>
      <c r="DA1150">
        <f>'T_SelfStock'!CY54</f>
        <v/>
      </c>
      <c r="DB1150">
        <f>'T_SelfStock'!CZ54</f>
        <v/>
      </c>
      <c r="DC1150">
        <f>'T_SelfStock'!DA54</f>
        <v/>
      </c>
    </row>
    <row r="1151">
      <c r="B1151" t="inlineStr">
        <is>
          <t>Order(発注予定,kg)</t>
        </is>
      </c>
      <c r="D1151" s="23" t="n"/>
      <c r="E1151" s="23" t="n"/>
      <c r="F1151" s="23" t="n"/>
      <c r="G1151" s="23" t="n"/>
      <c r="H1151" s="23" t="n"/>
      <c r="I1151" s="23" t="n"/>
      <c r="J1151" s="23" t="n"/>
      <c r="K1151" s="23" t="n"/>
      <c r="L1151" s="23" t="n"/>
      <c r="M1151" s="23" t="n"/>
      <c r="N1151" s="23" t="n"/>
      <c r="O1151" s="23" t="n"/>
      <c r="P1151" s="23" t="n"/>
      <c r="Q1151" s="23" t="n"/>
      <c r="R1151" s="23" t="n"/>
      <c r="S1151" s="23" t="n"/>
      <c r="T1151" s="23" t="n"/>
      <c r="U1151" s="23" t="n"/>
      <c r="V1151" s="23" t="n"/>
      <c r="W1151" s="23" t="n"/>
      <c r="X1151" s="23" t="n"/>
      <c r="Y1151" s="23" t="n"/>
      <c r="Z1151" s="23" t="n"/>
      <c r="AA1151" s="23" t="n"/>
      <c r="AB1151" s="23" t="n"/>
      <c r="AC1151" s="23" t="n"/>
      <c r="AD1151" s="23" t="n"/>
      <c r="AE1151" s="23" t="n"/>
      <c r="AF1151" s="23" t="n"/>
      <c r="AG1151" s="23" t="n"/>
      <c r="AH1151" s="23" t="n"/>
      <c r="AI1151" s="23" t="n"/>
      <c r="AJ1151" s="23" t="n"/>
      <c r="AK1151" s="23" t="n"/>
      <c r="AL1151" s="23" t="n"/>
      <c r="AM1151" s="23" t="n"/>
      <c r="AN1151" s="23" t="n"/>
      <c r="AO1151" s="23" t="n"/>
      <c r="AP1151" s="23" t="n"/>
      <c r="AQ1151" s="23" t="n"/>
      <c r="AR1151" s="23" t="n"/>
      <c r="AS1151" s="23" t="n"/>
      <c r="AT1151" s="23" t="n"/>
      <c r="AU1151" s="23" t="n"/>
      <c r="AV1151" s="23" t="n"/>
      <c r="AW1151" s="23" t="n"/>
      <c r="AX1151" s="23" t="n"/>
      <c r="AY1151" s="23" t="n"/>
      <c r="AZ1151" s="23" t="n"/>
      <c r="BA1151" s="23" t="n"/>
      <c r="BB1151" s="23" t="n"/>
      <c r="BC1151" s="23" t="n"/>
      <c r="BD1151" s="23" t="n"/>
      <c r="BE1151" s="23" t="n"/>
      <c r="BF1151" s="23" t="n"/>
      <c r="BG1151" s="23" t="n"/>
      <c r="BH1151" s="23" t="n"/>
      <c r="BI1151" s="23" t="n"/>
      <c r="BJ1151" s="23" t="n"/>
      <c r="BK1151" s="23" t="n"/>
      <c r="BL1151" s="23" t="n"/>
      <c r="BM1151" s="23" t="n"/>
      <c r="BN1151" s="23" t="n"/>
      <c r="BO1151" s="23" t="n"/>
      <c r="BP1151" s="23" t="n"/>
      <c r="BQ1151" s="23" t="n"/>
      <c r="BR1151" s="23" t="n"/>
      <c r="BS1151" s="23" t="n"/>
      <c r="BT1151" s="23" t="n"/>
      <c r="BU1151" s="23" t="n"/>
      <c r="BV1151" s="23" t="n"/>
      <c r="BW1151" s="23" t="n"/>
      <c r="BX1151" s="23" t="n"/>
      <c r="BY1151" s="23" t="n"/>
      <c r="BZ1151" s="23" t="n"/>
      <c r="CA1151" s="23" t="n"/>
      <c r="CB1151" s="23" t="n"/>
      <c r="CC1151" s="23" t="n"/>
      <c r="CD1151" s="23" t="n"/>
      <c r="CE1151" s="23" t="n"/>
      <c r="CF1151" s="23" t="n"/>
      <c r="CG1151" s="23" t="n"/>
      <c r="CH1151" s="23" t="n"/>
      <c r="CI1151" s="23" t="n"/>
      <c r="CJ1151" s="23" t="n"/>
      <c r="CK1151" s="23" t="n"/>
      <c r="CL1151" s="23" t="n"/>
      <c r="CM1151" s="23" t="n"/>
      <c r="CN1151" s="23" t="n"/>
      <c r="CO1151" s="23" t="n"/>
      <c r="CP1151" s="23" t="n"/>
      <c r="CQ1151" s="23" t="n"/>
      <c r="CR1151" s="23" t="n"/>
      <c r="CS1151" s="23" t="n"/>
      <c r="CT1151" s="23" t="n"/>
      <c r="CU1151" s="23" t="n"/>
      <c r="CV1151" s="23" t="n"/>
      <c r="CW1151" s="23" t="n"/>
      <c r="CX1151" s="23" t="n"/>
      <c r="CY1151" s="23" t="n"/>
      <c r="CZ1151" s="23" t="n"/>
      <c r="DA1151" s="23" t="n"/>
      <c r="DB1151" s="23" t="n"/>
      <c r="DC1151" s="23" t="n"/>
      <c r="DE1151" s="12" t="inlineStr">
        <is>
          <t>CHEM-1700</t>
        </is>
      </c>
    </row>
    <row r="1152">
      <c r="B1152" s="5" t="inlineStr">
        <is>
          <t>合計在庫(週末時点,kg)</t>
        </is>
      </c>
      <c r="D1152">
        <f>'Grid_Stock'!B50</f>
        <v/>
      </c>
      <c r="E1152">
        <f>'Grid_Stock'!C50</f>
        <v/>
      </c>
      <c r="F1152">
        <f>'Grid_Stock'!D50</f>
        <v/>
      </c>
      <c r="G1152">
        <f>'Grid_Stock'!E50</f>
        <v/>
      </c>
      <c r="H1152">
        <f>'Grid_Stock'!F50</f>
        <v/>
      </c>
      <c r="I1152">
        <f>'Grid_Stock'!G50</f>
        <v/>
      </c>
      <c r="J1152">
        <f>'Grid_Stock'!H50</f>
        <v/>
      </c>
      <c r="K1152">
        <f>'Grid_Stock'!I50</f>
        <v/>
      </c>
      <c r="L1152">
        <f>'Grid_Stock'!J50</f>
        <v/>
      </c>
      <c r="M1152">
        <f>'Grid_Stock'!K50</f>
        <v/>
      </c>
      <c r="N1152">
        <f>'Grid_Stock'!L50</f>
        <v/>
      </c>
      <c r="O1152">
        <f>'Grid_Stock'!M50</f>
        <v/>
      </c>
      <c r="P1152">
        <f>'Grid_Stock'!N50</f>
        <v/>
      </c>
      <c r="Q1152">
        <f>'Grid_Stock'!O50</f>
        <v/>
      </c>
      <c r="R1152">
        <f>'Grid_Stock'!P50</f>
        <v/>
      </c>
      <c r="S1152">
        <f>'Grid_Stock'!Q50</f>
        <v/>
      </c>
      <c r="T1152">
        <f>'Grid_Stock'!R50</f>
        <v/>
      </c>
      <c r="U1152">
        <f>'Grid_Stock'!S50</f>
        <v/>
      </c>
      <c r="V1152">
        <f>'Grid_Stock'!T50</f>
        <v/>
      </c>
      <c r="W1152">
        <f>'Grid_Stock'!U50</f>
        <v/>
      </c>
      <c r="X1152">
        <f>'Grid_Stock'!V50</f>
        <v/>
      </c>
      <c r="Y1152">
        <f>'Grid_Stock'!W50</f>
        <v/>
      </c>
      <c r="Z1152">
        <f>'Grid_Stock'!X50</f>
        <v/>
      </c>
      <c r="AA1152">
        <f>'Grid_Stock'!Y50</f>
        <v/>
      </c>
      <c r="AB1152">
        <f>'Grid_Stock'!Z50</f>
        <v/>
      </c>
      <c r="AC1152">
        <f>'Grid_Stock'!AA50</f>
        <v/>
      </c>
      <c r="AD1152">
        <f>'Grid_Stock'!AB50</f>
        <v/>
      </c>
      <c r="AE1152">
        <f>'Grid_Stock'!AC50</f>
        <v/>
      </c>
      <c r="AF1152">
        <f>'Grid_Stock'!AD50</f>
        <v/>
      </c>
      <c r="AG1152">
        <f>'Grid_Stock'!AE50</f>
        <v/>
      </c>
      <c r="AH1152">
        <f>'Grid_Stock'!AF50</f>
        <v/>
      </c>
      <c r="AI1152">
        <f>'Grid_Stock'!AG50</f>
        <v/>
      </c>
      <c r="AJ1152">
        <f>'Grid_Stock'!AH50</f>
        <v/>
      </c>
      <c r="AK1152">
        <f>'Grid_Stock'!AI50</f>
        <v/>
      </c>
      <c r="AL1152">
        <f>'Grid_Stock'!AJ50</f>
        <v/>
      </c>
      <c r="AM1152">
        <f>'Grid_Stock'!AK50</f>
        <v/>
      </c>
      <c r="AN1152">
        <f>'Grid_Stock'!AL50</f>
        <v/>
      </c>
      <c r="AO1152">
        <f>'Grid_Stock'!AM50</f>
        <v/>
      </c>
      <c r="AP1152">
        <f>'Grid_Stock'!AN50</f>
        <v/>
      </c>
      <c r="AQ1152">
        <f>'Grid_Stock'!AO50</f>
        <v/>
      </c>
      <c r="AR1152">
        <f>'Grid_Stock'!AP50</f>
        <v/>
      </c>
      <c r="AS1152">
        <f>'Grid_Stock'!AQ50</f>
        <v/>
      </c>
      <c r="AT1152">
        <f>'Grid_Stock'!AR50</f>
        <v/>
      </c>
      <c r="AU1152">
        <f>'Grid_Stock'!AS50</f>
        <v/>
      </c>
      <c r="AV1152">
        <f>'Grid_Stock'!AT50</f>
        <v/>
      </c>
      <c r="AW1152">
        <f>'Grid_Stock'!AU50</f>
        <v/>
      </c>
      <c r="AX1152">
        <f>'Grid_Stock'!AV50</f>
        <v/>
      </c>
      <c r="AY1152">
        <f>'Grid_Stock'!AW50</f>
        <v/>
      </c>
      <c r="AZ1152">
        <f>'Grid_Stock'!AX50</f>
        <v/>
      </c>
      <c r="BA1152">
        <f>'Grid_Stock'!AY50</f>
        <v/>
      </c>
      <c r="BB1152">
        <f>'Grid_Stock'!AZ50</f>
        <v/>
      </c>
      <c r="BC1152">
        <f>'Grid_Stock'!BA50</f>
        <v/>
      </c>
      <c r="BD1152">
        <f>'Grid_Stock'!BB50</f>
        <v/>
      </c>
      <c r="BE1152">
        <f>'Grid_Stock'!BC50</f>
        <v/>
      </c>
      <c r="BF1152">
        <f>'Grid_Stock'!BD50</f>
        <v/>
      </c>
      <c r="BG1152">
        <f>'Grid_Stock'!BE50</f>
        <v/>
      </c>
      <c r="BH1152">
        <f>'Grid_Stock'!BF50</f>
        <v/>
      </c>
      <c r="BI1152">
        <f>'Grid_Stock'!BG50</f>
        <v/>
      </c>
      <c r="BJ1152">
        <f>'Grid_Stock'!BH50</f>
        <v/>
      </c>
      <c r="BK1152">
        <f>'Grid_Stock'!BI50</f>
        <v/>
      </c>
      <c r="BL1152">
        <f>'Grid_Stock'!BJ50</f>
        <v/>
      </c>
      <c r="BM1152">
        <f>'Grid_Stock'!BK50</f>
        <v/>
      </c>
      <c r="BN1152">
        <f>'Grid_Stock'!BL50</f>
        <v/>
      </c>
      <c r="BO1152">
        <f>'Grid_Stock'!BM50</f>
        <v/>
      </c>
      <c r="BP1152">
        <f>'Grid_Stock'!BN50</f>
        <v/>
      </c>
      <c r="BQ1152">
        <f>'Grid_Stock'!BO50</f>
        <v/>
      </c>
      <c r="BR1152">
        <f>'Grid_Stock'!BP50</f>
        <v/>
      </c>
      <c r="BS1152">
        <f>'Grid_Stock'!BQ50</f>
        <v/>
      </c>
      <c r="BT1152">
        <f>'Grid_Stock'!BR50</f>
        <v/>
      </c>
      <c r="BU1152">
        <f>'Grid_Stock'!BS50</f>
        <v/>
      </c>
      <c r="BV1152">
        <f>'Grid_Stock'!BT50</f>
        <v/>
      </c>
      <c r="BW1152">
        <f>'Grid_Stock'!BU50</f>
        <v/>
      </c>
      <c r="BX1152">
        <f>'Grid_Stock'!BV50</f>
        <v/>
      </c>
      <c r="BY1152">
        <f>'Grid_Stock'!BW50</f>
        <v/>
      </c>
      <c r="BZ1152">
        <f>'Grid_Stock'!BX50</f>
        <v/>
      </c>
      <c r="CA1152">
        <f>'Grid_Stock'!BY50</f>
        <v/>
      </c>
      <c r="CB1152">
        <f>'Grid_Stock'!BZ50</f>
        <v/>
      </c>
      <c r="CC1152">
        <f>'Grid_Stock'!CA50</f>
        <v/>
      </c>
      <c r="CD1152">
        <f>'Grid_Stock'!CB50</f>
        <v/>
      </c>
      <c r="CE1152">
        <f>'Grid_Stock'!CC50</f>
        <v/>
      </c>
      <c r="CF1152">
        <f>'Grid_Stock'!CD50</f>
        <v/>
      </c>
      <c r="CG1152">
        <f>'Grid_Stock'!CE50</f>
        <v/>
      </c>
      <c r="CH1152">
        <f>'Grid_Stock'!CF50</f>
        <v/>
      </c>
      <c r="CI1152">
        <f>'Grid_Stock'!CG50</f>
        <v/>
      </c>
      <c r="CJ1152">
        <f>'Grid_Stock'!CH50</f>
        <v/>
      </c>
      <c r="CK1152">
        <f>'Grid_Stock'!CI50</f>
        <v/>
      </c>
      <c r="CL1152">
        <f>'Grid_Stock'!CJ50</f>
        <v/>
      </c>
      <c r="CM1152">
        <f>'Grid_Stock'!CK50</f>
        <v/>
      </c>
      <c r="CN1152">
        <f>'Grid_Stock'!CL50</f>
        <v/>
      </c>
      <c r="CO1152">
        <f>'Grid_Stock'!CM50</f>
        <v/>
      </c>
      <c r="CP1152">
        <f>'Grid_Stock'!CN50</f>
        <v/>
      </c>
      <c r="CQ1152">
        <f>'Grid_Stock'!CO50</f>
        <v/>
      </c>
      <c r="CR1152">
        <f>'Grid_Stock'!CP50</f>
        <v/>
      </c>
      <c r="CS1152">
        <f>'Grid_Stock'!CQ50</f>
        <v/>
      </c>
      <c r="CT1152">
        <f>'Grid_Stock'!CR50</f>
        <v/>
      </c>
      <c r="CU1152">
        <f>'Grid_Stock'!CS50</f>
        <v/>
      </c>
      <c r="CV1152">
        <f>'Grid_Stock'!CT50</f>
        <v/>
      </c>
      <c r="CW1152">
        <f>'Grid_Stock'!CU50</f>
        <v/>
      </c>
      <c r="CX1152">
        <f>'Grid_Stock'!CV50</f>
        <v/>
      </c>
      <c r="CY1152">
        <f>'Grid_Stock'!CW50</f>
        <v/>
      </c>
      <c r="CZ1152">
        <f>'Grid_Stock'!CX50</f>
        <v/>
      </c>
      <c r="DA1152">
        <f>'Grid_Stock'!CY50</f>
        <v/>
      </c>
      <c r="DB1152">
        <f>'Grid_Stock'!CZ50</f>
        <v/>
      </c>
      <c r="DC1152">
        <f>'Grid_Stock'!DA50</f>
        <v/>
      </c>
    </row>
    <row r="1153">
      <c r="B1153" s="24" t="inlineStr">
        <is>
          <t>（発注の目安はDashboardの基準在庫[下限/上限]と色分けを参照）</t>
        </is>
      </c>
    </row>
    <row r="1155">
      <c r="A1155" s="21" t="inlineStr">
        <is>
          <t>CHEM-1850</t>
        </is>
      </c>
      <c r="B1155" s="21" t="inlineStr">
        <is>
          <t>TPP-1469</t>
        </is>
      </c>
      <c r="C1155" s="22" t="n"/>
      <c r="D1155" s="21" t="n"/>
      <c r="E1155" s="21" t="n"/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  <c r="AA1155" s="21" t="n"/>
      <c r="AB1155" s="21" t="n"/>
      <c r="AC1155" s="21" t="n"/>
      <c r="AD1155" s="21" t="n"/>
      <c r="AE1155" s="21" t="n"/>
      <c r="AF1155" s="21" t="n"/>
      <c r="AG1155" s="21" t="n"/>
      <c r="AH1155" s="21" t="n"/>
      <c r="AI1155" s="21" t="n"/>
      <c r="AJ1155" s="21" t="n"/>
      <c r="AK1155" s="21" t="n"/>
      <c r="AL1155" s="21" t="n"/>
      <c r="AM1155" s="21" t="n"/>
      <c r="AN1155" s="21" t="n"/>
      <c r="AO1155" s="21" t="n"/>
      <c r="AP1155" s="21" t="n"/>
      <c r="AQ1155" s="21" t="n"/>
      <c r="AR1155" s="21" t="n"/>
      <c r="AS1155" s="21" t="n"/>
      <c r="AT1155" s="21" t="n"/>
      <c r="AU1155" s="21" t="n"/>
      <c r="AV1155" s="21" t="n"/>
      <c r="AW1155" s="21" t="n"/>
      <c r="AX1155" s="21" t="n"/>
      <c r="AY1155" s="21" t="n"/>
      <c r="AZ1155" s="21" t="n"/>
      <c r="BA1155" s="21" t="n"/>
      <c r="BB1155" s="21" t="n"/>
      <c r="BC1155" s="21" t="n"/>
      <c r="BD1155" s="21" t="n"/>
      <c r="BE1155" s="21" t="n"/>
      <c r="BF1155" s="21" t="n"/>
      <c r="BG1155" s="21" t="n"/>
      <c r="BH1155" s="21" t="n"/>
      <c r="BI1155" s="21" t="n"/>
      <c r="BJ1155" s="21" t="n"/>
      <c r="BK1155" s="21" t="n"/>
      <c r="BL1155" s="21" t="n"/>
      <c r="BM1155" s="21" t="n"/>
      <c r="BN1155" s="21" t="n"/>
      <c r="BO1155" s="21" t="n"/>
      <c r="BP1155" s="21" t="n"/>
      <c r="BQ1155" s="21" t="n"/>
      <c r="BR1155" s="21" t="n"/>
      <c r="BS1155" s="21" t="n"/>
      <c r="BT1155" s="21" t="n"/>
      <c r="BU1155" s="21" t="n"/>
      <c r="BV1155" s="21" t="n"/>
      <c r="BW1155" s="21" t="n"/>
      <c r="BX1155" s="21" t="n"/>
      <c r="BY1155" s="21" t="n"/>
      <c r="BZ1155" s="21" t="n"/>
      <c r="CA1155" s="21" t="n"/>
      <c r="CB1155" s="21" t="n"/>
      <c r="CC1155" s="21" t="n"/>
      <c r="CD1155" s="21" t="n"/>
      <c r="CE1155" s="21" t="n"/>
      <c r="CF1155" s="21" t="n"/>
      <c r="CG1155" s="21" t="n"/>
      <c r="CH1155" s="21" t="n"/>
      <c r="CI1155" s="21" t="n"/>
      <c r="CJ1155" s="21" t="n"/>
      <c r="CK1155" s="21" t="n"/>
      <c r="CL1155" s="21" t="n"/>
      <c r="CM1155" s="21" t="n"/>
      <c r="CN1155" s="21" t="n"/>
      <c r="CO1155" s="21" t="n"/>
      <c r="CP1155" s="21" t="n"/>
      <c r="CQ1155" s="21" t="n"/>
      <c r="CR1155" s="21" t="n"/>
      <c r="CS1155" s="21" t="n"/>
      <c r="CT1155" s="21" t="n"/>
      <c r="CU1155" s="21" t="n"/>
      <c r="CV1155" s="21" t="n"/>
      <c r="CW1155" s="21" t="n"/>
      <c r="CX1155" s="21" t="n"/>
      <c r="CY1155" s="21" t="n"/>
      <c r="CZ1155" s="21" t="n"/>
      <c r="DA1155" s="21" t="n"/>
      <c r="DB1155" s="21" t="n"/>
      <c r="DC1155" s="21" t="n"/>
    </row>
    <row r="1156">
      <c r="B1156" t="inlineStr">
        <is>
          <t>TSP-1558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Name],$A1155)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'Grid_Requirement'!B51</f>
        <v/>
      </c>
      <c r="E1158">
        <f>'Grid_Requirement'!C51</f>
        <v/>
      </c>
      <c r="F1158">
        <f>'Grid_Requirement'!D51</f>
        <v/>
      </c>
      <c r="G1158">
        <f>'Grid_Requirement'!E51</f>
        <v/>
      </c>
      <c r="H1158">
        <f>'Grid_Requirement'!F51</f>
        <v/>
      </c>
      <c r="I1158">
        <f>'Grid_Requirement'!G51</f>
        <v/>
      </c>
      <c r="J1158">
        <f>'Grid_Requirement'!H51</f>
        <v/>
      </c>
      <c r="K1158">
        <f>'Grid_Requirement'!I51</f>
        <v/>
      </c>
      <c r="L1158">
        <f>'Grid_Requirement'!J51</f>
        <v/>
      </c>
      <c r="M1158">
        <f>'Grid_Requirement'!K51</f>
        <v/>
      </c>
      <c r="N1158">
        <f>'Grid_Requirement'!L51</f>
        <v/>
      </c>
      <c r="O1158">
        <f>'Grid_Requirement'!M51</f>
        <v/>
      </c>
      <c r="P1158">
        <f>'Grid_Requirement'!N51</f>
        <v/>
      </c>
      <c r="Q1158">
        <f>'Grid_Requirement'!O51</f>
        <v/>
      </c>
      <c r="R1158">
        <f>'Grid_Requirement'!P51</f>
        <v/>
      </c>
      <c r="S1158">
        <f>'Grid_Requirement'!Q51</f>
        <v/>
      </c>
      <c r="T1158">
        <f>'Grid_Requirement'!R51</f>
        <v/>
      </c>
      <c r="U1158">
        <f>'Grid_Requirement'!S51</f>
        <v/>
      </c>
      <c r="V1158">
        <f>'Grid_Requirement'!T51</f>
        <v/>
      </c>
      <c r="W1158">
        <f>'Grid_Requirement'!U51</f>
        <v/>
      </c>
      <c r="X1158">
        <f>'Grid_Requirement'!V51</f>
        <v/>
      </c>
      <c r="Y1158">
        <f>'Grid_Requirement'!W51</f>
        <v/>
      </c>
      <c r="Z1158">
        <f>'Grid_Requirement'!X51</f>
        <v/>
      </c>
      <c r="AA1158">
        <f>'Grid_Requirement'!Y51</f>
        <v/>
      </c>
      <c r="AB1158">
        <f>'Grid_Requirement'!Z51</f>
        <v/>
      </c>
      <c r="AC1158">
        <f>'Grid_Requirement'!AA51</f>
        <v/>
      </c>
      <c r="AD1158">
        <f>'Grid_Requirement'!AB51</f>
        <v/>
      </c>
      <c r="AE1158">
        <f>'Grid_Requirement'!AC51</f>
        <v/>
      </c>
      <c r="AF1158">
        <f>'Grid_Requirement'!AD51</f>
        <v/>
      </c>
      <c r="AG1158">
        <f>'Grid_Requirement'!AE51</f>
        <v/>
      </c>
      <c r="AH1158">
        <f>'Grid_Requirement'!AF51</f>
        <v/>
      </c>
      <c r="AI1158">
        <f>'Grid_Requirement'!AG51</f>
        <v/>
      </c>
      <c r="AJ1158">
        <f>'Grid_Requirement'!AH51</f>
        <v/>
      </c>
      <c r="AK1158">
        <f>'Grid_Requirement'!AI51</f>
        <v/>
      </c>
      <c r="AL1158">
        <f>'Grid_Requirement'!AJ51</f>
        <v/>
      </c>
      <c r="AM1158">
        <f>'Grid_Requirement'!AK51</f>
        <v/>
      </c>
      <c r="AN1158">
        <f>'Grid_Requirement'!AL51</f>
        <v/>
      </c>
      <c r="AO1158">
        <f>'Grid_Requirement'!AM51</f>
        <v/>
      </c>
      <c r="AP1158">
        <f>'Grid_Requirement'!AN51</f>
        <v/>
      </c>
      <c r="AQ1158">
        <f>'Grid_Requirement'!AO51</f>
        <v/>
      </c>
      <c r="AR1158">
        <f>'Grid_Requirement'!AP51</f>
        <v/>
      </c>
      <c r="AS1158">
        <f>'Grid_Requirement'!AQ51</f>
        <v/>
      </c>
      <c r="AT1158">
        <f>'Grid_Requirement'!AR51</f>
        <v/>
      </c>
      <c r="AU1158">
        <f>'Grid_Requirement'!AS51</f>
        <v/>
      </c>
      <c r="AV1158">
        <f>'Grid_Requirement'!AT51</f>
        <v/>
      </c>
      <c r="AW1158">
        <f>'Grid_Requirement'!AU51</f>
        <v/>
      </c>
      <c r="AX1158">
        <f>'Grid_Requirement'!AV51</f>
        <v/>
      </c>
      <c r="AY1158">
        <f>'Grid_Requirement'!AW51</f>
        <v/>
      </c>
      <c r="AZ1158">
        <f>'Grid_Requirement'!AX51</f>
        <v/>
      </c>
      <c r="BA1158">
        <f>'Grid_Requirement'!AY51</f>
        <v/>
      </c>
      <c r="BB1158">
        <f>'Grid_Requirement'!AZ51</f>
        <v/>
      </c>
      <c r="BC1158">
        <f>'Grid_Requirement'!BA51</f>
        <v/>
      </c>
      <c r="BD1158">
        <f>'Grid_Requirement'!BB51</f>
        <v/>
      </c>
      <c r="BE1158">
        <f>'Grid_Requirement'!BC51</f>
        <v/>
      </c>
      <c r="BF1158">
        <f>'Grid_Requirement'!BD51</f>
        <v/>
      </c>
      <c r="BG1158">
        <f>'Grid_Requirement'!BE51</f>
        <v/>
      </c>
      <c r="BH1158">
        <f>'Grid_Requirement'!BF51</f>
        <v/>
      </c>
      <c r="BI1158">
        <f>'Grid_Requirement'!BG51</f>
        <v/>
      </c>
      <c r="BJ1158">
        <f>'Grid_Requirement'!BH51</f>
        <v/>
      </c>
      <c r="BK1158">
        <f>'Grid_Requirement'!BI51</f>
        <v/>
      </c>
      <c r="BL1158">
        <f>'Grid_Requirement'!BJ51</f>
        <v/>
      </c>
      <c r="BM1158">
        <f>'Grid_Requirement'!BK51</f>
        <v/>
      </c>
      <c r="BN1158">
        <f>'Grid_Requirement'!BL51</f>
        <v/>
      </c>
      <c r="BO1158">
        <f>'Grid_Requirement'!BM51</f>
        <v/>
      </c>
      <c r="BP1158">
        <f>'Grid_Requirement'!BN51</f>
        <v/>
      </c>
      <c r="BQ1158">
        <f>'Grid_Requirement'!BO51</f>
        <v/>
      </c>
      <c r="BR1158">
        <f>'Grid_Requirement'!BP51</f>
        <v/>
      </c>
      <c r="BS1158">
        <f>'Grid_Requirement'!BQ51</f>
        <v/>
      </c>
      <c r="BT1158">
        <f>'Grid_Requirement'!BR51</f>
        <v/>
      </c>
      <c r="BU1158">
        <f>'Grid_Requirement'!BS51</f>
        <v/>
      </c>
      <c r="BV1158">
        <f>'Grid_Requirement'!BT51</f>
        <v/>
      </c>
      <c r="BW1158">
        <f>'Grid_Requirement'!BU51</f>
        <v/>
      </c>
      <c r="BX1158">
        <f>'Grid_Requirement'!BV51</f>
        <v/>
      </c>
      <c r="BY1158">
        <f>'Grid_Requirement'!BW51</f>
        <v/>
      </c>
      <c r="BZ1158">
        <f>'Grid_Requirement'!BX51</f>
        <v/>
      </c>
      <c r="CA1158">
        <f>'Grid_Requirement'!BY51</f>
        <v/>
      </c>
      <c r="CB1158">
        <f>'Grid_Requirement'!BZ51</f>
        <v/>
      </c>
      <c r="CC1158">
        <f>'Grid_Requirement'!CA51</f>
        <v/>
      </c>
      <c r="CD1158">
        <f>'Grid_Requirement'!CB51</f>
        <v/>
      </c>
      <c r="CE1158">
        <f>'Grid_Requirement'!CC51</f>
        <v/>
      </c>
      <c r="CF1158">
        <f>'Grid_Requirement'!CD51</f>
        <v/>
      </c>
      <c r="CG1158">
        <f>'Grid_Requirement'!CE51</f>
        <v/>
      </c>
      <c r="CH1158">
        <f>'Grid_Requirement'!CF51</f>
        <v/>
      </c>
      <c r="CI1158">
        <f>'Grid_Requirement'!CG51</f>
        <v/>
      </c>
      <c r="CJ1158">
        <f>'Grid_Requirement'!CH51</f>
        <v/>
      </c>
      <c r="CK1158">
        <f>'Grid_Requirement'!CI51</f>
        <v/>
      </c>
      <c r="CL1158">
        <f>'Grid_Requirement'!CJ51</f>
        <v/>
      </c>
      <c r="CM1158">
        <f>'Grid_Requirement'!CK51</f>
        <v/>
      </c>
      <c r="CN1158">
        <f>'Grid_Requirement'!CL51</f>
        <v/>
      </c>
      <c r="CO1158">
        <f>'Grid_Requirement'!CM51</f>
        <v/>
      </c>
      <c r="CP1158">
        <f>'Grid_Requirement'!CN51</f>
        <v/>
      </c>
      <c r="CQ1158">
        <f>'Grid_Requirement'!CO51</f>
        <v/>
      </c>
      <c r="CR1158">
        <f>'Grid_Requirement'!CP51</f>
        <v/>
      </c>
      <c r="CS1158">
        <f>'Grid_Requirement'!CQ51</f>
        <v/>
      </c>
      <c r="CT1158">
        <f>'Grid_Requirement'!CR51</f>
        <v/>
      </c>
      <c r="CU1158">
        <f>'Grid_Requirement'!CS51</f>
        <v/>
      </c>
      <c r="CV1158">
        <f>'Grid_Requirement'!CT51</f>
        <v/>
      </c>
      <c r="CW1158">
        <f>'Grid_Requirement'!CU51</f>
        <v/>
      </c>
      <c r="CX1158">
        <f>'Grid_Requirement'!CV51</f>
        <v/>
      </c>
      <c r="CY1158">
        <f>'Grid_Requirement'!CW51</f>
        <v/>
      </c>
      <c r="CZ1158">
        <f>'Grid_Requirement'!CX51</f>
        <v/>
      </c>
      <c r="DA1158">
        <f>'Grid_Requirement'!CY51</f>
        <v/>
      </c>
      <c r="DB1158">
        <f>'Grid_Requirement'!CZ51</f>
        <v/>
      </c>
      <c r="DC1158">
        <f>'Grid_Requirement'!DA51</f>
        <v/>
      </c>
    </row>
    <row r="1159">
      <c r="B1159" t="inlineStr">
        <is>
          <t>TTAF在庫(実績,kg)</t>
        </is>
      </c>
      <c r="D1159">
        <f>'T_TTAFStock'!B55</f>
        <v/>
      </c>
      <c r="E1159">
        <f>'T_TTAFStock'!C55</f>
        <v/>
      </c>
      <c r="F1159">
        <f>'T_TTAFStock'!D55</f>
        <v/>
      </c>
      <c r="G1159">
        <f>'T_TTAFStock'!E55</f>
        <v/>
      </c>
      <c r="H1159">
        <f>'T_TTAFStock'!F55</f>
        <v/>
      </c>
      <c r="I1159">
        <f>'T_TTAFStock'!G55</f>
        <v/>
      </c>
      <c r="J1159">
        <f>'T_TTAFStock'!H55</f>
        <v/>
      </c>
      <c r="K1159">
        <f>'T_TTAFStock'!I55</f>
        <v/>
      </c>
      <c r="L1159">
        <f>'T_TTAFStock'!J55</f>
        <v/>
      </c>
      <c r="M1159">
        <f>'T_TTAFStock'!K55</f>
        <v/>
      </c>
      <c r="N1159">
        <f>'T_TTAFStock'!L55</f>
        <v/>
      </c>
      <c r="O1159">
        <f>'T_TTAFStock'!M55</f>
        <v/>
      </c>
      <c r="P1159">
        <f>'T_TTAFStock'!N55</f>
        <v/>
      </c>
      <c r="Q1159">
        <f>'T_TTAFStock'!O55</f>
        <v/>
      </c>
      <c r="R1159">
        <f>'T_TTAFStock'!P55</f>
        <v/>
      </c>
      <c r="S1159">
        <f>'T_TTAFStock'!Q55</f>
        <v/>
      </c>
      <c r="T1159">
        <f>'T_TTAFStock'!R55</f>
        <v/>
      </c>
      <c r="U1159">
        <f>'T_TTAFStock'!S55</f>
        <v/>
      </c>
      <c r="V1159">
        <f>'T_TTAFStock'!T55</f>
        <v/>
      </c>
      <c r="W1159">
        <f>'T_TTAFStock'!U55</f>
        <v/>
      </c>
      <c r="X1159">
        <f>'T_TTAFStock'!V55</f>
        <v/>
      </c>
      <c r="Y1159">
        <f>'T_TTAFStock'!W55</f>
        <v/>
      </c>
      <c r="Z1159">
        <f>'T_TTAFStock'!X55</f>
        <v/>
      </c>
      <c r="AA1159">
        <f>'T_TTAFStock'!Y55</f>
        <v/>
      </c>
      <c r="AB1159">
        <f>'T_TTAFStock'!Z55</f>
        <v/>
      </c>
      <c r="AC1159">
        <f>'T_TTAFStock'!AA55</f>
        <v/>
      </c>
      <c r="AD1159">
        <f>'T_TTAFStock'!AB55</f>
        <v/>
      </c>
      <c r="AE1159">
        <f>'T_TTAFStock'!AC55</f>
        <v/>
      </c>
      <c r="AF1159">
        <f>'T_TTAFStock'!AD55</f>
        <v/>
      </c>
      <c r="AG1159">
        <f>'T_TTAFStock'!AE55</f>
        <v/>
      </c>
      <c r="AH1159">
        <f>'T_TTAFStock'!AF55</f>
        <v/>
      </c>
      <c r="AI1159">
        <f>'T_TTAFStock'!AG55</f>
        <v/>
      </c>
      <c r="AJ1159">
        <f>'T_TTAFStock'!AH55</f>
        <v/>
      </c>
      <c r="AK1159">
        <f>'T_TTAFStock'!AI55</f>
        <v/>
      </c>
      <c r="AL1159">
        <f>'T_TTAFStock'!AJ55</f>
        <v/>
      </c>
      <c r="AM1159">
        <f>'T_TTAFStock'!AK55</f>
        <v/>
      </c>
      <c r="AN1159">
        <f>'T_TTAFStock'!AL55</f>
        <v/>
      </c>
      <c r="AO1159">
        <f>'T_TTAFStock'!AM55</f>
        <v/>
      </c>
      <c r="AP1159">
        <f>'T_TTAFStock'!AN55</f>
        <v/>
      </c>
      <c r="AQ1159">
        <f>'T_TTAFStock'!AO55</f>
        <v/>
      </c>
      <c r="AR1159">
        <f>'T_TTAFStock'!AP55</f>
        <v/>
      </c>
      <c r="AS1159">
        <f>'T_TTAFStock'!AQ55</f>
        <v/>
      </c>
      <c r="AT1159">
        <f>'T_TTAFStock'!AR55</f>
        <v/>
      </c>
      <c r="AU1159">
        <f>'T_TTAFStock'!AS55</f>
        <v/>
      </c>
      <c r="AV1159">
        <f>'T_TTAFStock'!AT55</f>
        <v/>
      </c>
      <c r="AW1159">
        <f>'T_TTAFStock'!AU55</f>
        <v/>
      </c>
      <c r="AX1159">
        <f>'T_TTAFStock'!AV55</f>
        <v/>
      </c>
      <c r="AY1159">
        <f>'T_TTAFStock'!AW55</f>
        <v/>
      </c>
      <c r="AZ1159">
        <f>'T_TTAFStock'!AX55</f>
        <v/>
      </c>
      <c r="BA1159">
        <f>'T_TTAFStock'!AY55</f>
        <v/>
      </c>
      <c r="BB1159">
        <f>'T_TTAFStock'!AZ55</f>
        <v/>
      </c>
      <c r="BC1159">
        <f>'T_TTAFStock'!BA55</f>
        <v/>
      </c>
      <c r="BD1159">
        <f>'T_TTAFStock'!BB55</f>
        <v/>
      </c>
      <c r="BE1159">
        <f>'T_TTAFStock'!BC55</f>
        <v/>
      </c>
      <c r="BF1159">
        <f>'T_TTAFStock'!BD55</f>
        <v/>
      </c>
      <c r="BG1159">
        <f>'T_TTAFStock'!BE55</f>
        <v/>
      </c>
      <c r="BH1159">
        <f>'T_TTAFStock'!BF55</f>
        <v/>
      </c>
      <c r="BI1159">
        <f>'T_TTAFStock'!BG55</f>
        <v/>
      </c>
      <c r="BJ1159">
        <f>'T_TTAFStock'!BH55</f>
        <v/>
      </c>
      <c r="BK1159">
        <f>'T_TTAFStock'!BI55</f>
        <v/>
      </c>
      <c r="BL1159">
        <f>'T_TTAFStock'!BJ55</f>
        <v/>
      </c>
      <c r="BM1159">
        <f>'T_TTAFStock'!BK55</f>
        <v/>
      </c>
      <c r="BN1159">
        <f>'T_TTAFStock'!BL55</f>
        <v/>
      </c>
      <c r="BO1159">
        <f>'T_TTAFStock'!BM55</f>
        <v/>
      </c>
      <c r="BP1159">
        <f>'T_TTAFStock'!BN55</f>
        <v/>
      </c>
      <c r="BQ1159">
        <f>'T_TTAFStock'!BO55</f>
        <v/>
      </c>
      <c r="BR1159">
        <f>'T_TTAFStock'!BP55</f>
        <v/>
      </c>
      <c r="BS1159">
        <f>'T_TTAFStock'!BQ55</f>
        <v/>
      </c>
      <c r="BT1159">
        <f>'T_TTAFStock'!BR55</f>
        <v/>
      </c>
      <c r="BU1159">
        <f>'T_TTAFStock'!BS55</f>
        <v/>
      </c>
      <c r="BV1159">
        <f>'T_TTAFStock'!BT55</f>
        <v/>
      </c>
      <c r="BW1159">
        <f>'T_TTAFStock'!BU55</f>
        <v/>
      </c>
      <c r="BX1159">
        <f>'T_TTAFStock'!BV55</f>
        <v/>
      </c>
      <c r="BY1159">
        <f>'T_TTAFStock'!BW55</f>
        <v/>
      </c>
      <c r="BZ1159">
        <f>'T_TTAFStock'!BX55</f>
        <v/>
      </c>
      <c r="CA1159">
        <f>'T_TTAFStock'!BY55</f>
        <v/>
      </c>
      <c r="CB1159">
        <f>'T_TTAFStock'!BZ55</f>
        <v/>
      </c>
      <c r="CC1159">
        <f>'T_TTAFStock'!CA55</f>
        <v/>
      </c>
      <c r="CD1159">
        <f>'T_TTAFStock'!CB55</f>
        <v/>
      </c>
      <c r="CE1159">
        <f>'T_TTAFStock'!CC55</f>
        <v/>
      </c>
      <c r="CF1159">
        <f>'T_TTAFStock'!CD55</f>
        <v/>
      </c>
      <c r="CG1159">
        <f>'T_TTAFStock'!CE55</f>
        <v/>
      </c>
      <c r="CH1159">
        <f>'T_TTAFStock'!CF55</f>
        <v/>
      </c>
      <c r="CI1159">
        <f>'T_TTAFStock'!CG55</f>
        <v/>
      </c>
      <c r="CJ1159">
        <f>'T_TTAFStock'!CH55</f>
        <v/>
      </c>
      <c r="CK1159">
        <f>'T_TTAFStock'!CI55</f>
        <v/>
      </c>
      <c r="CL1159">
        <f>'T_TTAFStock'!CJ55</f>
        <v/>
      </c>
      <c r="CM1159">
        <f>'T_TTAFStock'!CK55</f>
        <v/>
      </c>
      <c r="CN1159">
        <f>'T_TTAFStock'!CL55</f>
        <v/>
      </c>
      <c r="CO1159">
        <f>'T_TTAFStock'!CM55</f>
        <v/>
      </c>
      <c r="CP1159">
        <f>'T_TTAFStock'!CN55</f>
        <v/>
      </c>
      <c r="CQ1159">
        <f>'T_TTAFStock'!CO55</f>
        <v/>
      </c>
      <c r="CR1159">
        <f>'T_TTAFStock'!CP55</f>
        <v/>
      </c>
      <c r="CS1159">
        <f>'T_TTAFStock'!CQ55</f>
        <v/>
      </c>
      <c r="CT1159">
        <f>'T_TTAFStock'!CR55</f>
        <v/>
      </c>
      <c r="CU1159">
        <f>'T_TTAFStock'!CS55</f>
        <v/>
      </c>
      <c r="CV1159">
        <f>'T_TTAFStock'!CT55</f>
        <v/>
      </c>
      <c r="CW1159">
        <f>'T_TTAFStock'!CU55</f>
        <v/>
      </c>
      <c r="CX1159">
        <f>'T_TTAFStock'!CV55</f>
        <v/>
      </c>
      <c r="CY1159">
        <f>'T_TTAFStock'!CW55</f>
        <v/>
      </c>
      <c r="CZ1159">
        <f>'T_TTAFStock'!CX55</f>
        <v/>
      </c>
      <c r="DA1159">
        <f>'T_TTAFStock'!CY55</f>
        <v/>
      </c>
      <c r="DB1159">
        <f>'T_TTAFStock'!CZ55</f>
        <v/>
      </c>
      <c r="DC1159">
        <f>'T_TTAFStock'!DA55</f>
        <v/>
      </c>
    </row>
    <row r="1160">
      <c r="B1160" t="inlineStr">
        <is>
          <t>自社在庫(実績,kg)</t>
        </is>
      </c>
      <c r="D1160">
        <f>'T_SelfStock'!B55</f>
        <v/>
      </c>
      <c r="E1160">
        <f>'T_SelfStock'!C55</f>
        <v/>
      </c>
      <c r="F1160">
        <f>'T_SelfStock'!D55</f>
        <v/>
      </c>
      <c r="G1160">
        <f>'T_SelfStock'!E55</f>
        <v/>
      </c>
      <c r="H1160">
        <f>'T_SelfStock'!F55</f>
        <v/>
      </c>
      <c r="I1160">
        <f>'T_SelfStock'!G55</f>
        <v/>
      </c>
      <c r="J1160">
        <f>'T_SelfStock'!H55</f>
        <v/>
      </c>
      <c r="K1160">
        <f>'T_SelfStock'!I55</f>
        <v/>
      </c>
      <c r="L1160">
        <f>'T_SelfStock'!J55</f>
        <v/>
      </c>
      <c r="M1160">
        <f>'T_SelfStock'!K55</f>
        <v/>
      </c>
      <c r="N1160">
        <f>'T_SelfStock'!L55</f>
        <v/>
      </c>
      <c r="O1160">
        <f>'T_SelfStock'!M55</f>
        <v/>
      </c>
      <c r="P1160">
        <f>'T_SelfStock'!N55</f>
        <v/>
      </c>
      <c r="Q1160">
        <f>'T_SelfStock'!O55</f>
        <v/>
      </c>
      <c r="R1160">
        <f>'T_SelfStock'!P55</f>
        <v/>
      </c>
      <c r="S1160">
        <f>'T_SelfStock'!Q55</f>
        <v/>
      </c>
      <c r="T1160">
        <f>'T_SelfStock'!R55</f>
        <v/>
      </c>
      <c r="U1160">
        <f>'T_SelfStock'!S55</f>
        <v/>
      </c>
      <c r="V1160">
        <f>'T_SelfStock'!T55</f>
        <v/>
      </c>
      <c r="W1160">
        <f>'T_SelfStock'!U55</f>
        <v/>
      </c>
      <c r="X1160">
        <f>'T_SelfStock'!V55</f>
        <v/>
      </c>
      <c r="Y1160">
        <f>'T_SelfStock'!W55</f>
        <v/>
      </c>
      <c r="Z1160">
        <f>'T_SelfStock'!X55</f>
        <v/>
      </c>
      <c r="AA1160">
        <f>'T_SelfStock'!Y55</f>
        <v/>
      </c>
      <c r="AB1160">
        <f>'T_SelfStock'!Z55</f>
        <v/>
      </c>
      <c r="AC1160">
        <f>'T_SelfStock'!AA55</f>
        <v/>
      </c>
      <c r="AD1160">
        <f>'T_SelfStock'!AB55</f>
        <v/>
      </c>
      <c r="AE1160">
        <f>'T_SelfStock'!AC55</f>
        <v/>
      </c>
      <c r="AF1160">
        <f>'T_SelfStock'!AD55</f>
        <v/>
      </c>
      <c r="AG1160">
        <f>'T_SelfStock'!AE55</f>
        <v/>
      </c>
      <c r="AH1160">
        <f>'T_SelfStock'!AF55</f>
        <v/>
      </c>
      <c r="AI1160">
        <f>'T_SelfStock'!AG55</f>
        <v/>
      </c>
      <c r="AJ1160">
        <f>'T_SelfStock'!AH55</f>
        <v/>
      </c>
      <c r="AK1160">
        <f>'T_SelfStock'!AI55</f>
        <v/>
      </c>
      <c r="AL1160">
        <f>'T_SelfStock'!AJ55</f>
        <v/>
      </c>
      <c r="AM1160">
        <f>'T_SelfStock'!AK55</f>
        <v/>
      </c>
      <c r="AN1160">
        <f>'T_SelfStock'!AL55</f>
        <v/>
      </c>
      <c r="AO1160">
        <f>'T_SelfStock'!AM55</f>
        <v/>
      </c>
      <c r="AP1160">
        <f>'T_SelfStock'!AN55</f>
        <v/>
      </c>
      <c r="AQ1160">
        <f>'T_SelfStock'!AO55</f>
        <v/>
      </c>
      <c r="AR1160">
        <f>'T_SelfStock'!AP55</f>
        <v/>
      </c>
      <c r="AS1160">
        <f>'T_SelfStock'!AQ55</f>
        <v/>
      </c>
      <c r="AT1160">
        <f>'T_SelfStock'!AR55</f>
        <v/>
      </c>
      <c r="AU1160">
        <f>'T_SelfStock'!AS55</f>
        <v/>
      </c>
      <c r="AV1160">
        <f>'T_SelfStock'!AT55</f>
        <v/>
      </c>
      <c r="AW1160">
        <f>'T_SelfStock'!AU55</f>
        <v/>
      </c>
      <c r="AX1160">
        <f>'T_SelfStock'!AV55</f>
        <v/>
      </c>
      <c r="AY1160">
        <f>'T_SelfStock'!AW55</f>
        <v/>
      </c>
      <c r="AZ1160">
        <f>'T_SelfStock'!AX55</f>
        <v/>
      </c>
      <c r="BA1160">
        <f>'T_SelfStock'!AY55</f>
        <v/>
      </c>
      <c r="BB1160">
        <f>'T_SelfStock'!AZ55</f>
        <v/>
      </c>
      <c r="BC1160">
        <f>'T_SelfStock'!BA55</f>
        <v/>
      </c>
      <c r="BD1160">
        <f>'T_SelfStock'!BB55</f>
        <v/>
      </c>
      <c r="BE1160">
        <f>'T_SelfStock'!BC55</f>
        <v/>
      </c>
      <c r="BF1160">
        <f>'T_SelfStock'!BD55</f>
        <v/>
      </c>
      <c r="BG1160">
        <f>'T_SelfStock'!BE55</f>
        <v/>
      </c>
      <c r="BH1160">
        <f>'T_SelfStock'!BF55</f>
        <v/>
      </c>
      <c r="BI1160">
        <f>'T_SelfStock'!BG55</f>
        <v/>
      </c>
      <c r="BJ1160">
        <f>'T_SelfStock'!BH55</f>
        <v/>
      </c>
      <c r="BK1160">
        <f>'T_SelfStock'!BI55</f>
        <v/>
      </c>
      <c r="BL1160">
        <f>'T_SelfStock'!BJ55</f>
        <v/>
      </c>
      <c r="BM1160">
        <f>'T_SelfStock'!BK55</f>
        <v/>
      </c>
      <c r="BN1160">
        <f>'T_SelfStock'!BL55</f>
        <v/>
      </c>
      <c r="BO1160">
        <f>'T_SelfStock'!BM55</f>
        <v/>
      </c>
      <c r="BP1160">
        <f>'T_SelfStock'!BN55</f>
        <v/>
      </c>
      <c r="BQ1160">
        <f>'T_SelfStock'!BO55</f>
        <v/>
      </c>
      <c r="BR1160">
        <f>'T_SelfStock'!BP55</f>
        <v/>
      </c>
      <c r="BS1160">
        <f>'T_SelfStock'!BQ55</f>
        <v/>
      </c>
      <c r="BT1160">
        <f>'T_SelfStock'!BR55</f>
        <v/>
      </c>
      <c r="BU1160">
        <f>'T_SelfStock'!BS55</f>
        <v/>
      </c>
      <c r="BV1160">
        <f>'T_SelfStock'!BT55</f>
        <v/>
      </c>
      <c r="BW1160">
        <f>'T_SelfStock'!BU55</f>
        <v/>
      </c>
      <c r="BX1160">
        <f>'T_SelfStock'!BV55</f>
        <v/>
      </c>
      <c r="BY1160">
        <f>'T_SelfStock'!BW55</f>
        <v/>
      </c>
      <c r="BZ1160">
        <f>'T_SelfStock'!BX55</f>
        <v/>
      </c>
      <c r="CA1160">
        <f>'T_SelfStock'!BY55</f>
        <v/>
      </c>
      <c r="CB1160">
        <f>'T_SelfStock'!BZ55</f>
        <v/>
      </c>
      <c r="CC1160">
        <f>'T_SelfStock'!CA55</f>
        <v/>
      </c>
      <c r="CD1160">
        <f>'T_SelfStock'!CB55</f>
        <v/>
      </c>
      <c r="CE1160">
        <f>'T_SelfStock'!CC55</f>
        <v/>
      </c>
      <c r="CF1160">
        <f>'T_SelfStock'!CD55</f>
        <v/>
      </c>
      <c r="CG1160">
        <f>'T_SelfStock'!CE55</f>
        <v/>
      </c>
      <c r="CH1160">
        <f>'T_SelfStock'!CF55</f>
        <v/>
      </c>
      <c r="CI1160">
        <f>'T_SelfStock'!CG55</f>
        <v/>
      </c>
      <c r="CJ1160">
        <f>'T_SelfStock'!CH55</f>
        <v/>
      </c>
      <c r="CK1160">
        <f>'T_SelfStock'!CI55</f>
        <v/>
      </c>
      <c r="CL1160">
        <f>'T_SelfStock'!CJ55</f>
        <v/>
      </c>
      <c r="CM1160">
        <f>'T_SelfStock'!CK55</f>
        <v/>
      </c>
      <c r="CN1160">
        <f>'T_SelfStock'!CL55</f>
        <v/>
      </c>
      <c r="CO1160">
        <f>'T_SelfStock'!CM55</f>
        <v/>
      </c>
      <c r="CP1160">
        <f>'T_SelfStock'!CN55</f>
        <v/>
      </c>
      <c r="CQ1160">
        <f>'T_SelfStock'!CO55</f>
        <v/>
      </c>
      <c r="CR1160">
        <f>'T_SelfStock'!CP55</f>
        <v/>
      </c>
      <c r="CS1160">
        <f>'T_SelfStock'!CQ55</f>
        <v/>
      </c>
      <c r="CT1160">
        <f>'T_SelfStock'!CR55</f>
        <v/>
      </c>
      <c r="CU1160">
        <f>'T_SelfStock'!CS55</f>
        <v/>
      </c>
      <c r="CV1160">
        <f>'T_SelfStock'!CT55</f>
        <v/>
      </c>
      <c r="CW1160">
        <f>'T_SelfStock'!CU55</f>
        <v/>
      </c>
      <c r="CX1160">
        <f>'T_SelfStock'!CV55</f>
        <v/>
      </c>
      <c r="CY1160">
        <f>'T_SelfStock'!CW55</f>
        <v/>
      </c>
      <c r="CZ1160">
        <f>'T_SelfStock'!CX55</f>
        <v/>
      </c>
      <c r="DA1160">
        <f>'T_SelfStock'!CY55</f>
        <v/>
      </c>
      <c r="DB1160">
        <f>'T_SelfStock'!CZ55</f>
        <v/>
      </c>
      <c r="DC1160">
        <f>'T_SelfStock'!DA55</f>
        <v/>
      </c>
    </row>
    <row r="1161">
      <c r="B1161" t="inlineStr">
        <is>
          <t>Order(発注予定,kg)</t>
        </is>
      </c>
      <c r="D1161" s="23" t="n"/>
      <c r="E1161" s="23" t="n"/>
      <c r="F1161" s="23" t="n"/>
      <c r="G1161" s="23" t="n"/>
      <c r="H1161" s="23" t="n"/>
      <c r="I1161" s="23" t="n"/>
      <c r="J1161" s="23" t="n"/>
      <c r="K1161" s="23" t="n"/>
      <c r="L1161" s="23" t="n"/>
      <c r="M1161" s="23" t="n"/>
      <c r="N1161" s="23" t="n"/>
      <c r="O1161" s="23" t="n"/>
      <c r="P1161" s="23" t="n"/>
      <c r="Q1161" s="23" t="n"/>
      <c r="R1161" s="23" t="n"/>
      <c r="S1161" s="23" t="n"/>
      <c r="T1161" s="23" t="n"/>
      <c r="U1161" s="23" t="n"/>
      <c r="V1161" s="23" t="n"/>
      <c r="W1161" s="23" t="n"/>
      <c r="X1161" s="23" t="n"/>
      <c r="Y1161" s="23" t="n"/>
      <c r="Z1161" s="23" t="n"/>
      <c r="AA1161" s="23" t="n"/>
      <c r="AB1161" s="23" t="n"/>
      <c r="AC1161" s="23" t="n"/>
      <c r="AD1161" s="23" t="n"/>
      <c r="AE1161" s="23" t="n"/>
      <c r="AF1161" s="23" t="n"/>
      <c r="AG1161" s="23" t="n"/>
      <c r="AH1161" s="23" t="n"/>
      <c r="AI1161" s="23" t="n"/>
      <c r="AJ1161" s="23" t="n"/>
      <c r="AK1161" s="23" t="n"/>
      <c r="AL1161" s="23" t="n"/>
      <c r="AM1161" s="23" t="n"/>
      <c r="AN1161" s="23" t="n"/>
      <c r="AO1161" s="23" t="n"/>
      <c r="AP1161" s="23" t="n"/>
      <c r="AQ1161" s="23" t="n"/>
      <c r="AR1161" s="23" t="n"/>
      <c r="AS1161" s="23" t="n"/>
      <c r="AT1161" s="23" t="n"/>
      <c r="AU1161" s="23" t="n"/>
      <c r="AV1161" s="23" t="n"/>
      <c r="AW1161" s="23" t="n"/>
      <c r="AX1161" s="23" t="n"/>
      <c r="AY1161" s="23" t="n"/>
      <c r="AZ1161" s="23" t="n"/>
      <c r="BA1161" s="23" t="n"/>
      <c r="BB1161" s="23" t="n"/>
      <c r="BC1161" s="23" t="n"/>
      <c r="BD1161" s="23" t="n"/>
      <c r="BE1161" s="23" t="n"/>
      <c r="BF1161" s="23" t="n"/>
      <c r="BG1161" s="23" t="n"/>
      <c r="BH1161" s="23" t="n"/>
      <c r="BI1161" s="23" t="n"/>
      <c r="BJ1161" s="23" t="n"/>
      <c r="BK1161" s="23" t="n"/>
      <c r="BL1161" s="23" t="n"/>
      <c r="BM1161" s="23" t="n"/>
      <c r="BN1161" s="23" t="n"/>
      <c r="BO1161" s="23" t="n"/>
      <c r="BP1161" s="23" t="n"/>
      <c r="BQ1161" s="23" t="n"/>
      <c r="BR1161" s="23" t="n"/>
      <c r="BS1161" s="23" t="n"/>
      <c r="BT1161" s="23" t="n"/>
      <c r="BU1161" s="23" t="n"/>
      <c r="BV1161" s="23" t="n"/>
      <c r="BW1161" s="23" t="n"/>
      <c r="BX1161" s="23" t="n"/>
      <c r="BY1161" s="23" t="n"/>
      <c r="BZ1161" s="23" t="n"/>
      <c r="CA1161" s="23" t="n"/>
      <c r="CB1161" s="23" t="n"/>
      <c r="CC1161" s="23" t="n"/>
      <c r="CD1161" s="23" t="n"/>
      <c r="CE1161" s="23" t="n"/>
      <c r="CF1161" s="23" t="n"/>
      <c r="CG1161" s="23" t="n"/>
      <c r="CH1161" s="23" t="n"/>
      <c r="CI1161" s="23" t="n"/>
      <c r="CJ1161" s="23" t="n"/>
      <c r="CK1161" s="23" t="n"/>
      <c r="CL1161" s="23" t="n"/>
      <c r="CM1161" s="23" t="n"/>
      <c r="CN1161" s="23" t="n"/>
      <c r="CO1161" s="23" t="n"/>
      <c r="CP1161" s="23" t="n"/>
      <c r="CQ1161" s="23" t="n"/>
      <c r="CR1161" s="23" t="n"/>
      <c r="CS1161" s="23" t="n"/>
      <c r="CT1161" s="23" t="n"/>
      <c r="CU1161" s="23" t="n"/>
      <c r="CV1161" s="23" t="n"/>
      <c r="CW1161" s="23" t="n"/>
      <c r="CX1161" s="23" t="n"/>
      <c r="CY1161" s="23" t="n"/>
      <c r="CZ1161" s="23" t="n"/>
      <c r="DA1161" s="23" t="n"/>
      <c r="DB1161" s="23" t="n"/>
      <c r="DC1161" s="23" t="n"/>
      <c r="DE1161" s="12" t="inlineStr">
        <is>
          <t>CHEM-1850</t>
        </is>
      </c>
    </row>
    <row r="1162">
      <c r="B1162" s="5" t="inlineStr">
        <is>
          <t>合計在庫(週末時点,kg)</t>
        </is>
      </c>
      <c r="D1162">
        <f>'Grid_Stock'!B51</f>
        <v/>
      </c>
      <c r="E1162">
        <f>'Grid_Stock'!C51</f>
        <v/>
      </c>
      <c r="F1162">
        <f>'Grid_Stock'!D51</f>
        <v/>
      </c>
      <c r="G1162">
        <f>'Grid_Stock'!E51</f>
        <v/>
      </c>
      <c r="H1162">
        <f>'Grid_Stock'!F51</f>
        <v/>
      </c>
      <c r="I1162">
        <f>'Grid_Stock'!G51</f>
        <v/>
      </c>
      <c r="J1162">
        <f>'Grid_Stock'!H51</f>
        <v/>
      </c>
      <c r="K1162">
        <f>'Grid_Stock'!I51</f>
        <v/>
      </c>
      <c r="L1162">
        <f>'Grid_Stock'!J51</f>
        <v/>
      </c>
      <c r="M1162">
        <f>'Grid_Stock'!K51</f>
        <v/>
      </c>
      <c r="N1162">
        <f>'Grid_Stock'!L51</f>
        <v/>
      </c>
      <c r="O1162">
        <f>'Grid_Stock'!M51</f>
        <v/>
      </c>
      <c r="P1162">
        <f>'Grid_Stock'!N51</f>
        <v/>
      </c>
      <c r="Q1162">
        <f>'Grid_Stock'!O51</f>
        <v/>
      </c>
      <c r="R1162">
        <f>'Grid_Stock'!P51</f>
        <v/>
      </c>
      <c r="S1162">
        <f>'Grid_Stock'!Q51</f>
        <v/>
      </c>
      <c r="T1162">
        <f>'Grid_Stock'!R51</f>
        <v/>
      </c>
      <c r="U1162">
        <f>'Grid_Stock'!S51</f>
        <v/>
      </c>
      <c r="V1162">
        <f>'Grid_Stock'!T51</f>
        <v/>
      </c>
      <c r="W1162">
        <f>'Grid_Stock'!U51</f>
        <v/>
      </c>
      <c r="X1162">
        <f>'Grid_Stock'!V51</f>
        <v/>
      </c>
      <c r="Y1162">
        <f>'Grid_Stock'!W51</f>
        <v/>
      </c>
      <c r="Z1162">
        <f>'Grid_Stock'!X51</f>
        <v/>
      </c>
      <c r="AA1162">
        <f>'Grid_Stock'!Y51</f>
        <v/>
      </c>
      <c r="AB1162">
        <f>'Grid_Stock'!Z51</f>
        <v/>
      </c>
      <c r="AC1162">
        <f>'Grid_Stock'!AA51</f>
        <v/>
      </c>
      <c r="AD1162">
        <f>'Grid_Stock'!AB51</f>
        <v/>
      </c>
      <c r="AE1162">
        <f>'Grid_Stock'!AC51</f>
        <v/>
      </c>
      <c r="AF1162">
        <f>'Grid_Stock'!AD51</f>
        <v/>
      </c>
      <c r="AG1162">
        <f>'Grid_Stock'!AE51</f>
        <v/>
      </c>
      <c r="AH1162">
        <f>'Grid_Stock'!AF51</f>
        <v/>
      </c>
      <c r="AI1162">
        <f>'Grid_Stock'!AG51</f>
        <v/>
      </c>
      <c r="AJ1162">
        <f>'Grid_Stock'!AH51</f>
        <v/>
      </c>
      <c r="AK1162">
        <f>'Grid_Stock'!AI51</f>
        <v/>
      </c>
      <c r="AL1162">
        <f>'Grid_Stock'!AJ51</f>
        <v/>
      </c>
      <c r="AM1162">
        <f>'Grid_Stock'!AK51</f>
        <v/>
      </c>
      <c r="AN1162">
        <f>'Grid_Stock'!AL51</f>
        <v/>
      </c>
      <c r="AO1162">
        <f>'Grid_Stock'!AM51</f>
        <v/>
      </c>
      <c r="AP1162">
        <f>'Grid_Stock'!AN51</f>
        <v/>
      </c>
      <c r="AQ1162">
        <f>'Grid_Stock'!AO51</f>
        <v/>
      </c>
      <c r="AR1162">
        <f>'Grid_Stock'!AP51</f>
        <v/>
      </c>
      <c r="AS1162">
        <f>'Grid_Stock'!AQ51</f>
        <v/>
      </c>
      <c r="AT1162">
        <f>'Grid_Stock'!AR51</f>
        <v/>
      </c>
      <c r="AU1162">
        <f>'Grid_Stock'!AS51</f>
        <v/>
      </c>
      <c r="AV1162">
        <f>'Grid_Stock'!AT51</f>
        <v/>
      </c>
      <c r="AW1162">
        <f>'Grid_Stock'!AU51</f>
        <v/>
      </c>
      <c r="AX1162">
        <f>'Grid_Stock'!AV51</f>
        <v/>
      </c>
      <c r="AY1162">
        <f>'Grid_Stock'!AW51</f>
        <v/>
      </c>
      <c r="AZ1162">
        <f>'Grid_Stock'!AX51</f>
        <v/>
      </c>
      <c r="BA1162">
        <f>'Grid_Stock'!AY51</f>
        <v/>
      </c>
      <c r="BB1162">
        <f>'Grid_Stock'!AZ51</f>
        <v/>
      </c>
      <c r="BC1162">
        <f>'Grid_Stock'!BA51</f>
        <v/>
      </c>
      <c r="BD1162">
        <f>'Grid_Stock'!BB51</f>
        <v/>
      </c>
      <c r="BE1162">
        <f>'Grid_Stock'!BC51</f>
        <v/>
      </c>
      <c r="BF1162">
        <f>'Grid_Stock'!BD51</f>
        <v/>
      </c>
      <c r="BG1162">
        <f>'Grid_Stock'!BE51</f>
        <v/>
      </c>
      <c r="BH1162">
        <f>'Grid_Stock'!BF51</f>
        <v/>
      </c>
      <c r="BI1162">
        <f>'Grid_Stock'!BG51</f>
        <v/>
      </c>
      <c r="BJ1162">
        <f>'Grid_Stock'!BH51</f>
        <v/>
      </c>
      <c r="BK1162">
        <f>'Grid_Stock'!BI51</f>
        <v/>
      </c>
      <c r="BL1162">
        <f>'Grid_Stock'!BJ51</f>
        <v/>
      </c>
      <c r="BM1162">
        <f>'Grid_Stock'!BK51</f>
        <v/>
      </c>
      <c r="BN1162">
        <f>'Grid_Stock'!BL51</f>
        <v/>
      </c>
      <c r="BO1162">
        <f>'Grid_Stock'!BM51</f>
        <v/>
      </c>
      <c r="BP1162">
        <f>'Grid_Stock'!BN51</f>
        <v/>
      </c>
      <c r="BQ1162">
        <f>'Grid_Stock'!BO51</f>
        <v/>
      </c>
      <c r="BR1162">
        <f>'Grid_Stock'!BP51</f>
        <v/>
      </c>
      <c r="BS1162">
        <f>'Grid_Stock'!BQ51</f>
        <v/>
      </c>
      <c r="BT1162">
        <f>'Grid_Stock'!BR51</f>
        <v/>
      </c>
      <c r="BU1162">
        <f>'Grid_Stock'!BS51</f>
        <v/>
      </c>
      <c r="BV1162">
        <f>'Grid_Stock'!BT51</f>
        <v/>
      </c>
      <c r="BW1162">
        <f>'Grid_Stock'!BU51</f>
        <v/>
      </c>
      <c r="BX1162">
        <f>'Grid_Stock'!BV51</f>
        <v/>
      </c>
      <c r="BY1162">
        <f>'Grid_Stock'!BW51</f>
        <v/>
      </c>
      <c r="BZ1162">
        <f>'Grid_Stock'!BX51</f>
        <v/>
      </c>
      <c r="CA1162">
        <f>'Grid_Stock'!BY51</f>
        <v/>
      </c>
      <c r="CB1162">
        <f>'Grid_Stock'!BZ51</f>
        <v/>
      </c>
      <c r="CC1162">
        <f>'Grid_Stock'!CA51</f>
        <v/>
      </c>
      <c r="CD1162">
        <f>'Grid_Stock'!CB51</f>
        <v/>
      </c>
      <c r="CE1162">
        <f>'Grid_Stock'!CC51</f>
        <v/>
      </c>
      <c r="CF1162">
        <f>'Grid_Stock'!CD51</f>
        <v/>
      </c>
      <c r="CG1162">
        <f>'Grid_Stock'!CE51</f>
        <v/>
      </c>
      <c r="CH1162">
        <f>'Grid_Stock'!CF51</f>
        <v/>
      </c>
      <c r="CI1162">
        <f>'Grid_Stock'!CG51</f>
        <v/>
      </c>
      <c r="CJ1162">
        <f>'Grid_Stock'!CH51</f>
        <v/>
      </c>
      <c r="CK1162">
        <f>'Grid_Stock'!CI51</f>
        <v/>
      </c>
      <c r="CL1162">
        <f>'Grid_Stock'!CJ51</f>
        <v/>
      </c>
      <c r="CM1162">
        <f>'Grid_Stock'!CK51</f>
        <v/>
      </c>
      <c r="CN1162">
        <f>'Grid_Stock'!CL51</f>
        <v/>
      </c>
      <c r="CO1162">
        <f>'Grid_Stock'!CM51</f>
        <v/>
      </c>
      <c r="CP1162">
        <f>'Grid_Stock'!CN51</f>
        <v/>
      </c>
      <c r="CQ1162">
        <f>'Grid_Stock'!CO51</f>
        <v/>
      </c>
      <c r="CR1162">
        <f>'Grid_Stock'!CP51</f>
        <v/>
      </c>
      <c r="CS1162">
        <f>'Grid_Stock'!CQ51</f>
        <v/>
      </c>
      <c r="CT1162">
        <f>'Grid_Stock'!CR51</f>
        <v/>
      </c>
      <c r="CU1162">
        <f>'Grid_Stock'!CS51</f>
        <v/>
      </c>
      <c r="CV1162">
        <f>'Grid_Stock'!CT51</f>
        <v/>
      </c>
      <c r="CW1162">
        <f>'Grid_Stock'!CU51</f>
        <v/>
      </c>
      <c r="CX1162">
        <f>'Grid_Stock'!CV51</f>
        <v/>
      </c>
      <c r="CY1162">
        <f>'Grid_Stock'!CW51</f>
        <v/>
      </c>
      <c r="CZ1162">
        <f>'Grid_Stock'!CX51</f>
        <v/>
      </c>
      <c r="DA1162">
        <f>'Grid_Stock'!CY51</f>
        <v/>
      </c>
      <c r="DB1162">
        <f>'Grid_Stock'!CZ51</f>
        <v/>
      </c>
      <c r="DC1162">
        <f>'Grid_Stock'!DA51</f>
        <v/>
      </c>
    </row>
    <row r="1163">
      <c r="B1163" s="24" t="inlineStr">
        <is>
          <t>（発注の目安はDashboardの基準在庫[下限/上限]と色分けを参照）</t>
        </is>
      </c>
    </row>
    <row r="1165">
      <c r="A1165" s="21" t="inlineStr">
        <is>
          <t>Ester Film</t>
        </is>
      </c>
      <c r="B1165" s="21" t="inlineStr">
        <is>
          <t>Ester Film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Ester Film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5" t="inlineStr">
        <is>
          <t>合計使用量(kg)/週</t>
        </is>
      </c>
      <c r="D1168">
        <f>'Grid_Requirement'!B53</f>
        <v/>
      </c>
      <c r="E1168">
        <f>'Grid_Requirement'!C53</f>
        <v/>
      </c>
      <c r="F1168">
        <f>'Grid_Requirement'!D53</f>
        <v/>
      </c>
      <c r="G1168">
        <f>'Grid_Requirement'!E53</f>
        <v/>
      </c>
      <c r="H1168">
        <f>'Grid_Requirement'!F53</f>
        <v/>
      </c>
      <c r="I1168">
        <f>'Grid_Requirement'!G53</f>
        <v/>
      </c>
      <c r="J1168">
        <f>'Grid_Requirement'!H53</f>
        <v/>
      </c>
      <c r="K1168">
        <f>'Grid_Requirement'!I53</f>
        <v/>
      </c>
      <c r="L1168">
        <f>'Grid_Requirement'!J53</f>
        <v/>
      </c>
      <c r="M1168">
        <f>'Grid_Requirement'!K53</f>
        <v/>
      </c>
      <c r="N1168">
        <f>'Grid_Requirement'!L53</f>
        <v/>
      </c>
      <c r="O1168">
        <f>'Grid_Requirement'!M53</f>
        <v/>
      </c>
      <c r="P1168">
        <f>'Grid_Requirement'!N53</f>
        <v/>
      </c>
      <c r="Q1168">
        <f>'Grid_Requirement'!O53</f>
        <v/>
      </c>
      <c r="R1168">
        <f>'Grid_Requirement'!P53</f>
        <v/>
      </c>
      <c r="S1168">
        <f>'Grid_Requirement'!Q53</f>
        <v/>
      </c>
      <c r="T1168">
        <f>'Grid_Requirement'!R53</f>
        <v/>
      </c>
      <c r="U1168">
        <f>'Grid_Requirement'!S53</f>
        <v/>
      </c>
      <c r="V1168">
        <f>'Grid_Requirement'!T53</f>
        <v/>
      </c>
      <c r="W1168">
        <f>'Grid_Requirement'!U53</f>
        <v/>
      </c>
      <c r="X1168">
        <f>'Grid_Requirement'!V53</f>
        <v/>
      </c>
      <c r="Y1168">
        <f>'Grid_Requirement'!W53</f>
        <v/>
      </c>
      <c r="Z1168">
        <f>'Grid_Requirement'!X53</f>
        <v/>
      </c>
      <c r="AA1168">
        <f>'Grid_Requirement'!Y53</f>
        <v/>
      </c>
      <c r="AB1168">
        <f>'Grid_Requirement'!Z53</f>
        <v/>
      </c>
      <c r="AC1168">
        <f>'Grid_Requirement'!AA53</f>
        <v/>
      </c>
      <c r="AD1168">
        <f>'Grid_Requirement'!AB53</f>
        <v/>
      </c>
      <c r="AE1168">
        <f>'Grid_Requirement'!AC53</f>
        <v/>
      </c>
      <c r="AF1168">
        <f>'Grid_Requirement'!AD53</f>
        <v/>
      </c>
      <c r="AG1168">
        <f>'Grid_Requirement'!AE53</f>
        <v/>
      </c>
      <c r="AH1168">
        <f>'Grid_Requirement'!AF53</f>
        <v/>
      </c>
      <c r="AI1168">
        <f>'Grid_Requirement'!AG53</f>
        <v/>
      </c>
      <c r="AJ1168">
        <f>'Grid_Requirement'!AH53</f>
        <v/>
      </c>
      <c r="AK1168">
        <f>'Grid_Requirement'!AI53</f>
        <v/>
      </c>
      <c r="AL1168">
        <f>'Grid_Requirement'!AJ53</f>
        <v/>
      </c>
      <c r="AM1168">
        <f>'Grid_Requirement'!AK53</f>
        <v/>
      </c>
      <c r="AN1168">
        <f>'Grid_Requirement'!AL53</f>
        <v/>
      </c>
      <c r="AO1168">
        <f>'Grid_Requirement'!AM53</f>
        <v/>
      </c>
      <c r="AP1168">
        <f>'Grid_Requirement'!AN53</f>
        <v/>
      </c>
      <c r="AQ1168">
        <f>'Grid_Requirement'!AO53</f>
        <v/>
      </c>
      <c r="AR1168">
        <f>'Grid_Requirement'!AP53</f>
        <v/>
      </c>
      <c r="AS1168">
        <f>'Grid_Requirement'!AQ53</f>
        <v/>
      </c>
      <c r="AT1168">
        <f>'Grid_Requirement'!AR53</f>
        <v/>
      </c>
      <c r="AU1168">
        <f>'Grid_Requirement'!AS53</f>
        <v/>
      </c>
      <c r="AV1168">
        <f>'Grid_Requirement'!AT53</f>
        <v/>
      </c>
      <c r="AW1168">
        <f>'Grid_Requirement'!AU53</f>
        <v/>
      </c>
      <c r="AX1168">
        <f>'Grid_Requirement'!AV53</f>
        <v/>
      </c>
      <c r="AY1168">
        <f>'Grid_Requirement'!AW53</f>
        <v/>
      </c>
      <c r="AZ1168">
        <f>'Grid_Requirement'!AX53</f>
        <v/>
      </c>
      <c r="BA1168">
        <f>'Grid_Requirement'!AY53</f>
        <v/>
      </c>
      <c r="BB1168">
        <f>'Grid_Requirement'!AZ53</f>
        <v/>
      </c>
      <c r="BC1168">
        <f>'Grid_Requirement'!BA53</f>
        <v/>
      </c>
      <c r="BD1168">
        <f>'Grid_Requirement'!BB53</f>
        <v/>
      </c>
      <c r="BE1168">
        <f>'Grid_Requirement'!BC53</f>
        <v/>
      </c>
      <c r="BF1168">
        <f>'Grid_Requirement'!BD53</f>
        <v/>
      </c>
      <c r="BG1168">
        <f>'Grid_Requirement'!BE53</f>
        <v/>
      </c>
      <c r="BH1168">
        <f>'Grid_Requirement'!BF53</f>
        <v/>
      </c>
      <c r="BI1168">
        <f>'Grid_Requirement'!BG53</f>
        <v/>
      </c>
      <c r="BJ1168">
        <f>'Grid_Requirement'!BH53</f>
        <v/>
      </c>
      <c r="BK1168">
        <f>'Grid_Requirement'!BI53</f>
        <v/>
      </c>
      <c r="BL1168">
        <f>'Grid_Requirement'!BJ53</f>
        <v/>
      </c>
      <c r="BM1168">
        <f>'Grid_Requirement'!BK53</f>
        <v/>
      </c>
      <c r="BN1168">
        <f>'Grid_Requirement'!BL53</f>
        <v/>
      </c>
      <c r="BO1168">
        <f>'Grid_Requirement'!BM53</f>
        <v/>
      </c>
      <c r="BP1168">
        <f>'Grid_Requirement'!BN53</f>
        <v/>
      </c>
      <c r="BQ1168">
        <f>'Grid_Requirement'!BO53</f>
        <v/>
      </c>
      <c r="BR1168">
        <f>'Grid_Requirement'!BP53</f>
        <v/>
      </c>
      <c r="BS1168">
        <f>'Grid_Requirement'!BQ53</f>
        <v/>
      </c>
      <c r="BT1168">
        <f>'Grid_Requirement'!BR53</f>
        <v/>
      </c>
      <c r="BU1168">
        <f>'Grid_Requirement'!BS53</f>
        <v/>
      </c>
      <c r="BV1168">
        <f>'Grid_Requirement'!BT53</f>
        <v/>
      </c>
      <c r="BW1168">
        <f>'Grid_Requirement'!BU53</f>
        <v/>
      </c>
      <c r="BX1168">
        <f>'Grid_Requirement'!BV53</f>
        <v/>
      </c>
      <c r="BY1168">
        <f>'Grid_Requirement'!BW53</f>
        <v/>
      </c>
      <c r="BZ1168">
        <f>'Grid_Requirement'!BX53</f>
        <v/>
      </c>
      <c r="CA1168">
        <f>'Grid_Requirement'!BY53</f>
        <v/>
      </c>
      <c r="CB1168">
        <f>'Grid_Requirement'!BZ53</f>
        <v/>
      </c>
      <c r="CC1168">
        <f>'Grid_Requirement'!CA53</f>
        <v/>
      </c>
      <c r="CD1168">
        <f>'Grid_Requirement'!CB53</f>
        <v/>
      </c>
      <c r="CE1168">
        <f>'Grid_Requirement'!CC53</f>
        <v/>
      </c>
      <c r="CF1168">
        <f>'Grid_Requirement'!CD53</f>
        <v/>
      </c>
      <c r="CG1168">
        <f>'Grid_Requirement'!CE53</f>
        <v/>
      </c>
      <c r="CH1168">
        <f>'Grid_Requirement'!CF53</f>
        <v/>
      </c>
      <c r="CI1168">
        <f>'Grid_Requirement'!CG53</f>
        <v/>
      </c>
      <c r="CJ1168">
        <f>'Grid_Requirement'!CH53</f>
        <v/>
      </c>
      <c r="CK1168">
        <f>'Grid_Requirement'!CI53</f>
        <v/>
      </c>
      <c r="CL1168">
        <f>'Grid_Requirement'!CJ53</f>
        <v/>
      </c>
      <c r="CM1168">
        <f>'Grid_Requirement'!CK53</f>
        <v/>
      </c>
      <c r="CN1168">
        <f>'Grid_Requirement'!CL53</f>
        <v/>
      </c>
      <c r="CO1168">
        <f>'Grid_Requirement'!CM53</f>
        <v/>
      </c>
      <c r="CP1168">
        <f>'Grid_Requirement'!CN53</f>
        <v/>
      </c>
      <c r="CQ1168">
        <f>'Grid_Requirement'!CO53</f>
        <v/>
      </c>
      <c r="CR1168">
        <f>'Grid_Requirement'!CP53</f>
        <v/>
      </c>
      <c r="CS1168">
        <f>'Grid_Requirement'!CQ53</f>
        <v/>
      </c>
      <c r="CT1168">
        <f>'Grid_Requirement'!CR53</f>
        <v/>
      </c>
      <c r="CU1168">
        <f>'Grid_Requirement'!CS53</f>
        <v/>
      </c>
      <c r="CV1168">
        <f>'Grid_Requirement'!CT53</f>
        <v/>
      </c>
      <c r="CW1168">
        <f>'Grid_Requirement'!CU53</f>
        <v/>
      </c>
      <c r="CX1168">
        <f>'Grid_Requirement'!CV53</f>
        <v/>
      </c>
      <c r="CY1168">
        <f>'Grid_Requirement'!CW53</f>
        <v/>
      </c>
      <c r="CZ1168">
        <f>'Grid_Requirement'!CX53</f>
        <v/>
      </c>
      <c r="DA1168">
        <f>'Grid_Requirement'!CY53</f>
        <v/>
      </c>
      <c r="DB1168">
        <f>'Grid_Requirement'!CZ53</f>
        <v/>
      </c>
      <c r="DC1168">
        <f>'Grid_Requirement'!DA53</f>
        <v/>
      </c>
    </row>
    <row r="1169">
      <c r="B1169" t="inlineStr">
        <is>
          <t>TTAF在庫(実績,kg)</t>
        </is>
      </c>
      <c r="D1169">
        <f>'T_TTAFStock'!B57</f>
        <v/>
      </c>
      <c r="E1169">
        <f>'T_TTAFStock'!C57</f>
        <v/>
      </c>
      <c r="F1169">
        <f>'T_TTAFStock'!D57</f>
        <v/>
      </c>
      <c r="G1169">
        <f>'T_TTAFStock'!E57</f>
        <v/>
      </c>
      <c r="H1169">
        <f>'T_TTAFStock'!F57</f>
        <v/>
      </c>
      <c r="I1169">
        <f>'T_TTAFStock'!G57</f>
        <v/>
      </c>
      <c r="J1169">
        <f>'T_TTAFStock'!H57</f>
        <v/>
      </c>
      <c r="K1169">
        <f>'T_TTAFStock'!I57</f>
        <v/>
      </c>
      <c r="L1169">
        <f>'T_TTAFStock'!J57</f>
        <v/>
      </c>
      <c r="M1169">
        <f>'T_TTAFStock'!K57</f>
        <v/>
      </c>
      <c r="N1169">
        <f>'T_TTAFStock'!L57</f>
        <v/>
      </c>
      <c r="O1169">
        <f>'T_TTAFStock'!M57</f>
        <v/>
      </c>
      <c r="P1169">
        <f>'T_TTAFStock'!N57</f>
        <v/>
      </c>
      <c r="Q1169">
        <f>'T_TTAFStock'!O57</f>
        <v/>
      </c>
      <c r="R1169">
        <f>'T_TTAFStock'!P57</f>
        <v/>
      </c>
      <c r="S1169">
        <f>'T_TTAFStock'!Q57</f>
        <v/>
      </c>
      <c r="T1169">
        <f>'T_TTAFStock'!R57</f>
        <v/>
      </c>
      <c r="U1169">
        <f>'T_TTAFStock'!S57</f>
        <v/>
      </c>
      <c r="V1169">
        <f>'T_TTAFStock'!T57</f>
        <v/>
      </c>
      <c r="W1169">
        <f>'T_TTAFStock'!U57</f>
        <v/>
      </c>
      <c r="X1169">
        <f>'T_TTAFStock'!V57</f>
        <v/>
      </c>
      <c r="Y1169">
        <f>'T_TTAFStock'!W57</f>
        <v/>
      </c>
      <c r="Z1169">
        <f>'T_TTAFStock'!X57</f>
        <v/>
      </c>
      <c r="AA1169">
        <f>'T_TTAFStock'!Y57</f>
        <v/>
      </c>
      <c r="AB1169">
        <f>'T_TTAFStock'!Z57</f>
        <v/>
      </c>
      <c r="AC1169">
        <f>'T_TTAFStock'!AA57</f>
        <v/>
      </c>
      <c r="AD1169">
        <f>'T_TTAFStock'!AB57</f>
        <v/>
      </c>
      <c r="AE1169">
        <f>'T_TTAFStock'!AC57</f>
        <v/>
      </c>
      <c r="AF1169">
        <f>'T_TTAFStock'!AD57</f>
        <v/>
      </c>
      <c r="AG1169">
        <f>'T_TTAFStock'!AE57</f>
        <v/>
      </c>
      <c r="AH1169">
        <f>'T_TTAFStock'!AF57</f>
        <v/>
      </c>
      <c r="AI1169">
        <f>'T_TTAFStock'!AG57</f>
        <v/>
      </c>
      <c r="AJ1169">
        <f>'T_TTAFStock'!AH57</f>
        <v/>
      </c>
      <c r="AK1169">
        <f>'T_TTAFStock'!AI57</f>
        <v/>
      </c>
      <c r="AL1169">
        <f>'T_TTAFStock'!AJ57</f>
        <v/>
      </c>
      <c r="AM1169">
        <f>'T_TTAFStock'!AK57</f>
        <v/>
      </c>
      <c r="AN1169">
        <f>'T_TTAFStock'!AL57</f>
        <v/>
      </c>
      <c r="AO1169">
        <f>'T_TTAFStock'!AM57</f>
        <v/>
      </c>
      <c r="AP1169">
        <f>'T_TTAFStock'!AN57</f>
        <v/>
      </c>
      <c r="AQ1169">
        <f>'T_TTAFStock'!AO57</f>
        <v/>
      </c>
      <c r="AR1169">
        <f>'T_TTAFStock'!AP57</f>
        <v/>
      </c>
      <c r="AS1169">
        <f>'T_TTAFStock'!AQ57</f>
        <v/>
      </c>
      <c r="AT1169">
        <f>'T_TTAFStock'!AR57</f>
        <v/>
      </c>
      <c r="AU1169">
        <f>'T_TTAFStock'!AS57</f>
        <v/>
      </c>
      <c r="AV1169">
        <f>'T_TTAFStock'!AT57</f>
        <v/>
      </c>
      <c r="AW1169">
        <f>'T_TTAFStock'!AU57</f>
        <v/>
      </c>
      <c r="AX1169">
        <f>'T_TTAFStock'!AV57</f>
        <v/>
      </c>
      <c r="AY1169">
        <f>'T_TTAFStock'!AW57</f>
        <v/>
      </c>
      <c r="AZ1169">
        <f>'T_TTAFStock'!AX57</f>
        <v/>
      </c>
      <c r="BA1169">
        <f>'T_TTAFStock'!AY57</f>
        <v/>
      </c>
      <c r="BB1169">
        <f>'T_TTAFStock'!AZ57</f>
        <v/>
      </c>
      <c r="BC1169">
        <f>'T_TTAFStock'!BA57</f>
        <v/>
      </c>
      <c r="BD1169">
        <f>'T_TTAFStock'!BB57</f>
        <v/>
      </c>
      <c r="BE1169">
        <f>'T_TTAFStock'!BC57</f>
        <v/>
      </c>
      <c r="BF1169">
        <f>'T_TTAFStock'!BD57</f>
        <v/>
      </c>
      <c r="BG1169">
        <f>'T_TTAFStock'!BE57</f>
        <v/>
      </c>
      <c r="BH1169">
        <f>'T_TTAFStock'!BF57</f>
        <v/>
      </c>
      <c r="BI1169">
        <f>'T_TTAFStock'!BG57</f>
        <v/>
      </c>
      <c r="BJ1169">
        <f>'T_TTAFStock'!BH57</f>
        <v/>
      </c>
      <c r="BK1169">
        <f>'T_TTAFStock'!BI57</f>
        <v/>
      </c>
      <c r="BL1169">
        <f>'T_TTAFStock'!BJ57</f>
        <v/>
      </c>
      <c r="BM1169">
        <f>'T_TTAFStock'!BK57</f>
        <v/>
      </c>
      <c r="BN1169">
        <f>'T_TTAFStock'!BL57</f>
        <v/>
      </c>
      <c r="BO1169">
        <f>'T_TTAFStock'!BM57</f>
        <v/>
      </c>
      <c r="BP1169">
        <f>'T_TTAFStock'!BN57</f>
        <v/>
      </c>
      <c r="BQ1169">
        <f>'T_TTAFStock'!BO57</f>
        <v/>
      </c>
      <c r="BR1169">
        <f>'T_TTAFStock'!BP57</f>
        <v/>
      </c>
      <c r="BS1169">
        <f>'T_TTAFStock'!BQ57</f>
        <v/>
      </c>
      <c r="BT1169">
        <f>'T_TTAFStock'!BR57</f>
        <v/>
      </c>
      <c r="BU1169">
        <f>'T_TTAFStock'!BS57</f>
        <v/>
      </c>
      <c r="BV1169">
        <f>'T_TTAFStock'!BT57</f>
        <v/>
      </c>
      <c r="BW1169">
        <f>'T_TTAFStock'!BU57</f>
        <v/>
      </c>
      <c r="BX1169">
        <f>'T_TTAFStock'!BV57</f>
        <v/>
      </c>
      <c r="BY1169">
        <f>'T_TTAFStock'!BW57</f>
        <v/>
      </c>
      <c r="BZ1169">
        <f>'T_TTAFStock'!BX57</f>
        <v/>
      </c>
      <c r="CA1169">
        <f>'T_TTAFStock'!BY57</f>
        <v/>
      </c>
      <c r="CB1169">
        <f>'T_TTAFStock'!BZ57</f>
        <v/>
      </c>
      <c r="CC1169">
        <f>'T_TTAFStock'!CA57</f>
        <v/>
      </c>
      <c r="CD1169">
        <f>'T_TTAFStock'!CB57</f>
        <v/>
      </c>
      <c r="CE1169">
        <f>'T_TTAFStock'!CC57</f>
        <v/>
      </c>
      <c r="CF1169">
        <f>'T_TTAFStock'!CD57</f>
        <v/>
      </c>
      <c r="CG1169">
        <f>'T_TTAFStock'!CE57</f>
        <v/>
      </c>
      <c r="CH1169">
        <f>'T_TTAFStock'!CF57</f>
        <v/>
      </c>
      <c r="CI1169">
        <f>'T_TTAFStock'!CG57</f>
        <v/>
      </c>
      <c r="CJ1169">
        <f>'T_TTAFStock'!CH57</f>
        <v/>
      </c>
      <c r="CK1169">
        <f>'T_TTAFStock'!CI57</f>
        <v/>
      </c>
      <c r="CL1169">
        <f>'T_TTAFStock'!CJ57</f>
        <v/>
      </c>
      <c r="CM1169">
        <f>'T_TTAFStock'!CK57</f>
        <v/>
      </c>
      <c r="CN1169">
        <f>'T_TTAFStock'!CL57</f>
        <v/>
      </c>
      <c r="CO1169">
        <f>'T_TTAFStock'!CM57</f>
        <v/>
      </c>
      <c r="CP1169">
        <f>'T_TTAFStock'!CN57</f>
        <v/>
      </c>
      <c r="CQ1169">
        <f>'T_TTAFStock'!CO57</f>
        <v/>
      </c>
      <c r="CR1169">
        <f>'T_TTAFStock'!CP57</f>
        <v/>
      </c>
      <c r="CS1169">
        <f>'T_TTAFStock'!CQ57</f>
        <v/>
      </c>
      <c r="CT1169">
        <f>'T_TTAFStock'!CR57</f>
        <v/>
      </c>
      <c r="CU1169">
        <f>'T_TTAFStock'!CS57</f>
        <v/>
      </c>
      <c r="CV1169">
        <f>'T_TTAFStock'!CT57</f>
        <v/>
      </c>
      <c r="CW1169">
        <f>'T_TTAFStock'!CU57</f>
        <v/>
      </c>
      <c r="CX1169">
        <f>'T_TTAFStock'!CV57</f>
        <v/>
      </c>
      <c r="CY1169">
        <f>'T_TTAFStock'!CW57</f>
        <v/>
      </c>
      <c r="CZ1169">
        <f>'T_TTAFStock'!CX57</f>
        <v/>
      </c>
      <c r="DA1169">
        <f>'T_TTAFStock'!CY57</f>
        <v/>
      </c>
      <c r="DB1169">
        <f>'T_TTAFStock'!CZ57</f>
        <v/>
      </c>
      <c r="DC1169">
        <f>'T_TTAFStock'!DA57</f>
        <v/>
      </c>
    </row>
    <row r="1170">
      <c r="B1170" t="inlineStr">
        <is>
          <t>自社在庫(実績,kg)</t>
        </is>
      </c>
      <c r="D1170">
        <f>'T_SelfStock'!B57</f>
        <v/>
      </c>
      <c r="E1170">
        <f>'T_SelfStock'!C57</f>
        <v/>
      </c>
      <c r="F1170">
        <f>'T_SelfStock'!D57</f>
        <v/>
      </c>
      <c r="G1170">
        <f>'T_SelfStock'!E57</f>
        <v/>
      </c>
      <c r="H1170">
        <f>'T_SelfStock'!F57</f>
        <v/>
      </c>
      <c r="I1170">
        <f>'T_SelfStock'!G57</f>
        <v/>
      </c>
      <c r="J1170">
        <f>'T_SelfStock'!H57</f>
        <v/>
      </c>
      <c r="K1170">
        <f>'T_SelfStock'!I57</f>
        <v/>
      </c>
      <c r="L1170">
        <f>'T_SelfStock'!J57</f>
        <v/>
      </c>
      <c r="M1170">
        <f>'T_SelfStock'!K57</f>
        <v/>
      </c>
      <c r="N1170">
        <f>'T_SelfStock'!L57</f>
        <v/>
      </c>
      <c r="O1170">
        <f>'T_SelfStock'!M57</f>
        <v/>
      </c>
      <c r="P1170">
        <f>'T_SelfStock'!N57</f>
        <v/>
      </c>
      <c r="Q1170">
        <f>'T_SelfStock'!O57</f>
        <v/>
      </c>
      <c r="R1170">
        <f>'T_SelfStock'!P57</f>
        <v/>
      </c>
      <c r="S1170">
        <f>'T_SelfStock'!Q57</f>
        <v/>
      </c>
      <c r="T1170">
        <f>'T_SelfStock'!R57</f>
        <v/>
      </c>
      <c r="U1170">
        <f>'T_SelfStock'!S57</f>
        <v/>
      </c>
      <c r="V1170">
        <f>'T_SelfStock'!T57</f>
        <v/>
      </c>
      <c r="W1170">
        <f>'T_SelfStock'!U57</f>
        <v/>
      </c>
      <c r="X1170">
        <f>'T_SelfStock'!V57</f>
        <v/>
      </c>
      <c r="Y1170">
        <f>'T_SelfStock'!W57</f>
        <v/>
      </c>
      <c r="Z1170">
        <f>'T_SelfStock'!X57</f>
        <v/>
      </c>
      <c r="AA1170">
        <f>'T_SelfStock'!Y57</f>
        <v/>
      </c>
      <c r="AB1170">
        <f>'T_SelfStock'!Z57</f>
        <v/>
      </c>
      <c r="AC1170">
        <f>'T_SelfStock'!AA57</f>
        <v/>
      </c>
      <c r="AD1170">
        <f>'T_SelfStock'!AB57</f>
        <v/>
      </c>
      <c r="AE1170">
        <f>'T_SelfStock'!AC57</f>
        <v/>
      </c>
      <c r="AF1170">
        <f>'T_SelfStock'!AD57</f>
        <v/>
      </c>
      <c r="AG1170">
        <f>'T_SelfStock'!AE57</f>
        <v/>
      </c>
      <c r="AH1170">
        <f>'T_SelfStock'!AF57</f>
        <v/>
      </c>
      <c r="AI1170">
        <f>'T_SelfStock'!AG57</f>
        <v/>
      </c>
      <c r="AJ1170">
        <f>'T_SelfStock'!AH57</f>
        <v/>
      </c>
      <c r="AK1170">
        <f>'T_SelfStock'!AI57</f>
        <v/>
      </c>
      <c r="AL1170">
        <f>'T_SelfStock'!AJ57</f>
        <v/>
      </c>
      <c r="AM1170">
        <f>'T_SelfStock'!AK57</f>
        <v/>
      </c>
      <c r="AN1170">
        <f>'T_SelfStock'!AL57</f>
        <v/>
      </c>
      <c r="AO1170">
        <f>'T_SelfStock'!AM57</f>
        <v/>
      </c>
      <c r="AP1170">
        <f>'T_SelfStock'!AN57</f>
        <v/>
      </c>
      <c r="AQ1170">
        <f>'T_SelfStock'!AO57</f>
        <v/>
      </c>
      <c r="AR1170">
        <f>'T_SelfStock'!AP57</f>
        <v/>
      </c>
      <c r="AS1170">
        <f>'T_SelfStock'!AQ57</f>
        <v/>
      </c>
      <c r="AT1170">
        <f>'T_SelfStock'!AR57</f>
        <v/>
      </c>
      <c r="AU1170">
        <f>'T_SelfStock'!AS57</f>
        <v/>
      </c>
      <c r="AV1170">
        <f>'T_SelfStock'!AT57</f>
        <v/>
      </c>
      <c r="AW1170">
        <f>'T_SelfStock'!AU57</f>
        <v/>
      </c>
      <c r="AX1170">
        <f>'T_SelfStock'!AV57</f>
        <v/>
      </c>
      <c r="AY1170">
        <f>'T_SelfStock'!AW57</f>
        <v/>
      </c>
      <c r="AZ1170">
        <f>'T_SelfStock'!AX57</f>
        <v/>
      </c>
      <c r="BA1170">
        <f>'T_SelfStock'!AY57</f>
        <v/>
      </c>
      <c r="BB1170">
        <f>'T_SelfStock'!AZ57</f>
        <v/>
      </c>
      <c r="BC1170">
        <f>'T_SelfStock'!BA57</f>
        <v/>
      </c>
      <c r="BD1170">
        <f>'T_SelfStock'!BB57</f>
        <v/>
      </c>
      <c r="BE1170">
        <f>'T_SelfStock'!BC57</f>
        <v/>
      </c>
      <c r="BF1170">
        <f>'T_SelfStock'!BD57</f>
        <v/>
      </c>
      <c r="BG1170">
        <f>'T_SelfStock'!BE57</f>
        <v/>
      </c>
      <c r="BH1170">
        <f>'T_SelfStock'!BF57</f>
        <v/>
      </c>
      <c r="BI1170">
        <f>'T_SelfStock'!BG57</f>
        <v/>
      </c>
      <c r="BJ1170">
        <f>'T_SelfStock'!BH57</f>
        <v/>
      </c>
      <c r="BK1170">
        <f>'T_SelfStock'!BI57</f>
        <v/>
      </c>
      <c r="BL1170">
        <f>'T_SelfStock'!BJ57</f>
        <v/>
      </c>
      <c r="BM1170">
        <f>'T_SelfStock'!BK57</f>
        <v/>
      </c>
      <c r="BN1170">
        <f>'T_SelfStock'!BL57</f>
        <v/>
      </c>
      <c r="BO1170">
        <f>'T_SelfStock'!BM57</f>
        <v/>
      </c>
      <c r="BP1170">
        <f>'T_SelfStock'!BN57</f>
        <v/>
      </c>
      <c r="BQ1170">
        <f>'T_SelfStock'!BO57</f>
        <v/>
      </c>
      <c r="BR1170">
        <f>'T_SelfStock'!BP57</f>
        <v/>
      </c>
      <c r="BS1170">
        <f>'T_SelfStock'!BQ57</f>
        <v/>
      </c>
      <c r="BT1170">
        <f>'T_SelfStock'!BR57</f>
        <v/>
      </c>
      <c r="BU1170">
        <f>'T_SelfStock'!BS57</f>
        <v/>
      </c>
      <c r="BV1170">
        <f>'T_SelfStock'!BT57</f>
        <v/>
      </c>
      <c r="BW1170">
        <f>'T_SelfStock'!BU57</f>
        <v/>
      </c>
      <c r="BX1170">
        <f>'T_SelfStock'!BV57</f>
        <v/>
      </c>
      <c r="BY1170">
        <f>'T_SelfStock'!BW57</f>
        <v/>
      </c>
      <c r="BZ1170">
        <f>'T_SelfStock'!BX57</f>
        <v/>
      </c>
      <c r="CA1170">
        <f>'T_SelfStock'!BY57</f>
        <v/>
      </c>
      <c r="CB1170">
        <f>'T_SelfStock'!BZ57</f>
        <v/>
      </c>
      <c r="CC1170">
        <f>'T_SelfStock'!CA57</f>
        <v/>
      </c>
      <c r="CD1170">
        <f>'T_SelfStock'!CB57</f>
        <v/>
      </c>
      <c r="CE1170">
        <f>'T_SelfStock'!CC57</f>
        <v/>
      </c>
      <c r="CF1170">
        <f>'T_SelfStock'!CD57</f>
        <v/>
      </c>
      <c r="CG1170">
        <f>'T_SelfStock'!CE57</f>
        <v/>
      </c>
      <c r="CH1170">
        <f>'T_SelfStock'!CF57</f>
        <v/>
      </c>
      <c r="CI1170">
        <f>'T_SelfStock'!CG57</f>
        <v/>
      </c>
      <c r="CJ1170">
        <f>'T_SelfStock'!CH57</f>
        <v/>
      </c>
      <c r="CK1170">
        <f>'T_SelfStock'!CI57</f>
        <v/>
      </c>
      <c r="CL1170">
        <f>'T_SelfStock'!CJ57</f>
        <v/>
      </c>
      <c r="CM1170">
        <f>'T_SelfStock'!CK57</f>
        <v/>
      </c>
      <c r="CN1170">
        <f>'T_SelfStock'!CL57</f>
        <v/>
      </c>
      <c r="CO1170">
        <f>'T_SelfStock'!CM57</f>
        <v/>
      </c>
      <c r="CP1170">
        <f>'T_SelfStock'!CN57</f>
        <v/>
      </c>
      <c r="CQ1170">
        <f>'T_SelfStock'!CO57</f>
        <v/>
      </c>
      <c r="CR1170">
        <f>'T_SelfStock'!CP57</f>
        <v/>
      </c>
      <c r="CS1170">
        <f>'T_SelfStock'!CQ57</f>
        <v/>
      </c>
      <c r="CT1170">
        <f>'T_SelfStock'!CR57</f>
        <v/>
      </c>
      <c r="CU1170">
        <f>'T_SelfStock'!CS57</f>
        <v/>
      </c>
      <c r="CV1170">
        <f>'T_SelfStock'!CT57</f>
        <v/>
      </c>
      <c r="CW1170">
        <f>'T_SelfStock'!CU57</f>
        <v/>
      </c>
      <c r="CX1170">
        <f>'T_SelfStock'!CV57</f>
        <v/>
      </c>
      <c r="CY1170">
        <f>'T_SelfStock'!CW57</f>
        <v/>
      </c>
      <c r="CZ1170">
        <f>'T_SelfStock'!CX57</f>
        <v/>
      </c>
      <c r="DA1170">
        <f>'T_SelfStock'!CY57</f>
        <v/>
      </c>
      <c r="DB1170">
        <f>'T_SelfStock'!CZ57</f>
        <v/>
      </c>
      <c r="DC1170">
        <f>'T_SelfStock'!DA57</f>
        <v/>
      </c>
    </row>
    <row r="1171">
      <c r="B1171" t="inlineStr">
        <is>
          <t>Order(発注予定,kg)</t>
        </is>
      </c>
      <c r="D1171" s="23" t="n"/>
      <c r="E1171" s="23" t="n"/>
      <c r="F1171" s="23" t="n"/>
      <c r="G1171" s="23" t="n"/>
      <c r="H1171" s="23" t="n"/>
      <c r="I1171" s="23" t="n"/>
      <c r="J1171" s="23" t="n"/>
      <c r="K1171" s="23" t="n"/>
      <c r="L1171" s="23" t="n"/>
      <c r="M1171" s="23" t="n"/>
      <c r="N1171" s="23" t="n"/>
      <c r="O1171" s="23" t="n"/>
      <c r="P1171" s="23" t="n"/>
      <c r="Q1171" s="23" t="n"/>
      <c r="R1171" s="23" t="n"/>
      <c r="S1171" s="23" t="n"/>
      <c r="T1171" s="23" t="n"/>
      <c r="U1171" s="23" t="n"/>
      <c r="V1171" s="23" t="n"/>
      <c r="W1171" s="23" t="n"/>
      <c r="X1171" s="23" t="n"/>
      <c r="Y1171" s="23" t="n"/>
      <c r="Z1171" s="23" t="n"/>
      <c r="AA1171" s="23" t="n"/>
      <c r="AB1171" s="23" t="n"/>
      <c r="AC1171" s="23" t="n"/>
      <c r="AD1171" s="23" t="n"/>
      <c r="AE1171" s="23" t="n"/>
      <c r="AF1171" s="23" t="n"/>
      <c r="AG1171" s="23" t="n"/>
      <c r="AH1171" s="23" t="n"/>
      <c r="AI1171" s="23" t="n"/>
      <c r="AJ1171" s="23" t="n"/>
      <c r="AK1171" s="23" t="n"/>
      <c r="AL1171" s="23" t="n"/>
      <c r="AM1171" s="23" t="n"/>
      <c r="AN1171" s="23" t="n"/>
      <c r="AO1171" s="23" t="n"/>
      <c r="AP1171" s="23" t="n"/>
      <c r="AQ1171" s="23" t="n"/>
      <c r="AR1171" s="23" t="n"/>
      <c r="AS1171" s="23" t="n"/>
      <c r="AT1171" s="23" t="n"/>
      <c r="AU1171" s="23" t="n"/>
      <c r="AV1171" s="23" t="n"/>
      <c r="AW1171" s="23" t="n"/>
      <c r="AX1171" s="23" t="n"/>
      <c r="AY1171" s="23" t="n"/>
      <c r="AZ1171" s="23" t="n"/>
      <c r="BA1171" s="23" t="n"/>
      <c r="BB1171" s="23" t="n"/>
      <c r="BC1171" s="23" t="n"/>
      <c r="BD1171" s="23" t="n"/>
      <c r="BE1171" s="23" t="n"/>
      <c r="BF1171" s="23" t="n"/>
      <c r="BG1171" s="23" t="n"/>
      <c r="BH1171" s="23" t="n"/>
      <c r="BI1171" s="23" t="n"/>
      <c r="BJ1171" s="23" t="n"/>
      <c r="BK1171" s="23" t="n"/>
      <c r="BL1171" s="23" t="n"/>
      <c r="BM1171" s="23" t="n"/>
      <c r="BN1171" s="23" t="n"/>
      <c r="BO1171" s="23" t="n"/>
      <c r="BP1171" s="23" t="n"/>
      <c r="BQ1171" s="23" t="n"/>
      <c r="BR1171" s="23" t="n"/>
      <c r="BS1171" s="23" t="n"/>
      <c r="BT1171" s="23" t="n"/>
      <c r="BU1171" s="23" t="n"/>
      <c r="BV1171" s="23" t="n"/>
      <c r="BW1171" s="23" t="n"/>
      <c r="BX1171" s="23" t="n"/>
      <c r="BY1171" s="23" t="n"/>
      <c r="BZ1171" s="23" t="n"/>
      <c r="CA1171" s="23" t="n"/>
      <c r="CB1171" s="23" t="n"/>
      <c r="CC1171" s="23" t="n"/>
      <c r="CD1171" s="23" t="n"/>
      <c r="CE1171" s="23" t="n"/>
      <c r="CF1171" s="23" t="n"/>
      <c r="CG1171" s="23" t="n"/>
      <c r="CH1171" s="23" t="n"/>
      <c r="CI1171" s="23" t="n"/>
      <c r="CJ1171" s="23" t="n"/>
      <c r="CK1171" s="23" t="n"/>
      <c r="CL1171" s="23" t="n"/>
      <c r="CM1171" s="23" t="n"/>
      <c r="CN1171" s="23" t="n"/>
      <c r="CO1171" s="23" t="n"/>
      <c r="CP1171" s="23" t="n"/>
      <c r="CQ1171" s="23" t="n"/>
      <c r="CR1171" s="23" t="n"/>
      <c r="CS1171" s="23" t="n"/>
      <c r="CT1171" s="23" t="n"/>
      <c r="CU1171" s="23" t="n"/>
      <c r="CV1171" s="23" t="n"/>
      <c r="CW1171" s="23" t="n"/>
      <c r="CX1171" s="23" t="n"/>
      <c r="CY1171" s="23" t="n"/>
      <c r="CZ1171" s="23" t="n"/>
      <c r="DA1171" s="23" t="n"/>
      <c r="DB1171" s="23" t="n"/>
      <c r="DC1171" s="23" t="n"/>
      <c r="DE1171" s="12" t="inlineStr">
        <is>
          <t>Ester Film</t>
        </is>
      </c>
    </row>
    <row r="1172">
      <c r="B1172" s="5" t="inlineStr">
        <is>
          <t>合計在庫(週末時点,kg)</t>
        </is>
      </c>
      <c r="D1172">
        <f>'Grid_Stock'!B53</f>
        <v/>
      </c>
      <c r="E1172">
        <f>'Grid_Stock'!C53</f>
        <v/>
      </c>
      <c r="F1172">
        <f>'Grid_Stock'!D53</f>
        <v/>
      </c>
      <c r="G1172">
        <f>'Grid_Stock'!E53</f>
        <v/>
      </c>
      <c r="H1172">
        <f>'Grid_Stock'!F53</f>
        <v/>
      </c>
      <c r="I1172">
        <f>'Grid_Stock'!G53</f>
        <v/>
      </c>
      <c r="J1172">
        <f>'Grid_Stock'!H53</f>
        <v/>
      </c>
      <c r="K1172">
        <f>'Grid_Stock'!I53</f>
        <v/>
      </c>
      <c r="L1172">
        <f>'Grid_Stock'!J53</f>
        <v/>
      </c>
      <c r="M1172">
        <f>'Grid_Stock'!K53</f>
        <v/>
      </c>
      <c r="N1172">
        <f>'Grid_Stock'!L53</f>
        <v/>
      </c>
      <c r="O1172">
        <f>'Grid_Stock'!M53</f>
        <v/>
      </c>
      <c r="P1172">
        <f>'Grid_Stock'!N53</f>
        <v/>
      </c>
      <c r="Q1172">
        <f>'Grid_Stock'!O53</f>
        <v/>
      </c>
      <c r="R1172">
        <f>'Grid_Stock'!P53</f>
        <v/>
      </c>
      <c r="S1172">
        <f>'Grid_Stock'!Q53</f>
        <v/>
      </c>
      <c r="T1172">
        <f>'Grid_Stock'!R53</f>
        <v/>
      </c>
      <c r="U1172">
        <f>'Grid_Stock'!S53</f>
        <v/>
      </c>
      <c r="V1172">
        <f>'Grid_Stock'!T53</f>
        <v/>
      </c>
      <c r="W1172">
        <f>'Grid_Stock'!U53</f>
        <v/>
      </c>
      <c r="X1172">
        <f>'Grid_Stock'!V53</f>
        <v/>
      </c>
      <c r="Y1172">
        <f>'Grid_Stock'!W53</f>
        <v/>
      </c>
      <c r="Z1172">
        <f>'Grid_Stock'!X53</f>
        <v/>
      </c>
      <c r="AA1172">
        <f>'Grid_Stock'!Y53</f>
        <v/>
      </c>
      <c r="AB1172">
        <f>'Grid_Stock'!Z53</f>
        <v/>
      </c>
      <c r="AC1172">
        <f>'Grid_Stock'!AA53</f>
        <v/>
      </c>
      <c r="AD1172">
        <f>'Grid_Stock'!AB53</f>
        <v/>
      </c>
      <c r="AE1172">
        <f>'Grid_Stock'!AC53</f>
        <v/>
      </c>
      <c r="AF1172">
        <f>'Grid_Stock'!AD53</f>
        <v/>
      </c>
      <c r="AG1172">
        <f>'Grid_Stock'!AE53</f>
        <v/>
      </c>
      <c r="AH1172">
        <f>'Grid_Stock'!AF53</f>
        <v/>
      </c>
      <c r="AI1172">
        <f>'Grid_Stock'!AG53</f>
        <v/>
      </c>
      <c r="AJ1172">
        <f>'Grid_Stock'!AH53</f>
        <v/>
      </c>
      <c r="AK1172">
        <f>'Grid_Stock'!AI53</f>
        <v/>
      </c>
      <c r="AL1172">
        <f>'Grid_Stock'!AJ53</f>
        <v/>
      </c>
      <c r="AM1172">
        <f>'Grid_Stock'!AK53</f>
        <v/>
      </c>
      <c r="AN1172">
        <f>'Grid_Stock'!AL53</f>
        <v/>
      </c>
      <c r="AO1172">
        <f>'Grid_Stock'!AM53</f>
        <v/>
      </c>
      <c r="AP1172">
        <f>'Grid_Stock'!AN53</f>
        <v/>
      </c>
      <c r="AQ1172">
        <f>'Grid_Stock'!AO53</f>
        <v/>
      </c>
      <c r="AR1172">
        <f>'Grid_Stock'!AP53</f>
        <v/>
      </c>
      <c r="AS1172">
        <f>'Grid_Stock'!AQ53</f>
        <v/>
      </c>
      <c r="AT1172">
        <f>'Grid_Stock'!AR53</f>
        <v/>
      </c>
      <c r="AU1172">
        <f>'Grid_Stock'!AS53</f>
        <v/>
      </c>
      <c r="AV1172">
        <f>'Grid_Stock'!AT53</f>
        <v/>
      </c>
      <c r="AW1172">
        <f>'Grid_Stock'!AU53</f>
        <v/>
      </c>
      <c r="AX1172">
        <f>'Grid_Stock'!AV53</f>
        <v/>
      </c>
      <c r="AY1172">
        <f>'Grid_Stock'!AW53</f>
        <v/>
      </c>
      <c r="AZ1172">
        <f>'Grid_Stock'!AX53</f>
        <v/>
      </c>
      <c r="BA1172">
        <f>'Grid_Stock'!AY53</f>
        <v/>
      </c>
      <c r="BB1172">
        <f>'Grid_Stock'!AZ53</f>
        <v/>
      </c>
      <c r="BC1172">
        <f>'Grid_Stock'!BA53</f>
        <v/>
      </c>
      <c r="BD1172">
        <f>'Grid_Stock'!BB53</f>
        <v/>
      </c>
      <c r="BE1172">
        <f>'Grid_Stock'!BC53</f>
        <v/>
      </c>
      <c r="BF1172">
        <f>'Grid_Stock'!BD53</f>
        <v/>
      </c>
      <c r="BG1172">
        <f>'Grid_Stock'!BE53</f>
        <v/>
      </c>
      <c r="BH1172">
        <f>'Grid_Stock'!BF53</f>
        <v/>
      </c>
      <c r="BI1172">
        <f>'Grid_Stock'!BG53</f>
        <v/>
      </c>
      <c r="BJ1172">
        <f>'Grid_Stock'!BH53</f>
        <v/>
      </c>
      <c r="BK1172">
        <f>'Grid_Stock'!BI53</f>
        <v/>
      </c>
      <c r="BL1172">
        <f>'Grid_Stock'!BJ53</f>
        <v/>
      </c>
      <c r="BM1172">
        <f>'Grid_Stock'!BK53</f>
        <v/>
      </c>
      <c r="BN1172">
        <f>'Grid_Stock'!BL53</f>
        <v/>
      </c>
      <c r="BO1172">
        <f>'Grid_Stock'!BM53</f>
        <v/>
      </c>
      <c r="BP1172">
        <f>'Grid_Stock'!BN53</f>
        <v/>
      </c>
      <c r="BQ1172">
        <f>'Grid_Stock'!BO53</f>
        <v/>
      </c>
      <c r="BR1172">
        <f>'Grid_Stock'!BP53</f>
        <v/>
      </c>
      <c r="BS1172">
        <f>'Grid_Stock'!BQ53</f>
        <v/>
      </c>
      <c r="BT1172">
        <f>'Grid_Stock'!BR53</f>
        <v/>
      </c>
      <c r="BU1172">
        <f>'Grid_Stock'!BS53</f>
        <v/>
      </c>
      <c r="BV1172">
        <f>'Grid_Stock'!BT53</f>
        <v/>
      </c>
      <c r="BW1172">
        <f>'Grid_Stock'!BU53</f>
        <v/>
      </c>
      <c r="BX1172">
        <f>'Grid_Stock'!BV53</f>
        <v/>
      </c>
      <c r="BY1172">
        <f>'Grid_Stock'!BW53</f>
        <v/>
      </c>
      <c r="BZ1172">
        <f>'Grid_Stock'!BX53</f>
        <v/>
      </c>
      <c r="CA1172">
        <f>'Grid_Stock'!BY53</f>
        <v/>
      </c>
      <c r="CB1172">
        <f>'Grid_Stock'!BZ53</f>
        <v/>
      </c>
      <c r="CC1172">
        <f>'Grid_Stock'!CA53</f>
        <v/>
      </c>
      <c r="CD1172">
        <f>'Grid_Stock'!CB53</f>
        <v/>
      </c>
      <c r="CE1172">
        <f>'Grid_Stock'!CC53</f>
        <v/>
      </c>
      <c r="CF1172">
        <f>'Grid_Stock'!CD53</f>
        <v/>
      </c>
      <c r="CG1172">
        <f>'Grid_Stock'!CE53</f>
        <v/>
      </c>
      <c r="CH1172">
        <f>'Grid_Stock'!CF53</f>
        <v/>
      </c>
      <c r="CI1172">
        <f>'Grid_Stock'!CG53</f>
        <v/>
      </c>
      <c r="CJ1172">
        <f>'Grid_Stock'!CH53</f>
        <v/>
      </c>
      <c r="CK1172">
        <f>'Grid_Stock'!CI53</f>
        <v/>
      </c>
      <c r="CL1172">
        <f>'Grid_Stock'!CJ53</f>
        <v/>
      </c>
      <c r="CM1172">
        <f>'Grid_Stock'!CK53</f>
        <v/>
      </c>
      <c r="CN1172">
        <f>'Grid_Stock'!CL53</f>
        <v/>
      </c>
      <c r="CO1172">
        <f>'Grid_Stock'!CM53</f>
        <v/>
      </c>
      <c r="CP1172">
        <f>'Grid_Stock'!CN53</f>
        <v/>
      </c>
      <c r="CQ1172">
        <f>'Grid_Stock'!CO53</f>
        <v/>
      </c>
      <c r="CR1172">
        <f>'Grid_Stock'!CP53</f>
        <v/>
      </c>
      <c r="CS1172">
        <f>'Grid_Stock'!CQ53</f>
        <v/>
      </c>
      <c r="CT1172">
        <f>'Grid_Stock'!CR53</f>
        <v/>
      </c>
      <c r="CU1172">
        <f>'Grid_Stock'!CS53</f>
        <v/>
      </c>
      <c r="CV1172">
        <f>'Grid_Stock'!CT53</f>
        <v/>
      </c>
      <c r="CW1172">
        <f>'Grid_Stock'!CU53</f>
        <v/>
      </c>
      <c r="CX1172">
        <f>'Grid_Stock'!CV53</f>
        <v/>
      </c>
      <c r="CY1172">
        <f>'Grid_Stock'!CW53</f>
        <v/>
      </c>
      <c r="CZ1172">
        <f>'Grid_Stock'!CX53</f>
        <v/>
      </c>
      <c r="DA1172">
        <f>'Grid_Stock'!CY53</f>
        <v/>
      </c>
      <c r="DB1172">
        <f>'Grid_Stock'!CZ53</f>
        <v/>
      </c>
      <c r="DC1172">
        <f>'Grid_Stock'!DA53</f>
        <v/>
      </c>
    </row>
    <row r="1173">
      <c r="B1173" s="24" t="inlineStr">
        <is>
          <t>（発注の目安はDashboardの基準在庫[下限/上限]と色分けを参照）</t>
        </is>
      </c>
    </row>
    <row r="1175">
      <c r="A1175" s="21" t="inlineStr">
        <is>
          <t>PP Film</t>
        </is>
      </c>
      <c r="B1175" s="21" t="inlineStr">
        <is>
          <t>PP Film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PP Film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s="5" t="inlineStr">
        <is>
          <t>合計使用量(kg)/週</t>
        </is>
      </c>
      <c r="D1178">
        <f>'Grid_Requirement'!B54</f>
        <v/>
      </c>
      <c r="E1178">
        <f>'Grid_Requirement'!C54</f>
        <v/>
      </c>
      <c r="F1178">
        <f>'Grid_Requirement'!D54</f>
        <v/>
      </c>
      <c r="G1178">
        <f>'Grid_Requirement'!E54</f>
        <v/>
      </c>
      <c r="H1178">
        <f>'Grid_Requirement'!F54</f>
        <v/>
      </c>
      <c r="I1178">
        <f>'Grid_Requirement'!G54</f>
        <v/>
      </c>
      <c r="J1178">
        <f>'Grid_Requirement'!H54</f>
        <v/>
      </c>
      <c r="K1178">
        <f>'Grid_Requirement'!I54</f>
        <v/>
      </c>
      <c r="L1178">
        <f>'Grid_Requirement'!J54</f>
        <v/>
      </c>
      <c r="M1178">
        <f>'Grid_Requirement'!K54</f>
        <v/>
      </c>
      <c r="N1178">
        <f>'Grid_Requirement'!L54</f>
        <v/>
      </c>
      <c r="O1178">
        <f>'Grid_Requirement'!M54</f>
        <v/>
      </c>
      <c r="P1178">
        <f>'Grid_Requirement'!N54</f>
        <v/>
      </c>
      <c r="Q1178">
        <f>'Grid_Requirement'!O54</f>
        <v/>
      </c>
      <c r="R1178">
        <f>'Grid_Requirement'!P54</f>
        <v/>
      </c>
      <c r="S1178">
        <f>'Grid_Requirement'!Q54</f>
        <v/>
      </c>
      <c r="T1178">
        <f>'Grid_Requirement'!R54</f>
        <v/>
      </c>
      <c r="U1178">
        <f>'Grid_Requirement'!S54</f>
        <v/>
      </c>
      <c r="V1178">
        <f>'Grid_Requirement'!T54</f>
        <v/>
      </c>
      <c r="W1178">
        <f>'Grid_Requirement'!U54</f>
        <v/>
      </c>
      <c r="X1178">
        <f>'Grid_Requirement'!V54</f>
        <v/>
      </c>
      <c r="Y1178">
        <f>'Grid_Requirement'!W54</f>
        <v/>
      </c>
      <c r="Z1178">
        <f>'Grid_Requirement'!X54</f>
        <v/>
      </c>
      <c r="AA1178">
        <f>'Grid_Requirement'!Y54</f>
        <v/>
      </c>
      <c r="AB1178">
        <f>'Grid_Requirement'!Z54</f>
        <v/>
      </c>
      <c r="AC1178">
        <f>'Grid_Requirement'!AA54</f>
        <v/>
      </c>
      <c r="AD1178">
        <f>'Grid_Requirement'!AB54</f>
        <v/>
      </c>
      <c r="AE1178">
        <f>'Grid_Requirement'!AC54</f>
        <v/>
      </c>
      <c r="AF1178">
        <f>'Grid_Requirement'!AD54</f>
        <v/>
      </c>
      <c r="AG1178">
        <f>'Grid_Requirement'!AE54</f>
        <v/>
      </c>
      <c r="AH1178">
        <f>'Grid_Requirement'!AF54</f>
        <v/>
      </c>
      <c r="AI1178">
        <f>'Grid_Requirement'!AG54</f>
        <v/>
      </c>
      <c r="AJ1178">
        <f>'Grid_Requirement'!AH54</f>
        <v/>
      </c>
      <c r="AK1178">
        <f>'Grid_Requirement'!AI54</f>
        <v/>
      </c>
      <c r="AL1178">
        <f>'Grid_Requirement'!AJ54</f>
        <v/>
      </c>
      <c r="AM1178">
        <f>'Grid_Requirement'!AK54</f>
        <v/>
      </c>
      <c r="AN1178">
        <f>'Grid_Requirement'!AL54</f>
        <v/>
      </c>
      <c r="AO1178">
        <f>'Grid_Requirement'!AM54</f>
        <v/>
      </c>
      <c r="AP1178">
        <f>'Grid_Requirement'!AN54</f>
        <v/>
      </c>
      <c r="AQ1178">
        <f>'Grid_Requirement'!AO54</f>
        <v/>
      </c>
      <c r="AR1178">
        <f>'Grid_Requirement'!AP54</f>
        <v/>
      </c>
      <c r="AS1178">
        <f>'Grid_Requirement'!AQ54</f>
        <v/>
      </c>
      <c r="AT1178">
        <f>'Grid_Requirement'!AR54</f>
        <v/>
      </c>
      <c r="AU1178">
        <f>'Grid_Requirement'!AS54</f>
        <v/>
      </c>
      <c r="AV1178">
        <f>'Grid_Requirement'!AT54</f>
        <v/>
      </c>
      <c r="AW1178">
        <f>'Grid_Requirement'!AU54</f>
        <v/>
      </c>
      <c r="AX1178">
        <f>'Grid_Requirement'!AV54</f>
        <v/>
      </c>
      <c r="AY1178">
        <f>'Grid_Requirement'!AW54</f>
        <v/>
      </c>
      <c r="AZ1178">
        <f>'Grid_Requirement'!AX54</f>
        <v/>
      </c>
      <c r="BA1178">
        <f>'Grid_Requirement'!AY54</f>
        <v/>
      </c>
      <c r="BB1178">
        <f>'Grid_Requirement'!AZ54</f>
        <v/>
      </c>
      <c r="BC1178">
        <f>'Grid_Requirement'!BA54</f>
        <v/>
      </c>
      <c r="BD1178">
        <f>'Grid_Requirement'!BB54</f>
        <v/>
      </c>
      <c r="BE1178">
        <f>'Grid_Requirement'!BC54</f>
        <v/>
      </c>
      <c r="BF1178">
        <f>'Grid_Requirement'!BD54</f>
        <v/>
      </c>
      <c r="BG1178">
        <f>'Grid_Requirement'!BE54</f>
        <v/>
      </c>
      <c r="BH1178">
        <f>'Grid_Requirement'!BF54</f>
        <v/>
      </c>
      <c r="BI1178">
        <f>'Grid_Requirement'!BG54</f>
        <v/>
      </c>
      <c r="BJ1178">
        <f>'Grid_Requirement'!BH54</f>
        <v/>
      </c>
      <c r="BK1178">
        <f>'Grid_Requirement'!BI54</f>
        <v/>
      </c>
      <c r="BL1178">
        <f>'Grid_Requirement'!BJ54</f>
        <v/>
      </c>
      <c r="BM1178">
        <f>'Grid_Requirement'!BK54</f>
        <v/>
      </c>
      <c r="BN1178">
        <f>'Grid_Requirement'!BL54</f>
        <v/>
      </c>
      <c r="BO1178">
        <f>'Grid_Requirement'!BM54</f>
        <v/>
      </c>
      <c r="BP1178">
        <f>'Grid_Requirement'!BN54</f>
        <v/>
      </c>
      <c r="BQ1178">
        <f>'Grid_Requirement'!BO54</f>
        <v/>
      </c>
      <c r="BR1178">
        <f>'Grid_Requirement'!BP54</f>
        <v/>
      </c>
      <c r="BS1178">
        <f>'Grid_Requirement'!BQ54</f>
        <v/>
      </c>
      <c r="BT1178">
        <f>'Grid_Requirement'!BR54</f>
        <v/>
      </c>
      <c r="BU1178">
        <f>'Grid_Requirement'!BS54</f>
        <v/>
      </c>
      <c r="BV1178">
        <f>'Grid_Requirement'!BT54</f>
        <v/>
      </c>
      <c r="BW1178">
        <f>'Grid_Requirement'!BU54</f>
        <v/>
      </c>
      <c r="BX1178">
        <f>'Grid_Requirement'!BV54</f>
        <v/>
      </c>
      <c r="BY1178">
        <f>'Grid_Requirement'!BW54</f>
        <v/>
      </c>
      <c r="BZ1178">
        <f>'Grid_Requirement'!BX54</f>
        <v/>
      </c>
      <c r="CA1178">
        <f>'Grid_Requirement'!BY54</f>
        <v/>
      </c>
      <c r="CB1178">
        <f>'Grid_Requirement'!BZ54</f>
        <v/>
      </c>
      <c r="CC1178">
        <f>'Grid_Requirement'!CA54</f>
        <v/>
      </c>
      <c r="CD1178">
        <f>'Grid_Requirement'!CB54</f>
        <v/>
      </c>
      <c r="CE1178">
        <f>'Grid_Requirement'!CC54</f>
        <v/>
      </c>
      <c r="CF1178">
        <f>'Grid_Requirement'!CD54</f>
        <v/>
      </c>
      <c r="CG1178">
        <f>'Grid_Requirement'!CE54</f>
        <v/>
      </c>
      <c r="CH1178">
        <f>'Grid_Requirement'!CF54</f>
        <v/>
      </c>
      <c r="CI1178">
        <f>'Grid_Requirement'!CG54</f>
        <v/>
      </c>
      <c r="CJ1178">
        <f>'Grid_Requirement'!CH54</f>
        <v/>
      </c>
      <c r="CK1178">
        <f>'Grid_Requirement'!CI54</f>
        <v/>
      </c>
      <c r="CL1178">
        <f>'Grid_Requirement'!CJ54</f>
        <v/>
      </c>
      <c r="CM1178">
        <f>'Grid_Requirement'!CK54</f>
        <v/>
      </c>
      <c r="CN1178">
        <f>'Grid_Requirement'!CL54</f>
        <v/>
      </c>
      <c r="CO1178">
        <f>'Grid_Requirement'!CM54</f>
        <v/>
      </c>
      <c r="CP1178">
        <f>'Grid_Requirement'!CN54</f>
        <v/>
      </c>
      <c r="CQ1178">
        <f>'Grid_Requirement'!CO54</f>
        <v/>
      </c>
      <c r="CR1178">
        <f>'Grid_Requirement'!CP54</f>
        <v/>
      </c>
      <c r="CS1178">
        <f>'Grid_Requirement'!CQ54</f>
        <v/>
      </c>
      <c r="CT1178">
        <f>'Grid_Requirement'!CR54</f>
        <v/>
      </c>
      <c r="CU1178">
        <f>'Grid_Requirement'!CS54</f>
        <v/>
      </c>
      <c r="CV1178">
        <f>'Grid_Requirement'!CT54</f>
        <v/>
      </c>
      <c r="CW1178">
        <f>'Grid_Requirement'!CU54</f>
        <v/>
      </c>
      <c r="CX1178">
        <f>'Grid_Requirement'!CV54</f>
        <v/>
      </c>
      <c r="CY1178">
        <f>'Grid_Requirement'!CW54</f>
        <v/>
      </c>
      <c r="CZ1178">
        <f>'Grid_Requirement'!CX54</f>
        <v/>
      </c>
      <c r="DA1178">
        <f>'Grid_Requirement'!CY54</f>
        <v/>
      </c>
      <c r="DB1178">
        <f>'Grid_Requirement'!CZ54</f>
        <v/>
      </c>
      <c r="DC1178">
        <f>'Grid_Requirement'!DA54</f>
        <v/>
      </c>
    </row>
    <row r="1179">
      <c r="B1179" t="inlineStr">
        <is>
          <t>TTAF在庫(実績,kg)</t>
        </is>
      </c>
      <c r="D1179">
        <f>'T_TTAFStock'!B58</f>
        <v/>
      </c>
      <c r="E1179">
        <f>'T_TTAFStock'!C58</f>
        <v/>
      </c>
      <c r="F1179">
        <f>'T_TTAFStock'!D58</f>
        <v/>
      </c>
      <c r="G1179">
        <f>'T_TTAFStock'!E58</f>
        <v/>
      </c>
      <c r="H1179">
        <f>'T_TTAFStock'!F58</f>
        <v/>
      </c>
      <c r="I1179">
        <f>'T_TTAFStock'!G58</f>
        <v/>
      </c>
      <c r="J1179">
        <f>'T_TTAFStock'!H58</f>
        <v/>
      </c>
      <c r="K1179">
        <f>'T_TTAFStock'!I58</f>
        <v/>
      </c>
      <c r="L1179">
        <f>'T_TTAFStock'!J58</f>
        <v/>
      </c>
      <c r="M1179">
        <f>'T_TTAFStock'!K58</f>
        <v/>
      </c>
      <c r="N1179">
        <f>'T_TTAFStock'!L58</f>
        <v/>
      </c>
      <c r="O1179">
        <f>'T_TTAFStock'!M58</f>
        <v/>
      </c>
      <c r="P1179">
        <f>'T_TTAFStock'!N58</f>
        <v/>
      </c>
      <c r="Q1179">
        <f>'T_TTAFStock'!O58</f>
        <v/>
      </c>
      <c r="R1179">
        <f>'T_TTAFStock'!P58</f>
        <v/>
      </c>
      <c r="S1179">
        <f>'T_TTAFStock'!Q58</f>
        <v/>
      </c>
      <c r="T1179">
        <f>'T_TTAFStock'!R58</f>
        <v/>
      </c>
      <c r="U1179">
        <f>'T_TTAFStock'!S58</f>
        <v/>
      </c>
      <c r="V1179">
        <f>'T_TTAFStock'!T58</f>
        <v/>
      </c>
      <c r="W1179">
        <f>'T_TTAFStock'!U58</f>
        <v/>
      </c>
      <c r="X1179">
        <f>'T_TTAFStock'!V58</f>
        <v/>
      </c>
      <c r="Y1179">
        <f>'T_TTAFStock'!W58</f>
        <v/>
      </c>
      <c r="Z1179">
        <f>'T_TTAFStock'!X58</f>
        <v/>
      </c>
      <c r="AA1179">
        <f>'T_TTAFStock'!Y58</f>
        <v/>
      </c>
      <c r="AB1179">
        <f>'T_TTAFStock'!Z58</f>
        <v/>
      </c>
      <c r="AC1179">
        <f>'T_TTAFStock'!AA58</f>
        <v/>
      </c>
      <c r="AD1179">
        <f>'T_TTAFStock'!AB58</f>
        <v/>
      </c>
      <c r="AE1179">
        <f>'T_TTAFStock'!AC58</f>
        <v/>
      </c>
      <c r="AF1179">
        <f>'T_TTAFStock'!AD58</f>
        <v/>
      </c>
      <c r="AG1179">
        <f>'T_TTAFStock'!AE58</f>
        <v/>
      </c>
      <c r="AH1179">
        <f>'T_TTAFStock'!AF58</f>
        <v/>
      </c>
      <c r="AI1179">
        <f>'T_TTAFStock'!AG58</f>
        <v/>
      </c>
      <c r="AJ1179">
        <f>'T_TTAFStock'!AH58</f>
        <v/>
      </c>
      <c r="AK1179">
        <f>'T_TTAFStock'!AI58</f>
        <v/>
      </c>
      <c r="AL1179">
        <f>'T_TTAFStock'!AJ58</f>
        <v/>
      </c>
      <c r="AM1179">
        <f>'T_TTAFStock'!AK58</f>
        <v/>
      </c>
      <c r="AN1179">
        <f>'T_TTAFStock'!AL58</f>
        <v/>
      </c>
      <c r="AO1179">
        <f>'T_TTAFStock'!AM58</f>
        <v/>
      </c>
      <c r="AP1179">
        <f>'T_TTAFStock'!AN58</f>
        <v/>
      </c>
      <c r="AQ1179">
        <f>'T_TTAFStock'!AO58</f>
        <v/>
      </c>
      <c r="AR1179">
        <f>'T_TTAFStock'!AP58</f>
        <v/>
      </c>
      <c r="AS1179">
        <f>'T_TTAFStock'!AQ58</f>
        <v/>
      </c>
      <c r="AT1179">
        <f>'T_TTAFStock'!AR58</f>
        <v/>
      </c>
      <c r="AU1179">
        <f>'T_TTAFStock'!AS58</f>
        <v/>
      </c>
      <c r="AV1179">
        <f>'T_TTAFStock'!AT58</f>
        <v/>
      </c>
      <c r="AW1179">
        <f>'T_TTAFStock'!AU58</f>
        <v/>
      </c>
      <c r="AX1179">
        <f>'T_TTAFStock'!AV58</f>
        <v/>
      </c>
      <c r="AY1179">
        <f>'T_TTAFStock'!AW58</f>
        <v/>
      </c>
      <c r="AZ1179">
        <f>'T_TTAFStock'!AX58</f>
        <v/>
      </c>
      <c r="BA1179">
        <f>'T_TTAFStock'!AY58</f>
        <v/>
      </c>
      <c r="BB1179">
        <f>'T_TTAFStock'!AZ58</f>
        <v/>
      </c>
      <c r="BC1179">
        <f>'T_TTAFStock'!BA58</f>
        <v/>
      </c>
      <c r="BD1179">
        <f>'T_TTAFStock'!BB58</f>
        <v/>
      </c>
      <c r="BE1179">
        <f>'T_TTAFStock'!BC58</f>
        <v/>
      </c>
      <c r="BF1179">
        <f>'T_TTAFStock'!BD58</f>
        <v/>
      </c>
      <c r="BG1179">
        <f>'T_TTAFStock'!BE58</f>
        <v/>
      </c>
      <c r="BH1179">
        <f>'T_TTAFStock'!BF58</f>
        <v/>
      </c>
      <c r="BI1179">
        <f>'T_TTAFStock'!BG58</f>
        <v/>
      </c>
      <c r="BJ1179">
        <f>'T_TTAFStock'!BH58</f>
        <v/>
      </c>
      <c r="BK1179">
        <f>'T_TTAFStock'!BI58</f>
        <v/>
      </c>
      <c r="BL1179">
        <f>'T_TTAFStock'!BJ58</f>
        <v/>
      </c>
      <c r="BM1179">
        <f>'T_TTAFStock'!BK58</f>
        <v/>
      </c>
      <c r="BN1179">
        <f>'T_TTAFStock'!BL58</f>
        <v/>
      </c>
      <c r="BO1179">
        <f>'T_TTAFStock'!BM58</f>
        <v/>
      </c>
      <c r="BP1179">
        <f>'T_TTAFStock'!BN58</f>
        <v/>
      </c>
      <c r="BQ1179">
        <f>'T_TTAFStock'!BO58</f>
        <v/>
      </c>
      <c r="BR1179">
        <f>'T_TTAFStock'!BP58</f>
        <v/>
      </c>
      <c r="BS1179">
        <f>'T_TTAFStock'!BQ58</f>
        <v/>
      </c>
      <c r="BT1179">
        <f>'T_TTAFStock'!BR58</f>
        <v/>
      </c>
      <c r="BU1179">
        <f>'T_TTAFStock'!BS58</f>
        <v/>
      </c>
      <c r="BV1179">
        <f>'T_TTAFStock'!BT58</f>
        <v/>
      </c>
      <c r="BW1179">
        <f>'T_TTAFStock'!BU58</f>
        <v/>
      </c>
      <c r="BX1179">
        <f>'T_TTAFStock'!BV58</f>
        <v/>
      </c>
      <c r="BY1179">
        <f>'T_TTAFStock'!BW58</f>
        <v/>
      </c>
      <c r="BZ1179">
        <f>'T_TTAFStock'!BX58</f>
        <v/>
      </c>
      <c r="CA1179">
        <f>'T_TTAFStock'!BY58</f>
        <v/>
      </c>
      <c r="CB1179">
        <f>'T_TTAFStock'!BZ58</f>
        <v/>
      </c>
      <c r="CC1179">
        <f>'T_TTAFStock'!CA58</f>
        <v/>
      </c>
      <c r="CD1179">
        <f>'T_TTAFStock'!CB58</f>
        <v/>
      </c>
      <c r="CE1179">
        <f>'T_TTAFStock'!CC58</f>
        <v/>
      </c>
      <c r="CF1179">
        <f>'T_TTAFStock'!CD58</f>
        <v/>
      </c>
      <c r="CG1179">
        <f>'T_TTAFStock'!CE58</f>
        <v/>
      </c>
      <c r="CH1179">
        <f>'T_TTAFStock'!CF58</f>
        <v/>
      </c>
      <c r="CI1179">
        <f>'T_TTAFStock'!CG58</f>
        <v/>
      </c>
      <c r="CJ1179">
        <f>'T_TTAFStock'!CH58</f>
        <v/>
      </c>
      <c r="CK1179">
        <f>'T_TTAFStock'!CI58</f>
        <v/>
      </c>
      <c r="CL1179">
        <f>'T_TTAFStock'!CJ58</f>
        <v/>
      </c>
      <c r="CM1179">
        <f>'T_TTAFStock'!CK58</f>
        <v/>
      </c>
      <c r="CN1179">
        <f>'T_TTAFStock'!CL58</f>
        <v/>
      </c>
      <c r="CO1179">
        <f>'T_TTAFStock'!CM58</f>
        <v/>
      </c>
      <c r="CP1179">
        <f>'T_TTAFStock'!CN58</f>
        <v/>
      </c>
      <c r="CQ1179">
        <f>'T_TTAFStock'!CO58</f>
        <v/>
      </c>
      <c r="CR1179">
        <f>'T_TTAFStock'!CP58</f>
        <v/>
      </c>
      <c r="CS1179">
        <f>'T_TTAFStock'!CQ58</f>
        <v/>
      </c>
      <c r="CT1179">
        <f>'T_TTAFStock'!CR58</f>
        <v/>
      </c>
      <c r="CU1179">
        <f>'T_TTAFStock'!CS58</f>
        <v/>
      </c>
      <c r="CV1179">
        <f>'T_TTAFStock'!CT58</f>
        <v/>
      </c>
      <c r="CW1179">
        <f>'T_TTAFStock'!CU58</f>
        <v/>
      </c>
      <c r="CX1179">
        <f>'T_TTAFStock'!CV58</f>
        <v/>
      </c>
      <c r="CY1179">
        <f>'T_TTAFStock'!CW58</f>
        <v/>
      </c>
      <c r="CZ1179">
        <f>'T_TTAFStock'!CX58</f>
        <v/>
      </c>
      <c r="DA1179">
        <f>'T_TTAFStock'!CY58</f>
        <v/>
      </c>
      <c r="DB1179">
        <f>'T_TTAFStock'!CZ58</f>
        <v/>
      </c>
      <c r="DC1179">
        <f>'T_TTAFStock'!DA58</f>
        <v/>
      </c>
    </row>
    <row r="1180">
      <c r="B1180" t="inlineStr">
        <is>
          <t>自社在庫(実績,kg)</t>
        </is>
      </c>
      <c r="D1180">
        <f>'T_SelfStock'!B58</f>
        <v/>
      </c>
      <c r="E1180">
        <f>'T_SelfStock'!C58</f>
        <v/>
      </c>
      <c r="F1180">
        <f>'T_SelfStock'!D58</f>
        <v/>
      </c>
      <c r="G1180">
        <f>'T_SelfStock'!E58</f>
        <v/>
      </c>
      <c r="H1180">
        <f>'T_SelfStock'!F58</f>
        <v/>
      </c>
      <c r="I1180">
        <f>'T_SelfStock'!G58</f>
        <v/>
      </c>
      <c r="J1180">
        <f>'T_SelfStock'!H58</f>
        <v/>
      </c>
      <c r="K1180">
        <f>'T_SelfStock'!I58</f>
        <v/>
      </c>
      <c r="L1180">
        <f>'T_SelfStock'!J58</f>
        <v/>
      </c>
      <c r="M1180">
        <f>'T_SelfStock'!K58</f>
        <v/>
      </c>
      <c r="N1180">
        <f>'T_SelfStock'!L58</f>
        <v/>
      </c>
      <c r="O1180">
        <f>'T_SelfStock'!M58</f>
        <v/>
      </c>
      <c r="P1180">
        <f>'T_SelfStock'!N58</f>
        <v/>
      </c>
      <c r="Q1180">
        <f>'T_SelfStock'!O58</f>
        <v/>
      </c>
      <c r="R1180">
        <f>'T_SelfStock'!P58</f>
        <v/>
      </c>
      <c r="S1180">
        <f>'T_SelfStock'!Q58</f>
        <v/>
      </c>
      <c r="T1180">
        <f>'T_SelfStock'!R58</f>
        <v/>
      </c>
      <c r="U1180">
        <f>'T_SelfStock'!S58</f>
        <v/>
      </c>
      <c r="V1180">
        <f>'T_SelfStock'!T58</f>
        <v/>
      </c>
      <c r="W1180">
        <f>'T_SelfStock'!U58</f>
        <v/>
      </c>
      <c r="X1180">
        <f>'T_SelfStock'!V58</f>
        <v/>
      </c>
      <c r="Y1180">
        <f>'T_SelfStock'!W58</f>
        <v/>
      </c>
      <c r="Z1180">
        <f>'T_SelfStock'!X58</f>
        <v/>
      </c>
      <c r="AA1180">
        <f>'T_SelfStock'!Y58</f>
        <v/>
      </c>
      <c r="AB1180">
        <f>'T_SelfStock'!Z58</f>
        <v/>
      </c>
      <c r="AC1180">
        <f>'T_SelfStock'!AA58</f>
        <v/>
      </c>
      <c r="AD1180">
        <f>'T_SelfStock'!AB58</f>
        <v/>
      </c>
      <c r="AE1180">
        <f>'T_SelfStock'!AC58</f>
        <v/>
      </c>
      <c r="AF1180">
        <f>'T_SelfStock'!AD58</f>
        <v/>
      </c>
      <c r="AG1180">
        <f>'T_SelfStock'!AE58</f>
        <v/>
      </c>
      <c r="AH1180">
        <f>'T_SelfStock'!AF58</f>
        <v/>
      </c>
      <c r="AI1180">
        <f>'T_SelfStock'!AG58</f>
        <v/>
      </c>
      <c r="AJ1180">
        <f>'T_SelfStock'!AH58</f>
        <v/>
      </c>
      <c r="AK1180">
        <f>'T_SelfStock'!AI58</f>
        <v/>
      </c>
      <c r="AL1180">
        <f>'T_SelfStock'!AJ58</f>
        <v/>
      </c>
      <c r="AM1180">
        <f>'T_SelfStock'!AK58</f>
        <v/>
      </c>
      <c r="AN1180">
        <f>'T_SelfStock'!AL58</f>
        <v/>
      </c>
      <c r="AO1180">
        <f>'T_SelfStock'!AM58</f>
        <v/>
      </c>
      <c r="AP1180">
        <f>'T_SelfStock'!AN58</f>
        <v/>
      </c>
      <c r="AQ1180">
        <f>'T_SelfStock'!AO58</f>
        <v/>
      </c>
      <c r="AR1180">
        <f>'T_SelfStock'!AP58</f>
        <v/>
      </c>
      <c r="AS1180">
        <f>'T_SelfStock'!AQ58</f>
        <v/>
      </c>
      <c r="AT1180">
        <f>'T_SelfStock'!AR58</f>
        <v/>
      </c>
      <c r="AU1180">
        <f>'T_SelfStock'!AS58</f>
        <v/>
      </c>
      <c r="AV1180">
        <f>'T_SelfStock'!AT58</f>
        <v/>
      </c>
      <c r="AW1180">
        <f>'T_SelfStock'!AU58</f>
        <v/>
      </c>
      <c r="AX1180">
        <f>'T_SelfStock'!AV58</f>
        <v/>
      </c>
      <c r="AY1180">
        <f>'T_SelfStock'!AW58</f>
        <v/>
      </c>
      <c r="AZ1180">
        <f>'T_SelfStock'!AX58</f>
        <v/>
      </c>
      <c r="BA1180">
        <f>'T_SelfStock'!AY58</f>
        <v/>
      </c>
      <c r="BB1180">
        <f>'T_SelfStock'!AZ58</f>
        <v/>
      </c>
      <c r="BC1180">
        <f>'T_SelfStock'!BA58</f>
        <v/>
      </c>
      <c r="BD1180">
        <f>'T_SelfStock'!BB58</f>
        <v/>
      </c>
      <c r="BE1180">
        <f>'T_SelfStock'!BC58</f>
        <v/>
      </c>
      <c r="BF1180">
        <f>'T_SelfStock'!BD58</f>
        <v/>
      </c>
      <c r="BG1180">
        <f>'T_SelfStock'!BE58</f>
        <v/>
      </c>
      <c r="BH1180">
        <f>'T_SelfStock'!BF58</f>
        <v/>
      </c>
      <c r="BI1180">
        <f>'T_SelfStock'!BG58</f>
        <v/>
      </c>
      <c r="BJ1180">
        <f>'T_SelfStock'!BH58</f>
        <v/>
      </c>
      <c r="BK1180">
        <f>'T_SelfStock'!BI58</f>
        <v/>
      </c>
      <c r="BL1180">
        <f>'T_SelfStock'!BJ58</f>
        <v/>
      </c>
      <c r="BM1180">
        <f>'T_SelfStock'!BK58</f>
        <v/>
      </c>
      <c r="BN1180">
        <f>'T_SelfStock'!BL58</f>
        <v/>
      </c>
      <c r="BO1180">
        <f>'T_SelfStock'!BM58</f>
        <v/>
      </c>
      <c r="BP1180">
        <f>'T_SelfStock'!BN58</f>
        <v/>
      </c>
      <c r="BQ1180">
        <f>'T_SelfStock'!BO58</f>
        <v/>
      </c>
      <c r="BR1180">
        <f>'T_SelfStock'!BP58</f>
        <v/>
      </c>
      <c r="BS1180">
        <f>'T_SelfStock'!BQ58</f>
        <v/>
      </c>
      <c r="BT1180">
        <f>'T_SelfStock'!BR58</f>
        <v/>
      </c>
      <c r="BU1180">
        <f>'T_SelfStock'!BS58</f>
        <v/>
      </c>
      <c r="BV1180">
        <f>'T_SelfStock'!BT58</f>
        <v/>
      </c>
      <c r="BW1180">
        <f>'T_SelfStock'!BU58</f>
        <v/>
      </c>
      <c r="BX1180">
        <f>'T_SelfStock'!BV58</f>
        <v/>
      </c>
      <c r="BY1180">
        <f>'T_SelfStock'!BW58</f>
        <v/>
      </c>
      <c r="BZ1180">
        <f>'T_SelfStock'!BX58</f>
        <v/>
      </c>
      <c r="CA1180">
        <f>'T_SelfStock'!BY58</f>
        <v/>
      </c>
      <c r="CB1180">
        <f>'T_SelfStock'!BZ58</f>
        <v/>
      </c>
      <c r="CC1180">
        <f>'T_SelfStock'!CA58</f>
        <v/>
      </c>
      <c r="CD1180">
        <f>'T_SelfStock'!CB58</f>
        <v/>
      </c>
      <c r="CE1180">
        <f>'T_SelfStock'!CC58</f>
        <v/>
      </c>
      <c r="CF1180">
        <f>'T_SelfStock'!CD58</f>
        <v/>
      </c>
      <c r="CG1180">
        <f>'T_SelfStock'!CE58</f>
        <v/>
      </c>
      <c r="CH1180">
        <f>'T_SelfStock'!CF58</f>
        <v/>
      </c>
      <c r="CI1180">
        <f>'T_SelfStock'!CG58</f>
        <v/>
      </c>
      <c r="CJ1180">
        <f>'T_SelfStock'!CH58</f>
        <v/>
      </c>
      <c r="CK1180">
        <f>'T_SelfStock'!CI58</f>
        <v/>
      </c>
      <c r="CL1180">
        <f>'T_SelfStock'!CJ58</f>
        <v/>
      </c>
      <c r="CM1180">
        <f>'T_SelfStock'!CK58</f>
        <v/>
      </c>
      <c r="CN1180">
        <f>'T_SelfStock'!CL58</f>
        <v/>
      </c>
      <c r="CO1180">
        <f>'T_SelfStock'!CM58</f>
        <v/>
      </c>
      <c r="CP1180">
        <f>'T_SelfStock'!CN58</f>
        <v/>
      </c>
      <c r="CQ1180">
        <f>'T_SelfStock'!CO58</f>
        <v/>
      </c>
      <c r="CR1180">
        <f>'T_SelfStock'!CP58</f>
        <v/>
      </c>
      <c r="CS1180">
        <f>'T_SelfStock'!CQ58</f>
        <v/>
      </c>
      <c r="CT1180">
        <f>'T_SelfStock'!CR58</f>
        <v/>
      </c>
      <c r="CU1180">
        <f>'T_SelfStock'!CS58</f>
        <v/>
      </c>
      <c r="CV1180">
        <f>'T_SelfStock'!CT58</f>
        <v/>
      </c>
      <c r="CW1180">
        <f>'T_SelfStock'!CU58</f>
        <v/>
      </c>
      <c r="CX1180">
        <f>'T_SelfStock'!CV58</f>
        <v/>
      </c>
      <c r="CY1180">
        <f>'T_SelfStock'!CW58</f>
        <v/>
      </c>
      <c r="CZ1180">
        <f>'T_SelfStock'!CX58</f>
        <v/>
      </c>
      <c r="DA1180">
        <f>'T_SelfStock'!CY58</f>
        <v/>
      </c>
      <c r="DB1180">
        <f>'T_SelfStock'!CZ58</f>
        <v/>
      </c>
      <c r="DC1180">
        <f>'T_SelfStock'!DA58</f>
        <v/>
      </c>
    </row>
    <row r="1181">
      <c r="B1181" t="inlineStr">
        <is>
          <t>Order(発注予定,kg)</t>
        </is>
      </c>
      <c r="D1181" s="23" t="n"/>
      <c r="E1181" s="23" t="n"/>
      <c r="F1181" s="23" t="n"/>
      <c r="G1181" s="23" t="n"/>
      <c r="H1181" s="23" t="n"/>
      <c r="I1181" s="23" t="n"/>
      <c r="J1181" s="23" t="n"/>
      <c r="K1181" s="23" t="n"/>
      <c r="L1181" s="23" t="n"/>
      <c r="M1181" s="23" t="n"/>
      <c r="N1181" s="23" t="n"/>
      <c r="O1181" s="23" t="n"/>
      <c r="P1181" s="23" t="n"/>
      <c r="Q1181" s="23" t="n"/>
      <c r="R1181" s="23" t="n"/>
      <c r="S1181" s="23" t="n"/>
      <c r="T1181" s="23" t="n"/>
      <c r="U1181" s="23" t="n"/>
      <c r="V1181" s="23" t="n"/>
      <c r="W1181" s="23" t="n"/>
      <c r="X1181" s="23" t="n"/>
      <c r="Y1181" s="23" t="n"/>
      <c r="Z1181" s="23" t="n"/>
      <c r="AA1181" s="23" t="n"/>
      <c r="AB1181" s="23" t="n"/>
      <c r="AC1181" s="23" t="n"/>
      <c r="AD1181" s="23" t="n"/>
      <c r="AE1181" s="23" t="n"/>
      <c r="AF1181" s="23" t="n"/>
      <c r="AG1181" s="23" t="n"/>
      <c r="AH1181" s="23" t="n"/>
      <c r="AI1181" s="23" t="n"/>
      <c r="AJ1181" s="23" t="n"/>
      <c r="AK1181" s="23" t="n"/>
      <c r="AL1181" s="23" t="n"/>
      <c r="AM1181" s="23" t="n"/>
      <c r="AN1181" s="23" t="n"/>
      <c r="AO1181" s="23" t="n"/>
      <c r="AP1181" s="23" t="n"/>
      <c r="AQ1181" s="23" t="n"/>
      <c r="AR1181" s="23" t="n"/>
      <c r="AS1181" s="23" t="n"/>
      <c r="AT1181" s="23" t="n"/>
      <c r="AU1181" s="23" t="n"/>
      <c r="AV1181" s="23" t="n"/>
      <c r="AW1181" s="23" t="n"/>
      <c r="AX1181" s="23" t="n"/>
      <c r="AY1181" s="23" t="n"/>
      <c r="AZ1181" s="23" t="n"/>
      <c r="BA1181" s="23" t="n"/>
      <c r="BB1181" s="23" t="n"/>
      <c r="BC1181" s="23" t="n"/>
      <c r="BD1181" s="23" t="n"/>
      <c r="BE1181" s="23" t="n"/>
      <c r="BF1181" s="23" t="n"/>
      <c r="BG1181" s="23" t="n"/>
      <c r="BH1181" s="23" t="n"/>
      <c r="BI1181" s="23" t="n"/>
      <c r="BJ1181" s="23" t="n"/>
      <c r="BK1181" s="23" t="n"/>
      <c r="BL1181" s="23" t="n"/>
      <c r="BM1181" s="23" t="n"/>
      <c r="BN1181" s="23" t="n"/>
      <c r="BO1181" s="23" t="n"/>
      <c r="BP1181" s="23" t="n"/>
      <c r="BQ1181" s="23" t="n"/>
      <c r="BR1181" s="23" t="n"/>
      <c r="BS1181" s="23" t="n"/>
      <c r="BT1181" s="23" t="n"/>
      <c r="BU1181" s="23" t="n"/>
      <c r="BV1181" s="23" t="n"/>
      <c r="BW1181" s="23" t="n"/>
      <c r="BX1181" s="23" t="n"/>
      <c r="BY1181" s="23" t="n"/>
      <c r="BZ1181" s="23" t="n"/>
      <c r="CA1181" s="23" t="n"/>
      <c r="CB1181" s="23" t="n"/>
      <c r="CC1181" s="23" t="n"/>
      <c r="CD1181" s="23" t="n"/>
      <c r="CE1181" s="23" t="n"/>
      <c r="CF1181" s="23" t="n"/>
      <c r="CG1181" s="23" t="n"/>
      <c r="CH1181" s="23" t="n"/>
      <c r="CI1181" s="23" t="n"/>
      <c r="CJ1181" s="23" t="n"/>
      <c r="CK1181" s="23" t="n"/>
      <c r="CL1181" s="23" t="n"/>
      <c r="CM1181" s="23" t="n"/>
      <c r="CN1181" s="23" t="n"/>
      <c r="CO1181" s="23" t="n"/>
      <c r="CP1181" s="23" t="n"/>
      <c r="CQ1181" s="23" t="n"/>
      <c r="CR1181" s="23" t="n"/>
      <c r="CS1181" s="23" t="n"/>
      <c r="CT1181" s="23" t="n"/>
      <c r="CU1181" s="23" t="n"/>
      <c r="CV1181" s="23" t="n"/>
      <c r="CW1181" s="23" t="n"/>
      <c r="CX1181" s="23" t="n"/>
      <c r="CY1181" s="23" t="n"/>
      <c r="CZ1181" s="23" t="n"/>
      <c r="DA1181" s="23" t="n"/>
      <c r="DB1181" s="23" t="n"/>
      <c r="DC1181" s="23" t="n"/>
      <c r="DE1181" s="12" t="inlineStr">
        <is>
          <t>PP Film</t>
        </is>
      </c>
    </row>
    <row r="1182">
      <c r="B1182" s="5" t="inlineStr">
        <is>
          <t>合計在庫(週末時点,kg)</t>
        </is>
      </c>
      <c r="D1182">
        <f>'Grid_Stock'!B54</f>
        <v/>
      </c>
      <c r="E1182">
        <f>'Grid_Stock'!C54</f>
        <v/>
      </c>
      <c r="F1182">
        <f>'Grid_Stock'!D54</f>
        <v/>
      </c>
      <c r="G1182">
        <f>'Grid_Stock'!E54</f>
        <v/>
      </c>
      <c r="H1182">
        <f>'Grid_Stock'!F54</f>
        <v/>
      </c>
      <c r="I1182">
        <f>'Grid_Stock'!G54</f>
        <v/>
      </c>
      <c r="J1182">
        <f>'Grid_Stock'!H54</f>
        <v/>
      </c>
      <c r="K1182">
        <f>'Grid_Stock'!I54</f>
        <v/>
      </c>
      <c r="L1182">
        <f>'Grid_Stock'!J54</f>
        <v/>
      </c>
      <c r="M1182">
        <f>'Grid_Stock'!K54</f>
        <v/>
      </c>
      <c r="N1182">
        <f>'Grid_Stock'!L54</f>
        <v/>
      </c>
      <c r="O1182">
        <f>'Grid_Stock'!M54</f>
        <v/>
      </c>
      <c r="P1182">
        <f>'Grid_Stock'!N54</f>
        <v/>
      </c>
      <c r="Q1182">
        <f>'Grid_Stock'!O54</f>
        <v/>
      </c>
      <c r="R1182">
        <f>'Grid_Stock'!P54</f>
        <v/>
      </c>
      <c r="S1182">
        <f>'Grid_Stock'!Q54</f>
        <v/>
      </c>
      <c r="T1182">
        <f>'Grid_Stock'!R54</f>
        <v/>
      </c>
      <c r="U1182">
        <f>'Grid_Stock'!S54</f>
        <v/>
      </c>
      <c r="V1182">
        <f>'Grid_Stock'!T54</f>
        <v/>
      </c>
      <c r="W1182">
        <f>'Grid_Stock'!U54</f>
        <v/>
      </c>
      <c r="X1182">
        <f>'Grid_Stock'!V54</f>
        <v/>
      </c>
      <c r="Y1182">
        <f>'Grid_Stock'!W54</f>
        <v/>
      </c>
      <c r="Z1182">
        <f>'Grid_Stock'!X54</f>
        <v/>
      </c>
      <c r="AA1182">
        <f>'Grid_Stock'!Y54</f>
        <v/>
      </c>
      <c r="AB1182">
        <f>'Grid_Stock'!Z54</f>
        <v/>
      </c>
      <c r="AC1182">
        <f>'Grid_Stock'!AA54</f>
        <v/>
      </c>
      <c r="AD1182">
        <f>'Grid_Stock'!AB54</f>
        <v/>
      </c>
      <c r="AE1182">
        <f>'Grid_Stock'!AC54</f>
        <v/>
      </c>
      <c r="AF1182">
        <f>'Grid_Stock'!AD54</f>
        <v/>
      </c>
      <c r="AG1182">
        <f>'Grid_Stock'!AE54</f>
        <v/>
      </c>
      <c r="AH1182">
        <f>'Grid_Stock'!AF54</f>
        <v/>
      </c>
      <c r="AI1182">
        <f>'Grid_Stock'!AG54</f>
        <v/>
      </c>
      <c r="AJ1182">
        <f>'Grid_Stock'!AH54</f>
        <v/>
      </c>
      <c r="AK1182">
        <f>'Grid_Stock'!AI54</f>
        <v/>
      </c>
      <c r="AL1182">
        <f>'Grid_Stock'!AJ54</f>
        <v/>
      </c>
      <c r="AM1182">
        <f>'Grid_Stock'!AK54</f>
        <v/>
      </c>
      <c r="AN1182">
        <f>'Grid_Stock'!AL54</f>
        <v/>
      </c>
      <c r="AO1182">
        <f>'Grid_Stock'!AM54</f>
        <v/>
      </c>
      <c r="AP1182">
        <f>'Grid_Stock'!AN54</f>
        <v/>
      </c>
      <c r="AQ1182">
        <f>'Grid_Stock'!AO54</f>
        <v/>
      </c>
      <c r="AR1182">
        <f>'Grid_Stock'!AP54</f>
        <v/>
      </c>
      <c r="AS1182">
        <f>'Grid_Stock'!AQ54</f>
        <v/>
      </c>
      <c r="AT1182">
        <f>'Grid_Stock'!AR54</f>
        <v/>
      </c>
      <c r="AU1182">
        <f>'Grid_Stock'!AS54</f>
        <v/>
      </c>
      <c r="AV1182">
        <f>'Grid_Stock'!AT54</f>
        <v/>
      </c>
      <c r="AW1182">
        <f>'Grid_Stock'!AU54</f>
        <v/>
      </c>
      <c r="AX1182">
        <f>'Grid_Stock'!AV54</f>
        <v/>
      </c>
      <c r="AY1182">
        <f>'Grid_Stock'!AW54</f>
        <v/>
      </c>
      <c r="AZ1182">
        <f>'Grid_Stock'!AX54</f>
        <v/>
      </c>
      <c r="BA1182">
        <f>'Grid_Stock'!AY54</f>
        <v/>
      </c>
      <c r="BB1182">
        <f>'Grid_Stock'!AZ54</f>
        <v/>
      </c>
      <c r="BC1182">
        <f>'Grid_Stock'!BA54</f>
        <v/>
      </c>
      <c r="BD1182">
        <f>'Grid_Stock'!BB54</f>
        <v/>
      </c>
      <c r="BE1182">
        <f>'Grid_Stock'!BC54</f>
        <v/>
      </c>
      <c r="BF1182">
        <f>'Grid_Stock'!BD54</f>
        <v/>
      </c>
      <c r="BG1182">
        <f>'Grid_Stock'!BE54</f>
        <v/>
      </c>
      <c r="BH1182">
        <f>'Grid_Stock'!BF54</f>
        <v/>
      </c>
      <c r="BI1182">
        <f>'Grid_Stock'!BG54</f>
        <v/>
      </c>
      <c r="BJ1182">
        <f>'Grid_Stock'!BH54</f>
        <v/>
      </c>
      <c r="BK1182">
        <f>'Grid_Stock'!BI54</f>
        <v/>
      </c>
      <c r="BL1182">
        <f>'Grid_Stock'!BJ54</f>
        <v/>
      </c>
      <c r="BM1182">
        <f>'Grid_Stock'!BK54</f>
        <v/>
      </c>
      <c r="BN1182">
        <f>'Grid_Stock'!BL54</f>
        <v/>
      </c>
      <c r="BO1182">
        <f>'Grid_Stock'!BM54</f>
        <v/>
      </c>
      <c r="BP1182">
        <f>'Grid_Stock'!BN54</f>
        <v/>
      </c>
      <c r="BQ1182">
        <f>'Grid_Stock'!BO54</f>
        <v/>
      </c>
      <c r="BR1182">
        <f>'Grid_Stock'!BP54</f>
        <v/>
      </c>
      <c r="BS1182">
        <f>'Grid_Stock'!BQ54</f>
        <v/>
      </c>
      <c r="BT1182">
        <f>'Grid_Stock'!BR54</f>
        <v/>
      </c>
      <c r="BU1182">
        <f>'Grid_Stock'!BS54</f>
        <v/>
      </c>
      <c r="BV1182">
        <f>'Grid_Stock'!BT54</f>
        <v/>
      </c>
      <c r="BW1182">
        <f>'Grid_Stock'!BU54</f>
        <v/>
      </c>
      <c r="BX1182">
        <f>'Grid_Stock'!BV54</f>
        <v/>
      </c>
      <c r="BY1182">
        <f>'Grid_Stock'!BW54</f>
        <v/>
      </c>
      <c r="BZ1182">
        <f>'Grid_Stock'!BX54</f>
        <v/>
      </c>
      <c r="CA1182">
        <f>'Grid_Stock'!BY54</f>
        <v/>
      </c>
      <c r="CB1182">
        <f>'Grid_Stock'!BZ54</f>
        <v/>
      </c>
      <c r="CC1182">
        <f>'Grid_Stock'!CA54</f>
        <v/>
      </c>
      <c r="CD1182">
        <f>'Grid_Stock'!CB54</f>
        <v/>
      </c>
      <c r="CE1182">
        <f>'Grid_Stock'!CC54</f>
        <v/>
      </c>
      <c r="CF1182">
        <f>'Grid_Stock'!CD54</f>
        <v/>
      </c>
      <c r="CG1182">
        <f>'Grid_Stock'!CE54</f>
        <v/>
      </c>
      <c r="CH1182">
        <f>'Grid_Stock'!CF54</f>
        <v/>
      </c>
      <c r="CI1182">
        <f>'Grid_Stock'!CG54</f>
        <v/>
      </c>
      <c r="CJ1182">
        <f>'Grid_Stock'!CH54</f>
        <v/>
      </c>
      <c r="CK1182">
        <f>'Grid_Stock'!CI54</f>
        <v/>
      </c>
      <c r="CL1182">
        <f>'Grid_Stock'!CJ54</f>
        <v/>
      </c>
      <c r="CM1182">
        <f>'Grid_Stock'!CK54</f>
        <v/>
      </c>
      <c r="CN1182">
        <f>'Grid_Stock'!CL54</f>
        <v/>
      </c>
      <c r="CO1182">
        <f>'Grid_Stock'!CM54</f>
        <v/>
      </c>
      <c r="CP1182">
        <f>'Grid_Stock'!CN54</f>
        <v/>
      </c>
      <c r="CQ1182">
        <f>'Grid_Stock'!CO54</f>
        <v/>
      </c>
      <c r="CR1182">
        <f>'Grid_Stock'!CP54</f>
        <v/>
      </c>
      <c r="CS1182">
        <f>'Grid_Stock'!CQ54</f>
        <v/>
      </c>
      <c r="CT1182">
        <f>'Grid_Stock'!CR54</f>
        <v/>
      </c>
      <c r="CU1182">
        <f>'Grid_Stock'!CS54</f>
        <v/>
      </c>
      <c r="CV1182">
        <f>'Grid_Stock'!CT54</f>
        <v/>
      </c>
      <c r="CW1182">
        <f>'Grid_Stock'!CU54</f>
        <v/>
      </c>
      <c r="CX1182">
        <f>'Grid_Stock'!CV54</f>
        <v/>
      </c>
      <c r="CY1182">
        <f>'Grid_Stock'!CW54</f>
        <v/>
      </c>
      <c r="CZ1182">
        <f>'Grid_Stock'!CX54</f>
        <v/>
      </c>
      <c r="DA1182">
        <f>'Grid_Stock'!CY54</f>
        <v/>
      </c>
      <c r="DB1182">
        <f>'Grid_Stock'!CZ54</f>
        <v/>
      </c>
      <c r="DC1182">
        <f>'Grid_Stock'!DA54</f>
        <v/>
      </c>
    </row>
    <row r="1183">
      <c r="B1183" s="24" t="inlineStr">
        <is>
          <t>（発注の目安はDashboardの基準在庫[下限/上限]と色分けを参照）</t>
        </is>
      </c>
    </row>
    <row r="1185">
      <c r="A1185" s="21" t="inlineStr">
        <is>
          <t>CHEM-1560</t>
        </is>
      </c>
      <c r="B1185" s="21" t="inlineStr">
        <is>
          <t>TZP 511</t>
        </is>
      </c>
      <c r="C1185" s="22" t="n"/>
      <c r="D1185" s="21" t="n"/>
      <c r="E1185" s="21" t="n"/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  <c r="AA1185" s="21" t="n"/>
      <c r="AB1185" s="21" t="n"/>
      <c r="AC1185" s="21" t="n"/>
      <c r="AD1185" s="21" t="n"/>
      <c r="AE1185" s="21" t="n"/>
      <c r="AF1185" s="21" t="n"/>
      <c r="AG1185" s="21" t="n"/>
      <c r="AH1185" s="21" t="n"/>
      <c r="AI1185" s="21" t="n"/>
      <c r="AJ1185" s="21" t="n"/>
      <c r="AK1185" s="21" t="n"/>
      <c r="AL1185" s="21" t="n"/>
      <c r="AM1185" s="21" t="n"/>
      <c r="AN1185" s="21" t="n"/>
      <c r="AO1185" s="21" t="n"/>
      <c r="AP1185" s="21" t="n"/>
      <c r="AQ1185" s="21" t="n"/>
      <c r="AR1185" s="21" t="n"/>
      <c r="AS1185" s="21" t="n"/>
      <c r="AT1185" s="21" t="n"/>
      <c r="AU1185" s="21" t="n"/>
      <c r="AV1185" s="21" t="n"/>
      <c r="AW1185" s="21" t="n"/>
      <c r="AX1185" s="21" t="n"/>
      <c r="AY1185" s="21" t="n"/>
      <c r="AZ1185" s="21" t="n"/>
      <c r="BA1185" s="21" t="n"/>
      <c r="BB1185" s="21" t="n"/>
      <c r="BC1185" s="21" t="n"/>
      <c r="BD1185" s="21" t="n"/>
      <c r="BE1185" s="21" t="n"/>
      <c r="BF1185" s="21" t="n"/>
      <c r="BG1185" s="21" t="n"/>
      <c r="BH1185" s="21" t="n"/>
      <c r="BI1185" s="21" t="n"/>
      <c r="BJ1185" s="21" t="n"/>
      <c r="BK1185" s="21" t="n"/>
      <c r="BL1185" s="21" t="n"/>
      <c r="BM1185" s="21" t="n"/>
      <c r="BN1185" s="21" t="n"/>
      <c r="BO1185" s="21" t="n"/>
      <c r="BP1185" s="21" t="n"/>
      <c r="BQ1185" s="21" t="n"/>
      <c r="BR1185" s="21" t="n"/>
      <c r="BS1185" s="21" t="n"/>
      <c r="BT1185" s="21" t="n"/>
      <c r="BU1185" s="21" t="n"/>
      <c r="BV1185" s="21" t="n"/>
      <c r="BW1185" s="21" t="n"/>
      <c r="BX1185" s="21" t="n"/>
      <c r="BY1185" s="21" t="n"/>
      <c r="BZ1185" s="21" t="n"/>
      <c r="CA1185" s="21" t="n"/>
      <c r="CB1185" s="21" t="n"/>
      <c r="CC1185" s="21" t="n"/>
      <c r="CD1185" s="21" t="n"/>
      <c r="CE1185" s="21" t="n"/>
      <c r="CF1185" s="21" t="n"/>
      <c r="CG1185" s="21" t="n"/>
      <c r="CH1185" s="21" t="n"/>
      <c r="CI1185" s="21" t="n"/>
      <c r="CJ1185" s="21" t="n"/>
      <c r="CK1185" s="21" t="n"/>
      <c r="CL1185" s="21" t="n"/>
      <c r="CM1185" s="21" t="n"/>
      <c r="CN1185" s="21" t="n"/>
      <c r="CO1185" s="21" t="n"/>
      <c r="CP1185" s="21" t="n"/>
      <c r="CQ1185" s="21" t="n"/>
      <c r="CR1185" s="21" t="n"/>
      <c r="CS1185" s="21" t="n"/>
      <c r="CT1185" s="21" t="n"/>
      <c r="CU1185" s="21" t="n"/>
      <c r="CV1185" s="21" t="n"/>
      <c r="CW1185" s="21" t="n"/>
      <c r="CX1185" s="21" t="n"/>
      <c r="CY1185" s="21" t="n"/>
      <c r="CZ1185" s="21" t="n"/>
      <c r="DA1185" s="21" t="n"/>
      <c r="DB1185" s="21" t="n"/>
      <c r="DC1185" s="21" t="n"/>
    </row>
    <row r="1186">
      <c r="B1186" t="inlineStr">
        <is>
          <t>TSP-360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Name],$A1185)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TSP-544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Name],$A1185)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TSP-710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Name],$A1185)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s="5" t="inlineStr">
        <is>
          <t>合計使用量(kg)/週</t>
        </is>
      </c>
      <c r="D1192">
        <f>'Grid_Requirement'!B55</f>
        <v/>
      </c>
      <c r="E1192">
        <f>'Grid_Requirement'!C55</f>
        <v/>
      </c>
      <c r="F1192">
        <f>'Grid_Requirement'!D55</f>
        <v/>
      </c>
      <c r="G1192">
        <f>'Grid_Requirement'!E55</f>
        <v/>
      </c>
      <c r="H1192">
        <f>'Grid_Requirement'!F55</f>
        <v/>
      </c>
      <c r="I1192">
        <f>'Grid_Requirement'!G55</f>
        <v/>
      </c>
      <c r="J1192">
        <f>'Grid_Requirement'!H55</f>
        <v/>
      </c>
      <c r="K1192">
        <f>'Grid_Requirement'!I55</f>
        <v/>
      </c>
      <c r="L1192">
        <f>'Grid_Requirement'!J55</f>
        <v/>
      </c>
      <c r="M1192">
        <f>'Grid_Requirement'!K55</f>
        <v/>
      </c>
      <c r="N1192">
        <f>'Grid_Requirement'!L55</f>
        <v/>
      </c>
      <c r="O1192">
        <f>'Grid_Requirement'!M55</f>
        <v/>
      </c>
      <c r="P1192">
        <f>'Grid_Requirement'!N55</f>
        <v/>
      </c>
      <c r="Q1192">
        <f>'Grid_Requirement'!O55</f>
        <v/>
      </c>
      <c r="R1192">
        <f>'Grid_Requirement'!P55</f>
        <v/>
      </c>
      <c r="S1192">
        <f>'Grid_Requirement'!Q55</f>
        <v/>
      </c>
      <c r="T1192">
        <f>'Grid_Requirement'!R55</f>
        <v/>
      </c>
      <c r="U1192">
        <f>'Grid_Requirement'!S55</f>
        <v/>
      </c>
      <c r="V1192">
        <f>'Grid_Requirement'!T55</f>
        <v/>
      </c>
      <c r="W1192">
        <f>'Grid_Requirement'!U55</f>
        <v/>
      </c>
      <c r="X1192">
        <f>'Grid_Requirement'!V55</f>
        <v/>
      </c>
      <c r="Y1192">
        <f>'Grid_Requirement'!W55</f>
        <v/>
      </c>
      <c r="Z1192">
        <f>'Grid_Requirement'!X55</f>
        <v/>
      </c>
      <c r="AA1192">
        <f>'Grid_Requirement'!Y55</f>
        <v/>
      </c>
      <c r="AB1192">
        <f>'Grid_Requirement'!Z55</f>
        <v/>
      </c>
      <c r="AC1192">
        <f>'Grid_Requirement'!AA55</f>
        <v/>
      </c>
      <c r="AD1192">
        <f>'Grid_Requirement'!AB55</f>
        <v/>
      </c>
      <c r="AE1192">
        <f>'Grid_Requirement'!AC55</f>
        <v/>
      </c>
      <c r="AF1192">
        <f>'Grid_Requirement'!AD55</f>
        <v/>
      </c>
      <c r="AG1192">
        <f>'Grid_Requirement'!AE55</f>
        <v/>
      </c>
      <c r="AH1192">
        <f>'Grid_Requirement'!AF55</f>
        <v/>
      </c>
      <c r="AI1192">
        <f>'Grid_Requirement'!AG55</f>
        <v/>
      </c>
      <c r="AJ1192">
        <f>'Grid_Requirement'!AH55</f>
        <v/>
      </c>
      <c r="AK1192">
        <f>'Grid_Requirement'!AI55</f>
        <v/>
      </c>
      <c r="AL1192">
        <f>'Grid_Requirement'!AJ55</f>
        <v/>
      </c>
      <c r="AM1192">
        <f>'Grid_Requirement'!AK55</f>
        <v/>
      </c>
      <c r="AN1192">
        <f>'Grid_Requirement'!AL55</f>
        <v/>
      </c>
      <c r="AO1192">
        <f>'Grid_Requirement'!AM55</f>
        <v/>
      </c>
      <c r="AP1192">
        <f>'Grid_Requirement'!AN55</f>
        <v/>
      </c>
      <c r="AQ1192">
        <f>'Grid_Requirement'!AO55</f>
        <v/>
      </c>
      <c r="AR1192">
        <f>'Grid_Requirement'!AP55</f>
        <v/>
      </c>
      <c r="AS1192">
        <f>'Grid_Requirement'!AQ55</f>
        <v/>
      </c>
      <c r="AT1192">
        <f>'Grid_Requirement'!AR55</f>
        <v/>
      </c>
      <c r="AU1192">
        <f>'Grid_Requirement'!AS55</f>
        <v/>
      </c>
      <c r="AV1192">
        <f>'Grid_Requirement'!AT55</f>
        <v/>
      </c>
      <c r="AW1192">
        <f>'Grid_Requirement'!AU55</f>
        <v/>
      </c>
      <c r="AX1192">
        <f>'Grid_Requirement'!AV55</f>
        <v/>
      </c>
      <c r="AY1192">
        <f>'Grid_Requirement'!AW55</f>
        <v/>
      </c>
      <c r="AZ1192">
        <f>'Grid_Requirement'!AX55</f>
        <v/>
      </c>
      <c r="BA1192">
        <f>'Grid_Requirement'!AY55</f>
        <v/>
      </c>
      <c r="BB1192">
        <f>'Grid_Requirement'!AZ55</f>
        <v/>
      </c>
      <c r="BC1192">
        <f>'Grid_Requirement'!BA55</f>
        <v/>
      </c>
      <c r="BD1192">
        <f>'Grid_Requirement'!BB55</f>
        <v/>
      </c>
      <c r="BE1192">
        <f>'Grid_Requirement'!BC55</f>
        <v/>
      </c>
      <c r="BF1192">
        <f>'Grid_Requirement'!BD55</f>
        <v/>
      </c>
      <c r="BG1192">
        <f>'Grid_Requirement'!BE55</f>
        <v/>
      </c>
      <c r="BH1192">
        <f>'Grid_Requirement'!BF55</f>
        <v/>
      </c>
      <c r="BI1192">
        <f>'Grid_Requirement'!BG55</f>
        <v/>
      </c>
      <c r="BJ1192">
        <f>'Grid_Requirement'!BH55</f>
        <v/>
      </c>
      <c r="BK1192">
        <f>'Grid_Requirement'!BI55</f>
        <v/>
      </c>
      <c r="BL1192">
        <f>'Grid_Requirement'!BJ55</f>
        <v/>
      </c>
      <c r="BM1192">
        <f>'Grid_Requirement'!BK55</f>
        <v/>
      </c>
      <c r="BN1192">
        <f>'Grid_Requirement'!BL55</f>
        <v/>
      </c>
      <c r="BO1192">
        <f>'Grid_Requirement'!BM55</f>
        <v/>
      </c>
      <c r="BP1192">
        <f>'Grid_Requirement'!BN55</f>
        <v/>
      </c>
      <c r="BQ1192">
        <f>'Grid_Requirement'!BO55</f>
        <v/>
      </c>
      <c r="BR1192">
        <f>'Grid_Requirement'!BP55</f>
        <v/>
      </c>
      <c r="BS1192">
        <f>'Grid_Requirement'!BQ55</f>
        <v/>
      </c>
      <c r="BT1192">
        <f>'Grid_Requirement'!BR55</f>
        <v/>
      </c>
      <c r="BU1192">
        <f>'Grid_Requirement'!BS55</f>
        <v/>
      </c>
      <c r="BV1192">
        <f>'Grid_Requirement'!BT55</f>
        <v/>
      </c>
      <c r="BW1192">
        <f>'Grid_Requirement'!BU55</f>
        <v/>
      </c>
      <c r="BX1192">
        <f>'Grid_Requirement'!BV55</f>
        <v/>
      </c>
      <c r="BY1192">
        <f>'Grid_Requirement'!BW55</f>
        <v/>
      </c>
      <c r="BZ1192">
        <f>'Grid_Requirement'!BX55</f>
        <v/>
      </c>
      <c r="CA1192">
        <f>'Grid_Requirement'!BY55</f>
        <v/>
      </c>
      <c r="CB1192">
        <f>'Grid_Requirement'!BZ55</f>
        <v/>
      </c>
      <c r="CC1192">
        <f>'Grid_Requirement'!CA55</f>
        <v/>
      </c>
      <c r="CD1192">
        <f>'Grid_Requirement'!CB55</f>
        <v/>
      </c>
      <c r="CE1192">
        <f>'Grid_Requirement'!CC55</f>
        <v/>
      </c>
      <c r="CF1192">
        <f>'Grid_Requirement'!CD55</f>
        <v/>
      </c>
      <c r="CG1192">
        <f>'Grid_Requirement'!CE55</f>
        <v/>
      </c>
      <c r="CH1192">
        <f>'Grid_Requirement'!CF55</f>
        <v/>
      </c>
      <c r="CI1192">
        <f>'Grid_Requirement'!CG55</f>
        <v/>
      </c>
      <c r="CJ1192">
        <f>'Grid_Requirement'!CH55</f>
        <v/>
      </c>
      <c r="CK1192">
        <f>'Grid_Requirement'!CI55</f>
        <v/>
      </c>
      <c r="CL1192">
        <f>'Grid_Requirement'!CJ55</f>
        <v/>
      </c>
      <c r="CM1192">
        <f>'Grid_Requirement'!CK55</f>
        <v/>
      </c>
      <c r="CN1192">
        <f>'Grid_Requirement'!CL55</f>
        <v/>
      </c>
      <c r="CO1192">
        <f>'Grid_Requirement'!CM55</f>
        <v/>
      </c>
      <c r="CP1192">
        <f>'Grid_Requirement'!CN55</f>
        <v/>
      </c>
      <c r="CQ1192">
        <f>'Grid_Requirement'!CO55</f>
        <v/>
      </c>
      <c r="CR1192">
        <f>'Grid_Requirement'!CP55</f>
        <v/>
      </c>
      <c r="CS1192">
        <f>'Grid_Requirement'!CQ55</f>
        <v/>
      </c>
      <c r="CT1192">
        <f>'Grid_Requirement'!CR55</f>
        <v/>
      </c>
      <c r="CU1192">
        <f>'Grid_Requirement'!CS55</f>
        <v/>
      </c>
      <c r="CV1192">
        <f>'Grid_Requirement'!CT55</f>
        <v/>
      </c>
      <c r="CW1192">
        <f>'Grid_Requirement'!CU55</f>
        <v/>
      </c>
      <c r="CX1192">
        <f>'Grid_Requirement'!CV55</f>
        <v/>
      </c>
      <c r="CY1192">
        <f>'Grid_Requirement'!CW55</f>
        <v/>
      </c>
      <c r="CZ1192">
        <f>'Grid_Requirement'!CX55</f>
        <v/>
      </c>
      <c r="DA1192">
        <f>'Grid_Requirement'!CY55</f>
        <v/>
      </c>
      <c r="DB1192">
        <f>'Grid_Requirement'!CZ55</f>
        <v/>
      </c>
      <c r="DC1192">
        <f>'Grid_Requirement'!DA55</f>
        <v/>
      </c>
    </row>
    <row r="1193">
      <c r="B1193" t="inlineStr">
        <is>
          <t>TTAF在庫(実績,kg)</t>
        </is>
      </c>
      <c r="D1193">
        <f>'T_TTAFStock'!B59</f>
        <v/>
      </c>
      <c r="E1193">
        <f>'T_TTAFStock'!C59</f>
        <v/>
      </c>
      <c r="F1193">
        <f>'T_TTAFStock'!D59</f>
        <v/>
      </c>
      <c r="G1193">
        <f>'T_TTAFStock'!E59</f>
        <v/>
      </c>
      <c r="H1193">
        <f>'T_TTAFStock'!F59</f>
        <v/>
      </c>
      <c r="I1193">
        <f>'T_TTAFStock'!G59</f>
        <v/>
      </c>
      <c r="J1193">
        <f>'T_TTAFStock'!H59</f>
        <v/>
      </c>
      <c r="K1193">
        <f>'T_TTAFStock'!I59</f>
        <v/>
      </c>
      <c r="L1193">
        <f>'T_TTAFStock'!J59</f>
        <v/>
      </c>
      <c r="M1193">
        <f>'T_TTAFStock'!K59</f>
        <v/>
      </c>
      <c r="N1193">
        <f>'T_TTAFStock'!L59</f>
        <v/>
      </c>
      <c r="O1193">
        <f>'T_TTAFStock'!M59</f>
        <v/>
      </c>
      <c r="P1193">
        <f>'T_TTAFStock'!N59</f>
        <v/>
      </c>
      <c r="Q1193">
        <f>'T_TTAFStock'!O59</f>
        <v/>
      </c>
      <c r="R1193">
        <f>'T_TTAFStock'!P59</f>
        <v/>
      </c>
      <c r="S1193">
        <f>'T_TTAFStock'!Q59</f>
        <v/>
      </c>
      <c r="T1193">
        <f>'T_TTAFStock'!R59</f>
        <v/>
      </c>
      <c r="U1193">
        <f>'T_TTAFStock'!S59</f>
        <v/>
      </c>
      <c r="V1193">
        <f>'T_TTAFStock'!T59</f>
        <v/>
      </c>
      <c r="W1193">
        <f>'T_TTAFStock'!U59</f>
        <v/>
      </c>
      <c r="X1193">
        <f>'T_TTAFStock'!V59</f>
        <v/>
      </c>
      <c r="Y1193">
        <f>'T_TTAFStock'!W59</f>
        <v/>
      </c>
      <c r="Z1193">
        <f>'T_TTAFStock'!X59</f>
        <v/>
      </c>
      <c r="AA1193">
        <f>'T_TTAFStock'!Y59</f>
        <v/>
      </c>
      <c r="AB1193">
        <f>'T_TTAFStock'!Z59</f>
        <v/>
      </c>
      <c r="AC1193">
        <f>'T_TTAFStock'!AA59</f>
        <v/>
      </c>
      <c r="AD1193">
        <f>'T_TTAFStock'!AB59</f>
        <v/>
      </c>
      <c r="AE1193">
        <f>'T_TTAFStock'!AC59</f>
        <v/>
      </c>
      <c r="AF1193">
        <f>'T_TTAFStock'!AD59</f>
        <v/>
      </c>
      <c r="AG1193">
        <f>'T_TTAFStock'!AE59</f>
        <v/>
      </c>
      <c r="AH1193">
        <f>'T_TTAFStock'!AF59</f>
        <v/>
      </c>
      <c r="AI1193">
        <f>'T_TTAFStock'!AG59</f>
        <v/>
      </c>
      <c r="AJ1193">
        <f>'T_TTAFStock'!AH59</f>
        <v/>
      </c>
      <c r="AK1193">
        <f>'T_TTAFStock'!AI59</f>
        <v/>
      </c>
      <c r="AL1193">
        <f>'T_TTAFStock'!AJ59</f>
        <v/>
      </c>
      <c r="AM1193">
        <f>'T_TTAFStock'!AK59</f>
        <v/>
      </c>
      <c r="AN1193">
        <f>'T_TTAFStock'!AL59</f>
        <v/>
      </c>
      <c r="AO1193">
        <f>'T_TTAFStock'!AM59</f>
        <v/>
      </c>
      <c r="AP1193">
        <f>'T_TTAFStock'!AN59</f>
        <v/>
      </c>
      <c r="AQ1193">
        <f>'T_TTAFStock'!AO59</f>
        <v/>
      </c>
      <c r="AR1193">
        <f>'T_TTAFStock'!AP59</f>
        <v/>
      </c>
      <c r="AS1193">
        <f>'T_TTAFStock'!AQ59</f>
        <v/>
      </c>
      <c r="AT1193">
        <f>'T_TTAFStock'!AR59</f>
        <v/>
      </c>
      <c r="AU1193">
        <f>'T_TTAFStock'!AS59</f>
        <v/>
      </c>
      <c r="AV1193">
        <f>'T_TTAFStock'!AT59</f>
        <v/>
      </c>
      <c r="AW1193">
        <f>'T_TTAFStock'!AU59</f>
        <v/>
      </c>
      <c r="AX1193">
        <f>'T_TTAFStock'!AV59</f>
        <v/>
      </c>
      <c r="AY1193">
        <f>'T_TTAFStock'!AW59</f>
        <v/>
      </c>
      <c r="AZ1193">
        <f>'T_TTAFStock'!AX59</f>
        <v/>
      </c>
      <c r="BA1193">
        <f>'T_TTAFStock'!AY59</f>
        <v/>
      </c>
      <c r="BB1193">
        <f>'T_TTAFStock'!AZ59</f>
        <v/>
      </c>
      <c r="BC1193">
        <f>'T_TTAFStock'!BA59</f>
        <v/>
      </c>
      <c r="BD1193">
        <f>'T_TTAFStock'!BB59</f>
        <v/>
      </c>
      <c r="BE1193">
        <f>'T_TTAFStock'!BC59</f>
        <v/>
      </c>
      <c r="BF1193">
        <f>'T_TTAFStock'!BD59</f>
        <v/>
      </c>
      <c r="BG1193">
        <f>'T_TTAFStock'!BE59</f>
        <v/>
      </c>
      <c r="BH1193">
        <f>'T_TTAFStock'!BF59</f>
        <v/>
      </c>
      <c r="BI1193">
        <f>'T_TTAFStock'!BG59</f>
        <v/>
      </c>
      <c r="BJ1193">
        <f>'T_TTAFStock'!BH59</f>
        <v/>
      </c>
      <c r="BK1193">
        <f>'T_TTAFStock'!BI59</f>
        <v/>
      </c>
      <c r="BL1193">
        <f>'T_TTAFStock'!BJ59</f>
        <v/>
      </c>
      <c r="BM1193">
        <f>'T_TTAFStock'!BK59</f>
        <v/>
      </c>
      <c r="BN1193">
        <f>'T_TTAFStock'!BL59</f>
        <v/>
      </c>
      <c r="BO1193">
        <f>'T_TTAFStock'!BM59</f>
        <v/>
      </c>
      <c r="BP1193">
        <f>'T_TTAFStock'!BN59</f>
        <v/>
      </c>
      <c r="BQ1193">
        <f>'T_TTAFStock'!BO59</f>
        <v/>
      </c>
      <c r="BR1193">
        <f>'T_TTAFStock'!BP59</f>
        <v/>
      </c>
      <c r="BS1193">
        <f>'T_TTAFStock'!BQ59</f>
        <v/>
      </c>
      <c r="BT1193">
        <f>'T_TTAFStock'!BR59</f>
        <v/>
      </c>
      <c r="BU1193">
        <f>'T_TTAFStock'!BS59</f>
        <v/>
      </c>
      <c r="BV1193">
        <f>'T_TTAFStock'!BT59</f>
        <v/>
      </c>
      <c r="BW1193">
        <f>'T_TTAFStock'!BU59</f>
        <v/>
      </c>
      <c r="BX1193">
        <f>'T_TTAFStock'!BV59</f>
        <v/>
      </c>
      <c r="BY1193">
        <f>'T_TTAFStock'!BW59</f>
        <v/>
      </c>
      <c r="BZ1193">
        <f>'T_TTAFStock'!BX59</f>
        <v/>
      </c>
      <c r="CA1193">
        <f>'T_TTAFStock'!BY59</f>
        <v/>
      </c>
      <c r="CB1193">
        <f>'T_TTAFStock'!BZ59</f>
        <v/>
      </c>
      <c r="CC1193">
        <f>'T_TTAFStock'!CA59</f>
        <v/>
      </c>
      <c r="CD1193">
        <f>'T_TTAFStock'!CB59</f>
        <v/>
      </c>
      <c r="CE1193">
        <f>'T_TTAFStock'!CC59</f>
        <v/>
      </c>
      <c r="CF1193">
        <f>'T_TTAFStock'!CD59</f>
        <v/>
      </c>
      <c r="CG1193">
        <f>'T_TTAFStock'!CE59</f>
        <v/>
      </c>
      <c r="CH1193">
        <f>'T_TTAFStock'!CF59</f>
        <v/>
      </c>
      <c r="CI1193">
        <f>'T_TTAFStock'!CG59</f>
        <v/>
      </c>
      <c r="CJ1193">
        <f>'T_TTAFStock'!CH59</f>
        <v/>
      </c>
      <c r="CK1193">
        <f>'T_TTAFStock'!CI59</f>
        <v/>
      </c>
      <c r="CL1193">
        <f>'T_TTAFStock'!CJ59</f>
        <v/>
      </c>
      <c r="CM1193">
        <f>'T_TTAFStock'!CK59</f>
        <v/>
      </c>
      <c r="CN1193">
        <f>'T_TTAFStock'!CL59</f>
        <v/>
      </c>
      <c r="CO1193">
        <f>'T_TTAFStock'!CM59</f>
        <v/>
      </c>
      <c r="CP1193">
        <f>'T_TTAFStock'!CN59</f>
        <v/>
      </c>
      <c r="CQ1193">
        <f>'T_TTAFStock'!CO59</f>
        <v/>
      </c>
      <c r="CR1193">
        <f>'T_TTAFStock'!CP59</f>
        <v/>
      </c>
      <c r="CS1193">
        <f>'T_TTAFStock'!CQ59</f>
        <v/>
      </c>
      <c r="CT1193">
        <f>'T_TTAFStock'!CR59</f>
        <v/>
      </c>
      <c r="CU1193">
        <f>'T_TTAFStock'!CS59</f>
        <v/>
      </c>
      <c r="CV1193">
        <f>'T_TTAFStock'!CT59</f>
        <v/>
      </c>
      <c r="CW1193">
        <f>'T_TTAFStock'!CU59</f>
        <v/>
      </c>
      <c r="CX1193">
        <f>'T_TTAFStock'!CV59</f>
        <v/>
      </c>
      <c r="CY1193">
        <f>'T_TTAFStock'!CW59</f>
        <v/>
      </c>
      <c r="CZ1193">
        <f>'T_TTAFStock'!CX59</f>
        <v/>
      </c>
      <c r="DA1193">
        <f>'T_TTAFStock'!CY59</f>
        <v/>
      </c>
      <c r="DB1193">
        <f>'T_TTAFStock'!CZ59</f>
        <v/>
      </c>
      <c r="DC1193">
        <f>'T_TTAFStock'!DA59</f>
        <v/>
      </c>
    </row>
    <row r="1194">
      <c r="B1194" t="inlineStr">
        <is>
          <t>自社在庫(実績,kg)</t>
        </is>
      </c>
      <c r="D1194">
        <f>'T_SelfStock'!B59</f>
        <v/>
      </c>
      <c r="E1194">
        <f>'T_SelfStock'!C59</f>
        <v/>
      </c>
      <c r="F1194">
        <f>'T_SelfStock'!D59</f>
        <v/>
      </c>
      <c r="G1194">
        <f>'T_SelfStock'!E59</f>
        <v/>
      </c>
      <c r="H1194">
        <f>'T_SelfStock'!F59</f>
        <v/>
      </c>
      <c r="I1194">
        <f>'T_SelfStock'!G59</f>
        <v/>
      </c>
      <c r="J1194">
        <f>'T_SelfStock'!H59</f>
        <v/>
      </c>
      <c r="K1194">
        <f>'T_SelfStock'!I59</f>
        <v/>
      </c>
      <c r="L1194">
        <f>'T_SelfStock'!J59</f>
        <v/>
      </c>
      <c r="M1194">
        <f>'T_SelfStock'!K59</f>
        <v/>
      </c>
      <c r="N1194">
        <f>'T_SelfStock'!L59</f>
        <v/>
      </c>
      <c r="O1194">
        <f>'T_SelfStock'!M59</f>
        <v/>
      </c>
      <c r="P1194">
        <f>'T_SelfStock'!N59</f>
        <v/>
      </c>
      <c r="Q1194">
        <f>'T_SelfStock'!O59</f>
        <v/>
      </c>
      <c r="R1194">
        <f>'T_SelfStock'!P59</f>
        <v/>
      </c>
      <c r="S1194">
        <f>'T_SelfStock'!Q59</f>
        <v/>
      </c>
      <c r="T1194">
        <f>'T_SelfStock'!R59</f>
        <v/>
      </c>
      <c r="U1194">
        <f>'T_SelfStock'!S59</f>
        <v/>
      </c>
      <c r="V1194">
        <f>'T_SelfStock'!T59</f>
        <v/>
      </c>
      <c r="W1194">
        <f>'T_SelfStock'!U59</f>
        <v/>
      </c>
      <c r="X1194">
        <f>'T_SelfStock'!V59</f>
        <v/>
      </c>
      <c r="Y1194">
        <f>'T_SelfStock'!W59</f>
        <v/>
      </c>
      <c r="Z1194">
        <f>'T_SelfStock'!X59</f>
        <v/>
      </c>
      <c r="AA1194">
        <f>'T_SelfStock'!Y59</f>
        <v/>
      </c>
      <c r="AB1194">
        <f>'T_SelfStock'!Z59</f>
        <v/>
      </c>
      <c r="AC1194">
        <f>'T_SelfStock'!AA59</f>
        <v/>
      </c>
      <c r="AD1194">
        <f>'T_SelfStock'!AB59</f>
        <v/>
      </c>
      <c r="AE1194">
        <f>'T_SelfStock'!AC59</f>
        <v/>
      </c>
      <c r="AF1194">
        <f>'T_SelfStock'!AD59</f>
        <v/>
      </c>
      <c r="AG1194">
        <f>'T_SelfStock'!AE59</f>
        <v/>
      </c>
      <c r="AH1194">
        <f>'T_SelfStock'!AF59</f>
        <v/>
      </c>
      <c r="AI1194">
        <f>'T_SelfStock'!AG59</f>
        <v/>
      </c>
      <c r="AJ1194">
        <f>'T_SelfStock'!AH59</f>
        <v/>
      </c>
      <c r="AK1194">
        <f>'T_SelfStock'!AI59</f>
        <v/>
      </c>
      <c r="AL1194">
        <f>'T_SelfStock'!AJ59</f>
        <v/>
      </c>
      <c r="AM1194">
        <f>'T_SelfStock'!AK59</f>
        <v/>
      </c>
      <c r="AN1194">
        <f>'T_SelfStock'!AL59</f>
        <v/>
      </c>
      <c r="AO1194">
        <f>'T_SelfStock'!AM59</f>
        <v/>
      </c>
      <c r="AP1194">
        <f>'T_SelfStock'!AN59</f>
        <v/>
      </c>
      <c r="AQ1194">
        <f>'T_SelfStock'!AO59</f>
        <v/>
      </c>
      <c r="AR1194">
        <f>'T_SelfStock'!AP59</f>
        <v/>
      </c>
      <c r="AS1194">
        <f>'T_SelfStock'!AQ59</f>
        <v/>
      </c>
      <c r="AT1194">
        <f>'T_SelfStock'!AR59</f>
        <v/>
      </c>
      <c r="AU1194">
        <f>'T_SelfStock'!AS59</f>
        <v/>
      </c>
      <c r="AV1194">
        <f>'T_SelfStock'!AT59</f>
        <v/>
      </c>
      <c r="AW1194">
        <f>'T_SelfStock'!AU59</f>
        <v/>
      </c>
      <c r="AX1194">
        <f>'T_SelfStock'!AV59</f>
        <v/>
      </c>
      <c r="AY1194">
        <f>'T_SelfStock'!AW59</f>
        <v/>
      </c>
      <c r="AZ1194">
        <f>'T_SelfStock'!AX59</f>
        <v/>
      </c>
      <c r="BA1194">
        <f>'T_SelfStock'!AY59</f>
        <v/>
      </c>
      <c r="BB1194">
        <f>'T_SelfStock'!AZ59</f>
        <v/>
      </c>
      <c r="BC1194">
        <f>'T_SelfStock'!BA59</f>
        <v/>
      </c>
      <c r="BD1194">
        <f>'T_SelfStock'!BB59</f>
        <v/>
      </c>
      <c r="BE1194">
        <f>'T_SelfStock'!BC59</f>
        <v/>
      </c>
      <c r="BF1194">
        <f>'T_SelfStock'!BD59</f>
        <v/>
      </c>
      <c r="BG1194">
        <f>'T_SelfStock'!BE59</f>
        <v/>
      </c>
      <c r="BH1194">
        <f>'T_SelfStock'!BF59</f>
        <v/>
      </c>
      <c r="BI1194">
        <f>'T_SelfStock'!BG59</f>
        <v/>
      </c>
      <c r="BJ1194">
        <f>'T_SelfStock'!BH59</f>
        <v/>
      </c>
      <c r="BK1194">
        <f>'T_SelfStock'!BI59</f>
        <v/>
      </c>
      <c r="BL1194">
        <f>'T_SelfStock'!BJ59</f>
        <v/>
      </c>
      <c r="BM1194">
        <f>'T_SelfStock'!BK59</f>
        <v/>
      </c>
      <c r="BN1194">
        <f>'T_SelfStock'!BL59</f>
        <v/>
      </c>
      <c r="BO1194">
        <f>'T_SelfStock'!BM59</f>
        <v/>
      </c>
      <c r="BP1194">
        <f>'T_SelfStock'!BN59</f>
        <v/>
      </c>
      <c r="BQ1194">
        <f>'T_SelfStock'!BO59</f>
        <v/>
      </c>
      <c r="BR1194">
        <f>'T_SelfStock'!BP59</f>
        <v/>
      </c>
      <c r="BS1194">
        <f>'T_SelfStock'!BQ59</f>
        <v/>
      </c>
      <c r="BT1194">
        <f>'T_SelfStock'!BR59</f>
        <v/>
      </c>
      <c r="BU1194">
        <f>'T_SelfStock'!BS59</f>
        <v/>
      </c>
      <c r="BV1194">
        <f>'T_SelfStock'!BT59</f>
        <v/>
      </c>
      <c r="BW1194">
        <f>'T_SelfStock'!BU59</f>
        <v/>
      </c>
      <c r="BX1194">
        <f>'T_SelfStock'!BV59</f>
        <v/>
      </c>
      <c r="BY1194">
        <f>'T_SelfStock'!BW59</f>
        <v/>
      </c>
      <c r="BZ1194">
        <f>'T_SelfStock'!BX59</f>
        <v/>
      </c>
      <c r="CA1194">
        <f>'T_SelfStock'!BY59</f>
        <v/>
      </c>
      <c r="CB1194">
        <f>'T_SelfStock'!BZ59</f>
        <v/>
      </c>
      <c r="CC1194">
        <f>'T_SelfStock'!CA59</f>
        <v/>
      </c>
      <c r="CD1194">
        <f>'T_SelfStock'!CB59</f>
        <v/>
      </c>
      <c r="CE1194">
        <f>'T_SelfStock'!CC59</f>
        <v/>
      </c>
      <c r="CF1194">
        <f>'T_SelfStock'!CD59</f>
        <v/>
      </c>
      <c r="CG1194">
        <f>'T_SelfStock'!CE59</f>
        <v/>
      </c>
      <c r="CH1194">
        <f>'T_SelfStock'!CF59</f>
        <v/>
      </c>
      <c r="CI1194">
        <f>'T_SelfStock'!CG59</f>
        <v/>
      </c>
      <c r="CJ1194">
        <f>'T_SelfStock'!CH59</f>
        <v/>
      </c>
      <c r="CK1194">
        <f>'T_SelfStock'!CI59</f>
        <v/>
      </c>
      <c r="CL1194">
        <f>'T_SelfStock'!CJ59</f>
        <v/>
      </c>
      <c r="CM1194">
        <f>'T_SelfStock'!CK59</f>
        <v/>
      </c>
      <c r="CN1194">
        <f>'T_SelfStock'!CL59</f>
        <v/>
      </c>
      <c r="CO1194">
        <f>'T_SelfStock'!CM59</f>
        <v/>
      </c>
      <c r="CP1194">
        <f>'T_SelfStock'!CN59</f>
        <v/>
      </c>
      <c r="CQ1194">
        <f>'T_SelfStock'!CO59</f>
        <v/>
      </c>
      <c r="CR1194">
        <f>'T_SelfStock'!CP59</f>
        <v/>
      </c>
      <c r="CS1194">
        <f>'T_SelfStock'!CQ59</f>
        <v/>
      </c>
      <c r="CT1194">
        <f>'T_SelfStock'!CR59</f>
        <v/>
      </c>
      <c r="CU1194">
        <f>'T_SelfStock'!CS59</f>
        <v/>
      </c>
      <c r="CV1194">
        <f>'T_SelfStock'!CT59</f>
        <v/>
      </c>
      <c r="CW1194">
        <f>'T_SelfStock'!CU59</f>
        <v/>
      </c>
      <c r="CX1194">
        <f>'T_SelfStock'!CV59</f>
        <v/>
      </c>
      <c r="CY1194">
        <f>'T_SelfStock'!CW59</f>
        <v/>
      </c>
      <c r="CZ1194">
        <f>'T_SelfStock'!CX59</f>
        <v/>
      </c>
      <c r="DA1194">
        <f>'T_SelfStock'!CY59</f>
        <v/>
      </c>
      <c r="DB1194">
        <f>'T_SelfStock'!CZ59</f>
        <v/>
      </c>
      <c r="DC1194">
        <f>'T_SelfStock'!DA59</f>
        <v/>
      </c>
    </row>
    <row r="1195">
      <c r="B1195" t="inlineStr">
        <is>
          <t>Order(発注予定,kg)</t>
        </is>
      </c>
      <c r="D1195" s="23" t="n"/>
      <c r="E1195" s="23" t="n"/>
      <c r="F1195" s="23" t="n"/>
      <c r="G1195" s="23" t="n"/>
      <c r="H1195" s="23" t="n"/>
      <c r="I1195" s="23" t="n"/>
      <c r="J1195" s="23" t="n"/>
      <c r="K1195" s="23" t="n"/>
      <c r="L1195" s="23" t="n"/>
      <c r="M1195" s="23" t="n"/>
      <c r="N1195" s="23" t="n"/>
      <c r="O1195" s="23" t="n"/>
      <c r="P1195" s="23" t="n"/>
      <c r="Q1195" s="23" t="n"/>
      <c r="R1195" s="23" t="n"/>
      <c r="S1195" s="23" t="n"/>
      <c r="T1195" s="23" t="n"/>
      <c r="U1195" s="23" t="n"/>
      <c r="V1195" s="23" t="n"/>
      <c r="W1195" s="23" t="n"/>
      <c r="X1195" s="23" t="n"/>
      <c r="Y1195" s="23" t="n"/>
      <c r="Z1195" s="23" t="n"/>
      <c r="AA1195" s="23" t="n"/>
      <c r="AB1195" s="23" t="n"/>
      <c r="AC1195" s="23" t="n"/>
      <c r="AD1195" s="23" t="n"/>
      <c r="AE1195" s="23" t="n"/>
      <c r="AF1195" s="23" t="n"/>
      <c r="AG1195" s="23" t="n"/>
      <c r="AH1195" s="23" t="n"/>
      <c r="AI1195" s="23" t="n"/>
      <c r="AJ1195" s="23" t="n"/>
      <c r="AK1195" s="23" t="n"/>
      <c r="AL1195" s="23" t="n"/>
      <c r="AM1195" s="23" t="n"/>
      <c r="AN1195" s="23" t="n"/>
      <c r="AO1195" s="23" t="n"/>
      <c r="AP1195" s="23" t="n"/>
      <c r="AQ1195" s="23" t="n"/>
      <c r="AR1195" s="23" t="n"/>
      <c r="AS1195" s="23" t="n"/>
      <c r="AT1195" s="23" t="n"/>
      <c r="AU1195" s="23" t="n"/>
      <c r="AV1195" s="23" t="n"/>
      <c r="AW1195" s="23" t="n"/>
      <c r="AX1195" s="23" t="n"/>
      <c r="AY1195" s="23" t="n"/>
      <c r="AZ1195" s="23" t="n"/>
      <c r="BA1195" s="23" t="n"/>
      <c r="BB1195" s="23" t="n"/>
      <c r="BC1195" s="23" t="n"/>
      <c r="BD1195" s="23" t="n"/>
      <c r="BE1195" s="23" t="n"/>
      <c r="BF1195" s="23" t="n"/>
      <c r="BG1195" s="23" t="n"/>
      <c r="BH1195" s="23" t="n"/>
      <c r="BI1195" s="23" t="n"/>
      <c r="BJ1195" s="23" t="n"/>
      <c r="BK1195" s="23" t="n"/>
      <c r="BL1195" s="23" t="n"/>
      <c r="BM1195" s="23" t="n"/>
      <c r="BN1195" s="23" t="n"/>
      <c r="BO1195" s="23" t="n"/>
      <c r="BP1195" s="23" t="n"/>
      <c r="BQ1195" s="23" t="n"/>
      <c r="BR1195" s="23" t="n"/>
      <c r="BS1195" s="23" t="n"/>
      <c r="BT1195" s="23" t="n"/>
      <c r="BU1195" s="23" t="n"/>
      <c r="BV1195" s="23" t="n"/>
      <c r="BW1195" s="23" t="n"/>
      <c r="BX1195" s="23" t="n"/>
      <c r="BY1195" s="23" t="n"/>
      <c r="BZ1195" s="23" t="n"/>
      <c r="CA1195" s="23" t="n"/>
      <c r="CB1195" s="23" t="n"/>
      <c r="CC1195" s="23" t="n"/>
      <c r="CD1195" s="23" t="n"/>
      <c r="CE1195" s="23" t="n"/>
      <c r="CF1195" s="23" t="n"/>
      <c r="CG1195" s="23" t="n"/>
      <c r="CH1195" s="23" t="n"/>
      <c r="CI1195" s="23" t="n"/>
      <c r="CJ1195" s="23" t="n"/>
      <c r="CK1195" s="23" t="n"/>
      <c r="CL1195" s="23" t="n"/>
      <c r="CM1195" s="23" t="n"/>
      <c r="CN1195" s="23" t="n"/>
      <c r="CO1195" s="23" t="n"/>
      <c r="CP1195" s="23" t="n"/>
      <c r="CQ1195" s="23" t="n"/>
      <c r="CR1195" s="23" t="n"/>
      <c r="CS1195" s="23" t="n"/>
      <c r="CT1195" s="23" t="n"/>
      <c r="CU1195" s="23" t="n"/>
      <c r="CV1195" s="23" t="n"/>
      <c r="CW1195" s="23" t="n"/>
      <c r="CX1195" s="23" t="n"/>
      <c r="CY1195" s="23" t="n"/>
      <c r="CZ1195" s="23" t="n"/>
      <c r="DA1195" s="23" t="n"/>
      <c r="DB1195" s="23" t="n"/>
      <c r="DC1195" s="23" t="n"/>
      <c r="DE1195" s="12" t="inlineStr">
        <is>
          <t>CHEM-1560</t>
        </is>
      </c>
    </row>
    <row r="1196">
      <c r="B1196" s="5" t="inlineStr">
        <is>
          <t>合計在庫(週末時点,kg)</t>
        </is>
      </c>
      <c r="D1196">
        <f>'Grid_Stock'!B55</f>
        <v/>
      </c>
      <c r="E1196">
        <f>'Grid_Stock'!C55</f>
        <v/>
      </c>
      <c r="F1196">
        <f>'Grid_Stock'!D55</f>
        <v/>
      </c>
      <c r="G1196">
        <f>'Grid_Stock'!E55</f>
        <v/>
      </c>
      <c r="H1196">
        <f>'Grid_Stock'!F55</f>
        <v/>
      </c>
      <c r="I1196">
        <f>'Grid_Stock'!G55</f>
        <v/>
      </c>
      <c r="J1196">
        <f>'Grid_Stock'!H55</f>
        <v/>
      </c>
      <c r="K1196">
        <f>'Grid_Stock'!I55</f>
        <v/>
      </c>
      <c r="L1196">
        <f>'Grid_Stock'!J55</f>
        <v/>
      </c>
      <c r="M1196">
        <f>'Grid_Stock'!K55</f>
        <v/>
      </c>
      <c r="N1196">
        <f>'Grid_Stock'!L55</f>
        <v/>
      </c>
      <c r="O1196">
        <f>'Grid_Stock'!M55</f>
        <v/>
      </c>
      <c r="P1196">
        <f>'Grid_Stock'!N55</f>
        <v/>
      </c>
      <c r="Q1196">
        <f>'Grid_Stock'!O55</f>
        <v/>
      </c>
      <c r="R1196">
        <f>'Grid_Stock'!P55</f>
        <v/>
      </c>
      <c r="S1196">
        <f>'Grid_Stock'!Q55</f>
        <v/>
      </c>
      <c r="T1196">
        <f>'Grid_Stock'!R55</f>
        <v/>
      </c>
      <c r="U1196">
        <f>'Grid_Stock'!S55</f>
        <v/>
      </c>
      <c r="V1196">
        <f>'Grid_Stock'!T55</f>
        <v/>
      </c>
      <c r="W1196">
        <f>'Grid_Stock'!U55</f>
        <v/>
      </c>
      <c r="X1196">
        <f>'Grid_Stock'!V55</f>
        <v/>
      </c>
      <c r="Y1196">
        <f>'Grid_Stock'!W55</f>
        <v/>
      </c>
      <c r="Z1196">
        <f>'Grid_Stock'!X55</f>
        <v/>
      </c>
      <c r="AA1196">
        <f>'Grid_Stock'!Y55</f>
        <v/>
      </c>
      <c r="AB1196">
        <f>'Grid_Stock'!Z55</f>
        <v/>
      </c>
      <c r="AC1196">
        <f>'Grid_Stock'!AA55</f>
        <v/>
      </c>
      <c r="AD1196">
        <f>'Grid_Stock'!AB55</f>
        <v/>
      </c>
      <c r="AE1196">
        <f>'Grid_Stock'!AC55</f>
        <v/>
      </c>
      <c r="AF1196">
        <f>'Grid_Stock'!AD55</f>
        <v/>
      </c>
      <c r="AG1196">
        <f>'Grid_Stock'!AE55</f>
        <v/>
      </c>
      <c r="AH1196">
        <f>'Grid_Stock'!AF55</f>
        <v/>
      </c>
      <c r="AI1196">
        <f>'Grid_Stock'!AG55</f>
        <v/>
      </c>
      <c r="AJ1196">
        <f>'Grid_Stock'!AH55</f>
        <v/>
      </c>
      <c r="AK1196">
        <f>'Grid_Stock'!AI55</f>
        <v/>
      </c>
      <c r="AL1196">
        <f>'Grid_Stock'!AJ55</f>
        <v/>
      </c>
      <c r="AM1196">
        <f>'Grid_Stock'!AK55</f>
        <v/>
      </c>
      <c r="AN1196">
        <f>'Grid_Stock'!AL55</f>
        <v/>
      </c>
      <c r="AO1196">
        <f>'Grid_Stock'!AM55</f>
        <v/>
      </c>
      <c r="AP1196">
        <f>'Grid_Stock'!AN55</f>
        <v/>
      </c>
      <c r="AQ1196">
        <f>'Grid_Stock'!AO55</f>
        <v/>
      </c>
      <c r="AR1196">
        <f>'Grid_Stock'!AP55</f>
        <v/>
      </c>
      <c r="AS1196">
        <f>'Grid_Stock'!AQ55</f>
        <v/>
      </c>
      <c r="AT1196">
        <f>'Grid_Stock'!AR55</f>
        <v/>
      </c>
      <c r="AU1196">
        <f>'Grid_Stock'!AS55</f>
        <v/>
      </c>
      <c r="AV1196">
        <f>'Grid_Stock'!AT55</f>
        <v/>
      </c>
      <c r="AW1196">
        <f>'Grid_Stock'!AU55</f>
        <v/>
      </c>
      <c r="AX1196">
        <f>'Grid_Stock'!AV55</f>
        <v/>
      </c>
      <c r="AY1196">
        <f>'Grid_Stock'!AW55</f>
        <v/>
      </c>
      <c r="AZ1196">
        <f>'Grid_Stock'!AX55</f>
        <v/>
      </c>
      <c r="BA1196">
        <f>'Grid_Stock'!AY55</f>
        <v/>
      </c>
      <c r="BB1196">
        <f>'Grid_Stock'!AZ55</f>
        <v/>
      </c>
      <c r="BC1196">
        <f>'Grid_Stock'!BA55</f>
        <v/>
      </c>
      <c r="BD1196">
        <f>'Grid_Stock'!BB55</f>
        <v/>
      </c>
      <c r="BE1196">
        <f>'Grid_Stock'!BC55</f>
        <v/>
      </c>
      <c r="BF1196">
        <f>'Grid_Stock'!BD55</f>
        <v/>
      </c>
      <c r="BG1196">
        <f>'Grid_Stock'!BE55</f>
        <v/>
      </c>
      <c r="BH1196">
        <f>'Grid_Stock'!BF55</f>
        <v/>
      </c>
      <c r="BI1196">
        <f>'Grid_Stock'!BG55</f>
        <v/>
      </c>
      <c r="BJ1196">
        <f>'Grid_Stock'!BH55</f>
        <v/>
      </c>
      <c r="BK1196">
        <f>'Grid_Stock'!BI55</f>
        <v/>
      </c>
      <c r="BL1196">
        <f>'Grid_Stock'!BJ55</f>
        <v/>
      </c>
      <c r="BM1196">
        <f>'Grid_Stock'!BK55</f>
        <v/>
      </c>
      <c r="BN1196">
        <f>'Grid_Stock'!BL55</f>
        <v/>
      </c>
      <c r="BO1196">
        <f>'Grid_Stock'!BM55</f>
        <v/>
      </c>
      <c r="BP1196">
        <f>'Grid_Stock'!BN55</f>
        <v/>
      </c>
      <c r="BQ1196">
        <f>'Grid_Stock'!BO55</f>
        <v/>
      </c>
      <c r="BR1196">
        <f>'Grid_Stock'!BP55</f>
        <v/>
      </c>
      <c r="BS1196">
        <f>'Grid_Stock'!BQ55</f>
        <v/>
      </c>
      <c r="BT1196">
        <f>'Grid_Stock'!BR55</f>
        <v/>
      </c>
      <c r="BU1196">
        <f>'Grid_Stock'!BS55</f>
        <v/>
      </c>
      <c r="BV1196">
        <f>'Grid_Stock'!BT55</f>
        <v/>
      </c>
      <c r="BW1196">
        <f>'Grid_Stock'!BU55</f>
        <v/>
      </c>
      <c r="BX1196">
        <f>'Grid_Stock'!BV55</f>
        <v/>
      </c>
      <c r="BY1196">
        <f>'Grid_Stock'!BW55</f>
        <v/>
      </c>
      <c r="BZ1196">
        <f>'Grid_Stock'!BX55</f>
        <v/>
      </c>
      <c r="CA1196">
        <f>'Grid_Stock'!BY55</f>
        <v/>
      </c>
      <c r="CB1196">
        <f>'Grid_Stock'!BZ55</f>
        <v/>
      </c>
      <c r="CC1196">
        <f>'Grid_Stock'!CA55</f>
        <v/>
      </c>
      <c r="CD1196">
        <f>'Grid_Stock'!CB55</f>
        <v/>
      </c>
      <c r="CE1196">
        <f>'Grid_Stock'!CC55</f>
        <v/>
      </c>
      <c r="CF1196">
        <f>'Grid_Stock'!CD55</f>
        <v/>
      </c>
      <c r="CG1196">
        <f>'Grid_Stock'!CE55</f>
        <v/>
      </c>
      <c r="CH1196">
        <f>'Grid_Stock'!CF55</f>
        <v/>
      </c>
      <c r="CI1196">
        <f>'Grid_Stock'!CG55</f>
        <v/>
      </c>
      <c r="CJ1196">
        <f>'Grid_Stock'!CH55</f>
        <v/>
      </c>
      <c r="CK1196">
        <f>'Grid_Stock'!CI55</f>
        <v/>
      </c>
      <c r="CL1196">
        <f>'Grid_Stock'!CJ55</f>
        <v/>
      </c>
      <c r="CM1196">
        <f>'Grid_Stock'!CK55</f>
        <v/>
      </c>
      <c r="CN1196">
        <f>'Grid_Stock'!CL55</f>
        <v/>
      </c>
      <c r="CO1196">
        <f>'Grid_Stock'!CM55</f>
        <v/>
      </c>
      <c r="CP1196">
        <f>'Grid_Stock'!CN55</f>
        <v/>
      </c>
      <c r="CQ1196">
        <f>'Grid_Stock'!CO55</f>
        <v/>
      </c>
      <c r="CR1196">
        <f>'Grid_Stock'!CP55</f>
        <v/>
      </c>
      <c r="CS1196">
        <f>'Grid_Stock'!CQ55</f>
        <v/>
      </c>
      <c r="CT1196">
        <f>'Grid_Stock'!CR55</f>
        <v/>
      </c>
      <c r="CU1196">
        <f>'Grid_Stock'!CS55</f>
        <v/>
      </c>
      <c r="CV1196">
        <f>'Grid_Stock'!CT55</f>
        <v/>
      </c>
      <c r="CW1196">
        <f>'Grid_Stock'!CU55</f>
        <v/>
      </c>
      <c r="CX1196">
        <f>'Grid_Stock'!CV55</f>
        <v/>
      </c>
      <c r="CY1196">
        <f>'Grid_Stock'!CW55</f>
        <v/>
      </c>
      <c r="CZ1196">
        <f>'Grid_Stock'!CX55</f>
        <v/>
      </c>
      <c r="DA1196">
        <f>'Grid_Stock'!CY55</f>
        <v/>
      </c>
      <c r="DB1196">
        <f>'Grid_Stock'!CZ55</f>
        <v/>
      </c>
      <c r="DC1196">
        <f>'Grid_Stock'!DA55</f>
        <v/>
      </c>
    </row>
    <row r="1197">
      <c r="B1197" s="24" t="inlineStr">
        <is>
          <t>（発注の目安はDashboardの基準在庫[下限/上限]と色分けを参照）</t>
        </is>
      </c>
    </row>
    <row r="1199">
      <c r="A1199" s="21" t="inlineStr">
        <is>
          <t>CHEM-1690</t>
        </is>
      </c>
      <c r="B1199" s="21" t="inlineStr">
        <is>
          <t>TPZ 560</t>
        </is>
      </c>
      <c r="C1199" s="22" t="n"/>
      <c r="D1199" s="21" t="n"/>
      <c r="E1199" s="21" t="n"/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  <c r="AA1199" s="21" t="n"/>
      <c r="AB1199" s="21" t="n"/>
      <c r="AC1199" s="21" t="n"/>
      <c r="AD1199" s="21" t="n"/>
      <c r="AE1199" s="21" t="n"/>
      <c r="AF1199" s="21" t="n"/>
      <c r="AG1199" s="21" t="n"/>
      <c r="AH1199" s="21" t="n"/>
      <c r="AI1199" s="21" t="n"/>
      <c r="AJ1199" s="21" t="n"/>
      <c r="AK1199" s="21" t="n"/>
      <c r="AL1199" s="21" t="n"/>
      <c r="AM1199" s="21" t="n"/>
      <c r="AN1199" s="21" t="n"/>
      <c r="AO1199" s="21" t="n"/>
      <c r="AP1199" s="21" t="n"/>
      <c r="AQ1199" s="21" t="n"/>
      <c r="AR1199" s="21" t="n"/>
      <c r="AS1199" s="21" t="n"/>
      <c r="AT1199" s="21" t="n"/>
      <c r="AU1199" s="21" t="n"/>
      <c r="AV1199" s="21" t="n"/>
      <c r="AW1199" s="21" t="n"/>
      <c r="AX1199" s="21" t="n"/>
      <c r="AY1199" s="21" t="n"/>
      <c r="AZ1199" s="21" t="n"/>
      <c r="BA1199" s="21" t="n"/>
      <c r="BB1199" s="21" t="n"/>
      <c r="BC1199" s="21" t="n"/>
      <c r="BD1199" s="21" t="n"/>
      <c r="BE1199" s="21" t="n"/>
      <c r="BF1199" s="21" t="n"/>
      <c r="BG1199" s="21" t="n"/>
      <c r="BH1199" s="21" t="n"/>
      <c r="BI1199" s="21" t="n"/>
      <c r="BJ1199" s="21" t="n"/>
      <c r="BK1199" s="21" t="n"/>
      <c r="BL1199" s="21" t="n"/>
      <c r="BM1199" s="21" t="n"/>
      <c r="BN1199" s="21" t="n"/>
      <c r="BO1199" s="21" t="n"/>
      <c r="BP1199" s="21" t="n"/>
      <c r="BQ1199" s="21" t="n"/>
      <c r="BR1199" s="21" t="n"/>
      <c r="BS1199" s="21" t="n"/>
      <c r="BT1199" s="21" t="n"/>
      <c r="BU1199" s="21" t="n"/>
      <c r="BV1199" s="21" t="n"/>
      <c r="BW1199" s="21" t="n"/>
      <c r="BX1199" s="21" t="n"/>
      <c r="BY1199" s="21" t="n"/>
      <c r="BZ1199" s="21" t="n"/>
      <c r="CA1199" s="21" t="n"/>
      <c r="CB1199" s="21" t="n"/>
      <c r="CC1199" s="21" t="n"/>
      <c r="CD1199" s="21" t="n"/>
      <c r="CE1199" s="21" t="n"/>
      <c r="CF1199" s="21" t="n"/>
      <c r="CG1199" s="21" t="n"/>
      <c r="CH1199" s="21" t="n"/>
      <c r="CI1199" s="21" t="n"/>
      <c r="CJ1199" s="21" t="n"/>
      <c r="CK1199" s="21" t="n"/>
      <c r="CL1199" s="21" t="n"/>
      <c r="CM1199" s="21" t="n"/>
      <c r="CN1199" s="21" t="n"/>
      <c r="CO1199" s="21" t="n"/>
      <c r="CP1199" s="21" t="n"/>
      <c r="CQ1199" s="21" t="n"/>
      <c r="CR1199" s="21" t="n"/>
      <c r="CS1199" s="21" t="n"/>
      <c r="CT1199" s="21" t="n"/>
      <c r="CU1199" s="21" t="n"/>
      <c r="CV1199" s="21" t="n"/>
      <c r="CW1199" s="21" t="n"/>
      <c r="CX1199" s="21" t="n"/>
      <c r="CY1199" s="21" t="n"/>
      <c r="CZ1199" s="21" t="n"/>
      <c r="DA1199" s="21" t="n"/>
      <c r="DB1199" s="21" t="n"/>
      <c r="DC1199" s="21" t="n"/>
    </row>
    <row r="1200">
      <c r="B1200" t="inlineStr">
        <is>
          <t>TSP-618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Name],$A1199)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TSP-903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Name],$A1199)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TSP-966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Name],$A1199)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s="5" t="inlineStr">
        <is>
          <t>合計使用量(kg)/週</t>
        </is>
      </c>
      <c r="D1206">
        <f>'Grid_Requirement'!B56</f>
        <v/>
      </c>
      <c r="E1206">
        <f>'Grid_Requirement'!C56</f>
        <v/>
      </c>
      <c r="F1206">
        <f>'Grid_Requirement'!D56</f>
        <v/>
      </c>
      <c r="G1206">
        <f>'Grid_Requirement'!E56</f>
        <v/>
      </c>
      <c r="H1206">
        <f>'Grid_Requirement'!F56</f>
        <v/>
      </c>
      <c r="I1206">
        <f>'Grid_Requirement'!G56</f>
        <v/>
      </c>
      <c r="J1206">
        <f>'Grid_Requirement'!H56</f>
        <v/>
      </c>
      <c r="K1206">
        <f>'Grid_Requirement'!I56</f>
        <v/>
      </c>
      <c r="L1206">
        <f>'Grid_Requirement'!J56</f>
        <v/>
      </c>
      <c r="M1206">
        <f>'Grid_Requirement'!K56</f>
        <v/>
      </c>
      <c r="N1206">
        <f>'Grid_Requirement'!L56</f>
        <v/>
      </c>
      <c r="O1206">
        <f>'Grid_Requirement'!M56</f>
        <v/>
      </c>
      <c r="P1206">
        <f>'Grid_Requirement'!N56</f>
        <v/>
      </c>
      <c r="Q1206">
        <f>'Grid_Requirement'!O56</f>
        <v/>
      </c>
      <c r="R1206">
        <f>'Grid_Requirement'!P56</f>
        <v/>
      </c>
      <c r="S1206">
        <f>'Grid_Requirement'!Q56</f>
        <v/>
      </c>
      <c r="T1206">
        <f>'Grid_Requirement'!R56</f>
        <v/>
      </c>
      <c r="U1206">
        <f>'Grid_Requirement'!S56</f>
        <v/>
      </c>
      <c r="V1206">
        <f>'Grid_Requirement'!T56</f>
        <v/>
      </c>
      <c r="W1206">
        <f>'Grid_Requirement'!U56</f>
        <v/>
      </c>
      <c r="X1206">
        <f>'Grid_Requirement'!V56</f>
        <v/>
      </c>
      <c r="Y1206">
        <f>'Grid_Requirement'!W56</f>
        <v/>
      </c>
      <c r="Z1206">
        <f>'Grid_Requirement'!X56</f>
        <v/>
      </c>
      <c r="AA1206">
        <f>'Grid_Requirement'!Y56</f>
        <v/>
      </c>
      <c r="AB1206">
        <f>'Grid_Requirement'!Z56</f>
        <v/>
      </c>
      <c r="AC1206">
        <f>'Grid_Requirement'!AA56</f>
        <v/>
      </c>
      <c r="AD1206">
        <f>'Grid_Requirement'!AB56</f>
        <v/>
      </c>
      <c r="AE1206">
        <f>'Grid_Requirement'!AC56</f>
        <v/>
      </c>
      <c r="AF1206">
        <f>'Grid_Requirement'!AD56</f>
        <v/>
      </c>
      <c r="AG1206">
        <f>'Grid_Requirement'!AE56</f>
        <v/>
      </c>
      <c r="AH1206">
        <f>'Grid_Requirement'!AF56</f>
        <v/>
      </c>
      <c r="AI1206">
        <f>'Grid_Requirement'!AG56</f>
        <v/>
      </c>
      <c r="AJ1206">
        <f>'Grid_Requirement'!AH56</f>
        <v/>
      </c>
      <c r="AK1206">
        <f>'Grid_Requirement'!AI56</f>
        <v/>
      </c>
      <c r="AL1206">
        <f>'Grid_Requirement'!AJ56</f>
        <v/>
      </c>
      <c r="AM1206">
        <f>'Grid_Requirement'!AK56</f>
        <v/>
      </c>
      <c r="AN1206">
        <f>'Grid_Requirement'!AL56</f>
        <v/>
      </c>
      <c r="AO1206">
        <f>'Grid_Requirement'!AM56</f>
        <v/>
      </c>
      <c r="AP1206">
        <f>'Grid_Requirement'!AN56</f>
        <v/>
      </c>
      <c r="AQ1206">
        <f>'Grid_Requirement'!AO56</f>
        <v/>
      </c>
      <c r="AR1206">
        <f>'Grid_Requirement'!AP56</f>
        <v/>
      </c>
      <c r="AS1206">
        <f>'Grid_Requirement'!AQ56</f>
        <v/>
      </c>
      <c r="AT1206">
        <f>'Grid_Requirement'!AR56</f>
        <v/>
      </c>
      <c r="AU1206">
        <f>'Grid_Requirement'!AS56</f>
        <v/>
      </c>
      <c r="AV1206">
        <f>'Grid_Requirement'!AT56</f>
        <v/>
      </c>
      <c r="AW1206">
        <f>'Grid_Requirement'!AU56</f>
        <v/>
      </c>
      <c r="AX1206">
        <f>'Grid_Requirement'!AV56</f>
        <v/>
      </c>
      <c r="AY1206">
        <f>'Grid_Requirement'!AW56</f>
        <v/>
      </c>
      <c r="AZ1206">
        <f>'Grid_Requirement'!AX56</f>
        <v/>
      </c>
      <c r="BA1206">
        <f>'Grid_Requirement'!AY56</f>
        <v/>
      </c>
      <c r="BB1206">
        <f>'Grid_Requirement'!AZ56</f>
        <v/>
      </c>
      <c r="BC1206">
        <f>'Grid_Requirement'!BA56</f>
        <v/>
      </c>
      <c r="BD1206">
        <f>'Grid_Requirement'!BB56</f>
        <v/>
      </c>
      <c r="BE1206">
        <f>'Grid_Requirement'!BC56</f>
        <v/>
      </c>
      <c r="BF1206">
        <f>'Grid_Requirement'!BD56</f>
        <v/>
      </c>
      <c r="BG1206">
        <f>'Grid_Requirement'!BE56</f>
        <v/>
      </c>
      <c r="BH1206">
        <f>'Grid_Requirement'!BF56</f>
        <v/>
      </c>
      <c r="BI1206">
        <f>'Grid_Requirement'!BG56</f>
        <v/>
      </c>
      <c r="BJ1206">
        <f>'Grid_Requirement'!BH56</f>
        <v/>
      </c>
      <c r="BK1206">
        <f>'Grid_Requirement'!BI56</f>
        <v/>
      </c>
      <c r="BL1206">
        <f>'Grid_Requirement'!BJ56</f>
        <v/>
      </c>
      <c r="BM1206">
        <f>'Grid_Requirement'!BK56</f>
        <v/>
      </c>
      <c r="BN1206">
        <f>'Grid_Requirement'!BL56</f>
        <v/>
      </c>
      <c r="BO1206">
        <f>'Grid_Requirement'!BM56</f>
        <v/>
      </c>
      <c r="BP1206">
        <f>'Grid_Requirement'!BN56</f>
        <v/>
      </c>
      <c r="BQ1206">
        <f>'Grid_Requirement'!BO56</f>
        <v/>
      </c>
      <c r="BR1206">
        <f>'Grid_Requirement'!BP56</f>
        <v/>
      </c>
      <c r="BS1206">
        <f>'Grid_Requirement'!BQ56</f>
        <v/>
      </c>
      <c r="BT1206">
        <f>'Grid_Requirement'!BR56</f>
        <v/>
      </c>
      <c r="BU1206">
        <f>'Grid_Requirement'!BS56</f>
        <v/>
      </c>
      <c r="BV1206">
        <f>'Grid_Requirement'!BT56</f>
        <v/>
      </c>
      <c r="BW1206">
        <f>'Grid_Requirement'!BU56</f>
        <v/>
      </c>
      <c r="BX1206">
        <f>'Grid_Requirement'!BV56</f>
        <v/>
      </c>
      <c r="BY1206">
        <f>'Grid_Requirement'!BW56</f>
        <v/>
      </c>
      <c r="BZ1206">
        <f>'Grid_Requirement'!BX56</f>
        <v/>
      </c>
      <c r="CA1206">
        <f>'Grid_Requirement'!BY56</f>
        <v/>
      </c>
      <c r="CB1206">
        <f>'Grid_Requirement'!BZ56</f>
        <v/>
      </c>
      <c r="CC1206">
        <f>'Grid_Requirement'!CA56</f>
        <v/>
      </c>
      <c r="CD1206">
        <f>'Grid_Requirement'!CB56</f>
        <v/>
      </c>
      <c r="CE1206">
        <f>'Grid_Requirement'!CC56</f>
        <v/>
      </c>
      <c r="CF1206">
        <f>'Grid_Requirement'!CD56</f>
        <v/>
      </c>
      <c r="CG1206">
        <f>'Grid_Requirement'!CE56</f>
        <v/>
      </c>
      <c r="CH1206">
        <f>'Grid_Requirement'!CF56</f>
        <v/>
      </c>
      <c r="CI1206">
        <f>'Grid_Requirement'!CG56</f>
        <v/>
      </c>
      <c r="CJ1206">
        <f>'Grid_Requirement'!CH56</f>
        <v/>
      </c>
      <c r="CK1206">
        <f>'Grid_Requirement'!CI56</f>
        <v/>
      </c>
      <c r="CL1206">
        <f>'Grid_Requirement'!CJ56</f>
        <v/>
      </c>
      <c r="CM1206">
        <f>'Grid_Requirement'!CK56</f>
        <v/>
      </c>
      <c r="CN1206">
        <f>'Grid_Requirement'!CL56</f>
        <v/>
      </c>
      <c r="CO1206">
        <f>'Grid_Requirement'!CM56</f>
        <v/>
      </c>
      <c r="CP1206">
        <f>'Grid_Requirement'!CN56</f>
        <v/>
      </c>
      <c r="CQ1206">
        <f>'Grid_Requirement'!CO56</f>
        <v/>
      </c>
      <c r="CR1206">
        <f>'Grid_Requirement'!CP56</f>
        <v/>
      </c>
      <c r="CS1206">
        <f>'Grid_Requirement'!CQ56</f>
        <v/>
      </c>
      <c r="CT1206">
        <f>'Grid_Requirement'!CR56</f>
        <v/>
      </c>
      <c r="CU1206">
        <f>'Grid_Requirement'!CS56</f>
        <v/>
      </c>
      <c r="CV1206">
        <f>'Grid_Requirement'!CT56</f>
        <v/>
      </c>
      <c r="CW1206">
        <f>'Grid_Requirement'!CU56</f>
        <v/>
      </c>
      <c r="CX1206">
        <f>'Grid_Requirement'!CV56</f>
        <v/>
      </c>
      <c r="CY1206">
        <f>'Grid_Requirement'!CW56</f>
        <v/>
      </c>
      <c r="CZ1206">
        <f>'Grid_Requirement'!CX56</f>
        <v/>
      </c>
      <c r="DA1206">
        <f>'Grid_Requirement'!CY56</f>
        <v/>
      </c>
      <c r="DB1206">
        <f>'Grid_Requirement'!CZ56</f>
        <v/>
      </c>
      <c r="DC1206">
        <f>'Grid_Requirement'!DA56</f>
        <v/>
      </c>
    </row>
    <row r="1207">
      <c r="B1207" t="inlineStr">
        <is>
          <t>TTAF在庫(実績,kg)</t>
        </is>
      </c>
      <c r="D1207">
        <f>'T_TTAFStock'!B60</f>
        <v/>
      </c>
      <c r="E1207">
        <f>'T_TTAFStock'!C60</f>
        <v/>
      </c>
      <c r="F1207">
        <f>'T_TTAFStock'!D60</f>
        <v/>
      </c>
      <c r="G1207">
        <f>'T_TTAFStock'!E60</f>
        <v/>
      </c>
      <c r="H1207">
        <f>'T_TTAFStock'!F60</f>
        <v/>
      </c>
      <c r="I1207">
        <f>'T_TTAFStock'!G60</f>
        <v/>
      </c>
      <c r="J1207">
        <f>'T_TTAFStock'!H60</f>
        <v/>
      </c>
      <c r="K1207">
        <f>'T_TTAFStock'!I60</f>
        <v/>
      </c>
      <c r="L1207">
        <f>'T_TTAFStock'!J60</f>
        <v/>
      </c>
      <c r="M1207">
        <f>'T_TTAFStock'!K60</f>
        <v/>
      </c>
      <c r="N1207">
        <f>'T_TTAFStock'!L60</f>
        <v/>
      </c>
      <c r="O1207">
        <f>'T_TTAFStock'!M60</f>
        <v/>
      </c>
      <c r="P1207">
        <f>'T_TTAFStock'!N60</f>
        <v/>
      </c>
      <c r="Q1207">
        <f>'T_TTAFStock'!O60</f>
        <v/>
      </c>
      <c r="R1207">
        <f>'T_TTAFStock'!P60</f>
        <v/>
      </c>
      <c r="S1207">
        <f>'T_TTAFStock'!Q60</f>
        <v/>
      </c>
      <c r="T1207">
        <f>'T_TTAFStock'!R60</f>
        <v/>
      </c>
      <c r="U1207">
        <f>'T_TTAFStock'!S60</f>
        <v/>
      </c>
      <c r="V1207">
        <f>'T_TTAFStock'!T60</f>
        <v/>
      </c>
      <c r="W1207">
        <f>'T_TTAFStock'!U60</f>
        <v/>
      </c>
      <c r="X1207">
        <f>'T_TTAFStock'!V60</f>
        <v/>
      </c>
      <c r="Y1207">
        <f>'T_TTAFStock'!W60</f>
        <v/>
      </c>
      <c r="Z1207">
        <f>'T_TTAFStock'!X60</f>
        <v/>
      </c>
      <c r="AA1207">
        <f>'T_TTAFStock'!Y60</f>
        <v/>
      </c>
      <c r="AB1207">
        <f>'T_TTAFStock'!Z60</f>
        <v/>
      </c>
      <c r="AC1207">
        <f>'T_TTAFStock'!AA60</f>
        <v/>
      </c>
      <c r="AD1207">
        <f>'T_TTAFStock'!AB60</f>
        <v/>
      </c>
      <c r="AE1207">
        <f>'T_TTAFStock'!AC60</f>
        <v/>
      </c>
      <c r="AF1207">
        <f>'T_TTAFStock'!AD60</f>
        <v/>
      </c>
      <c r="AG1207">
        <f>'T_TTAFStock'!AE60</f>
        <v/>
      </c>
      <c r="AH1207">
        <f>'T_TTAFStock'!AF60</f>
        <v/>
      </c>
      <c r="AI1207">
        <f>'T_TTAFStock'!AG60</f>
        <v/>
      </c>
      <c r="AJ1207">
        <f>'T_TTAFStock'!AH60</f>
        <v/>
      </c>
      <c r="AK1207">
        <f>'T_TTAFStock'!AI60</f>
        <v/>
      </c>
      <c r="AL1207">
        <f>'T_TTAFStock'!AJ60</f>
        <v/>
      </c>
      <c r="AM1207">
        <f>'T_TTAFStock'!AK60</f>
        <v/>
      </c>
      <c r="AN1207">
        <f>'T_TTAFStock'!AL60</f>
        <v/>
      </c>
      <c r="AO1207">
        <f>'T_TTAFStock'!AM60</f>
        <v/>
      </c>
      <c r="AP1207">
        <f>'T_TTAFStock'!AN60</f>
        <v/>
      </c>
      <c r="AQ1207">
        <f>'T_TTAFStock'!AO60</f>
        <v/>
      </c>
      <c r="AR1207">
        <f>'T_TTAFStock'!AP60</f>
        <v/>
      </c>
      <c r="AS1207">
        <f>'T_TTAFStock'!AQ60</f>
        <v/>
      </c>
      <c r="AT1207">
        <f>'T_TTAFStock'!AR60</f>
        <v/>
      </c>
      <c r="AU1207">
        <f>'T_TTAFStock'!AS60</f>
        <v/>
      </c>
      <c r="AV1207">
        <f>'T_TTAFStock'!AT60</f>
        <v/>
      </c>
      <c r="AW1207">
        <f>'T_TTAFStock'!AU60</f>
        <v/>
      </c>
      <c r="AX1207">
        <f>'T_TTAFStock'!AV60</f>
        <v/>
      </c>
      <c r="AY1207">
        <f>'T_TTAFStock'!AW60</f>
        <v/>
      </c>
      <c r="AZ1207">
        <f>'T_TTAFStock'!AX60</f>
        <v/>
      </c>
      <c r="BA1207">
        <f>'T_TTAFStock'!AY60</f>
        <v/>
      </c>
      <c r="BB1207">
        <f>'T_TTAFStock'!AZ60</f>
        <v/>
      </c>
      <c r="BC1207">
        <f>'T_TTAFStock'!BA60</f>
        <v/>
      </c>
      <c r="BD1207">
        <f>'T_TTAFStock'!BB60</f>
        <v/>
      </c>
      <c r="BE1207">
        <f>'T_TTAFStock'!BC60</f>
        <v/>
      </c>
      <c r="BF1207">
        <f>'T_TTAFStock'!BD60</f>
        <v/>
      </c>
      <c r="BG1207">
        <f>'T_TTAFStock'!BE60</f>
        <v/>
      </c>
      <c r="BH1207">
        <f>'T_TTAFStock'!BF60</f>
        <v/>
      </c>
      <c r="BI1207">
        <f>'T_TTAFStock'!BG60</f>
        <v/>
      </c>
      <c r="BJ1207">
        <f>'T_TTAFStock'!BH60</f>
        <v/>
      </c>
      <c r="BK1207">
        <f>'T_TTAFStock'!BI60</f>
        <v/>
      </c>
      <c r="BL1207">
        <f>'T_TTAFStock'!BJ60</f>
        <v/>
      </c>
      <c r="BM1207">
        <f>'T_TTAFStock'!BK60</f>
        <v/>
      </c>
      <c r="BN1207">
        <f>'T_TTAFStock'!BL60</f>
        <v/>
      </c>
      <c r="BO1207">
        <f>'T_TTAFStock'!BM60</f>
        <v/>
      </c>
      <c r="BP1207">
        <f>'T_TTAFStock'!BN60</f>
        <v/>
      </c>
      <c r="BQ1207">
        <f>'T_TTAFStock'!BO60</f>
        <v/>
      </c>
      <c r="BR1207">
        <f>'T_TTAFStock'!BP60</f>
        <v/>
      </c>
      <c r="BS1207">
        <f>'T_TTAFStock'!BQ60</f>
        <v/>
      </c>
      <c r="BT1207">
        <f>'T_TTAFStock'!BR60</f>
        <v/>
      </c>
      <c r="BU1207">
        <f>'T_TTAFStock'!BS60</f>
        <v/>
      </c>
      <c r="BV1207">
        <f>'T_TTAFStock'!BT60</f>
        <v/>
      </c>
      <c r="BW1207">
        <f>'T_TTAFStock'!BU60</f>
        <v/>
      </c>
      <c r="BX1207">
        <f>'T_TTAFStock'!BV60</f>
        <v/>
      </c>
      <c r="BY1207">
        <f>'T_TTAFStock'!BW60</f>
        <v/>
      </c>
      <c r="BZ1207">
        <f>'T_TTAFStock'!BX60</f>
        <v/>
      </c>
      <c r="CA1207">
        <f>'T_TTAFStock'!BY60</f>
        <v/>
      </c>
      <c r="CB1207">
        <f>'T_TTAFStock'!BZ60</f>
        <v/>
      </c>
      <c r="CC1207">
        <f>'T_TTAFStock'!CA60</f>
        <v/>
      </c>
      <c r="CD1207">
        <f>'T_TTAFStock'!CB60</f>
        <v/>
      </c>
      <c r="CE1207">
        <f>'T_TTAFStock'!CC60</f>
        <v/>
      </c>
      <c r="CF1207">
        <f>'T_TTAFStock'!CD60</f>
        <v/>
      </c>
      <c r="CG1207">
        <f>'T_TTAFStock'!CE60</f>
        <v/>
      </c>
      <c r="CH1207">
        <f>'T_TTAFStock'!CF60</f>
        <v/>
      </c>
      <c r="CI1207">
        <f>'T_TTAFStock'!CG60</f>
        <v/>
      </c>
      <c r="CJ1207">
        <f>'T_TTAFStock'!CH60</f>
        <v/>
      </c>
      <c r="CK1207">
        <f>'T_TTAFStock'!CI60</f>
        <v/>
      </c>
      <c r="CL1207">
        <f>'T_TTAFStock'!CJ60</f>
        <v/>
      </c>
      <c r="CM1207">
        <f>'T_TTAFStock'!CK60</f>
        <v/>
      </c>
      <c r="CN1207">
        <f>'T_TTAFStock'!CL60</f>
        <v/>
      </c>
      <c r="CO1207">
        <f>'T_TTAFStock'!CM60</f>
        <v/>
      </c>
      <c r="CP1207">
        <f>'T_TTAFStock'!CN60</f>
        <v/>
      </c>
      <c r="CQ1207">
        <f>'T_TTAFStock'!CO60</f>
        <v/>
      </c>
      <c r="CR1207">
        <f>'T_TTAFStock'!CP60</f>
        <v/>
      </c>
      <c r="CS1207">
        <f>'T_TTAFStock'!CQ60</f>
        <v/>
      </c>
      <c r="CT1207">
        <f>'T_TTAFStock'!CR60</f>
        <v/>
      </c>
      <c r="CU1207">
        <f>'T_TTAFStock'!CS60</f>
        <v/>
      </c>
      <c r="CV1207">
        <f>'T_TTAFStock'!CT60</f>
        <v/>
      </c>
      <c r="CW1207">
        <f>'T_TTAFStock'!CU60</f>
        <v/>
      </c>
      <c r="CX1207">
        <f>'T_TTAFStock'!CV60</f>
        <v/>
      </c>
      <c r="CY1207">
        <f>'T_TTAFStock'!CW60</f>
        <v/>
      </c>
      <c r="CZ1207">
        <f>'T_TTAFStock'!CX60</f>
        <v/>
      </c>
      <c r="DA1207">
        <f>'T_TTAFStock'!CY60</f>
        <v/>
      </c>
      <c r="DB1207">
        <f>'T_TTAFStock'!CZ60</f>
        <v/>
      </c>
      <c r="DC1207">
        <f>'T_TTAFStock'!DA60</f>
        <v/>
      </c>
    </row>
    <row r="1208">
      <c r="B1208" t="inlineStr">
        <is>
          <t>自社在庫(実績,kg)</t>
        </is>
      </c>
      <c r="D1208">
        <f>'T_SelfStock'!B60</f>
        <v/>
      </c>
      <c r="E1208">
        <f>'T_SelfStock'!C60</f>
        <v/>
      </c>
      <c r="F1208">
        <f>'T_SelfStock'!D60</f>
        <v/>
      </c>
      <c r="G1208">
        <f>'T_SelfStock'!E60</f>
        <v/>
      </c>
      <c r="H1208">
        <f>'T_SelfStock'!F60</f>
        <v/>
      </c>
      <c r="I1208">
        <f>'T_SelfStock'!G60</f>
        <v/>
      </c>
      <c r="J1208">
        <f>'T_SelfStock'!H60</f>
        <v/>
      </c>
      <c r="K1208">
        <f>'T_SelfStock'!I60</f>
        <v/>
      </c>
      <c r="L1208">
        <f>'T_SelfStock'!J60</f>
        <v/>
      </c>
      <c r="M1208">
        <f>'T_SelfStock'!K60</f>
        <v/>
      </c>
      <c r="N1208">
        <f>'T_SelfStock'!L60</f>
        <v/>
      </c>
      <c r="O1208">
        <f>'T_SelfStock'!M60</f>
        <v/>
      </c>
      <c r="P1208">
        <f>'T_SelfStock'!N60</f>
        <v/>
      </c>
      <c r="Q1208">
        <f>'T_SelfStock'!O60</f>
        <v/>
      </c>
      <c r="R1208">
        <f>'T_SelfStock'!P60</f>
        <v/>
      </c>
      <c r="S1208">
        <f>'T_SelfStock'!Q60</f>
        <v/>
      </c>
      <c r="T1208">
        <f>'T_SelfStock'!R60</f>
        <v/>
      </c>
      <c r="U1208">
        <f>'T_SelfStock'!S60</f>
        <v/>
      </c>
      <c r="V1208">
        <f>'T_SelfStock'!T60</f>
        <v/>
      </c>
      <c r="W1208">
        <f>'T_SelfStock'!U60</f>
        <v/>
      </c>
      <c r="X1208">
        <f>'T_SelfStock'!V60</f>
        <v/>
      </c>
      <c r="Y1208">
        <f>'T_SelfStock'!W60</f>
        <v/>
      </c>
      <c r="Z1208">
        <f>'T_SelfStock'!X60</f>
        <v/>
      </c>
      <c r="AA1208">
        <f>'T_SelfStock'!Y60</f>
        <v/>
      </c>
      <c r="AB1208">
        <f>'T_SelfStock'!Z60</f>
        <v/>
      </c>
      <c r="AC1208">
        <f>'T_SelfStock'!AA60</f>
        <v/>
      </c>
      <c r="AD1208">
        <f>'T_SelfStock'!AB60</f>
        <v/>
      </c>
      <c r="AE1208">
        <f>'T_SelfStock'!AC60</f>
        <v/>
      </c>
      <c r="AF1208">
        <f>'T_SelfStock'!AD60</f>
        <v/>
      </c>
      <c r="AG1208">
        <f>'T_SelfStock'!AE60</f>
        <v/>
      </c>
      <c r="AH1208">
        <f>'T_SelfStock'!AF60</f>
        <v/>
      </c>
      <c r="AI1208">
        <f>'T_SelfStock'!AG60</f>
        <v/>
      </c>
      <c r="AJ1208">
        <f>'T_SelfStock'!AH60</f>
        <v/>
      </c>
      <c r="AK1208">
        <f>'T_SelfStock'!AI60</f>
        <v/>
      </c>
      <c r="AL1208">
        <f>'T_SelfStock'!AJ60</f>
        <v/>
      </c>
      <c r="AM1208">
        <f>'T_SelfStock'!AK60</f>
        <v/>
      </c>
      <c r="AN1208">
        <f>'T_SelfStock'!AL60</f>
        <v/>
      </c>
      <c r="AO1208">
        <f>'T_SelfStock'!AM60</f>
        <v/>
      </c>
      <c r="AP1208">
        <f>'T_SelfStock'!AN60</f>
        <v/>
      </c>
      <c r="AQ1208">
        <f>'T_SelfStock'!AO60</f>
        <v/>
      </c>
      <c r="AR1208">
        <f>'T_SelfStock'!AP60</f>
        <v/>
      </c>
      <c r="AS1208">
        <f>'T_SelfStock'!AQ60</f>
        <v/>
      </c>
      <c r="AT1208">
        <f>'T_SelfStock'!AR60</f>
        <v/>
      </c>
      <c r="AU1208">
        <f>'T_SelfStock'!AS60</f>
        <v/>
      </c>
      <c r="AV1208">
        <f>'T_SelfStock'!AT60</f>
        <v/>
      </c>
      <c r="AW1208">
        <f>'T_SelfStock'!AU60</f>
        <v/>
      </c>
      <c r="AX1208">
        <f>'T_SelfStock'!AV60</f>
        <v/>
      </c>
      <c r="AY1208">
        <f>'T_SelfStock'!AW60</f>
        <v/>
      </c>
      <c r="AZ1208">
        <f>'T_SelfStock'!AX60</f>
        <v/>
      </c>
      <c r="BA1208">
        <f>'T_SelfStock'!AY60</f>
        <v/>
      </c>
      <c r="BB1208">
        <f>'T_SelfStock'!AZ60</f>
        <v/>
      </c>
      <c r="BC1208">
        <f>'T_SelfStock'!BA60</f>
        <v/>
      </c>
      <c r="BD1208">
        <f>'T_SelfStock'!BB60</f>
        <v/>
      </c>
      <c r="BE1208">
        <f>'T_SelfStock'!BC60</f>
        <v/>
      </c>
      <c r="BF1208">
        <f>'T_SelfStock'!BD60</f>
        <v/>
      </c>
      <c r="BG1208">
        <f>'T_SelfStock'!BE60</f>
        <v/>
      </c>
      <c r="BH1208">
        <f>'T_SelfStock'!BF60</f>
        <v/>
      </c>
      <c r="BI1208">
        <f>'T_SelfStock'!BG60</f>
        <v/>
      </c>
      <c r="BJ1208">
        <f>'T_SelfStock'!BH60</f>
        <v/>
      </c>
      <c r="BK1208">
        <f>'T_SelfStock'!BI60</f>
        <v/>
      </c>
      <c r="BL1208">
        <f>'T_SelfStock'!BJ60</f>
        <v/>
      </c>
      <c r="BM1208">
        <f>'T_SelfStock'!BK60</f>
        <v/>
      </c>
      <c r="BN1208">
        <f>'T_SelfStock'!BL60</f>
        <v/>
      </c>
      <c r="BO1208">
        <f>'T_SelfStock'!BM60</f>
        <v/>
      </c>
      <c r="BP1208">
        <f>'T_SelfStock'!BN60</f>
        <v/>
      </c>
      <c r="BQ1208">
        <f>'T_SelfStock'!BO60</f>
        <v/>
      </c>
      <c r="BR1208">
        <f>'T_SelfStock'!BP60</f>
        <v/>
      </c>
      <c r="BS1208">
        <f>'T_SelfStock'!BQ60</f>
        <v/>
      </c>
      <c r="BT1208">
        <f>'T_SelfStock'!BR60</f>
        <v/>
      </c>
      <c r="BU1208">
        <f>'T_SelfStock'!BS60</f>
        <v/>
      </c>
      <c r="BV1208">
        <f>'T_SelfStock'!BT60</f>
        <v/>
      </c>
      <c r="BW1208">
        <f>'T_SelfStock'!BU60</f>
        <v/>
      </c>
      <c r="BX1208">
        <f>'T_SelfStock'!BV60</f>
        <v/>
      </c>
      <c r="BY1208">
        <f>'T_SelfStock'!BW60</f>
        <v/>
      </c>
      <c r="BZ1208">
        <f>'T_SelfStock'!BX60</f>
        <v/>
      </c>
      <c r="CA1208">
        <f>'T_SelfStock'!BY60</f>
        <v/>
      </c>
      <c r="CB1208">
        <f>'T_SelfStock'!BZ60</f>
        <v/>
      </c>
      <c r="CC1208">
        <f>'T_SelfStock'!CA60</f>
        <v/>
      </c>
      <c r="CD1208">
        <f>'T_SelfStock'!CB60</f>
        <v/>
      </c>
      <c r="CE1208">
        <f>'T_SelfStock'!CC60</f>
        <v/>
      </c>
      <c r="CF1208">
        <f>'T_SelfStock'!CD60</f>
        <v/>
      </c>
      <c r="CG1208">
        <f>'T_SelfStock'!CE60</f>
        <v/>
      </c>
      <c r="CH1208">
        <f>'T_SelfStock'!CF60</f>
        <v/>
      </c>
      <c r="CI1208">
        <f>'T_SelfStock'!CG60</f>
        <v/>
      </c>
      <c r="CJ1208">
        <f>'T_SelfStock'!CH60</f>
        <v/>
      </c>
      <c r="CK1208">
        <f>'T_SelfStock'!CI60</f>
        <v/>
      </c>
      <c r="CL1208">
        <f>'T_SelfStock'!CJ60</f>
        <v/>
      </c>
      <c r="CM1208">
        <f>'T_SelfStock'!CK60</f>
        <v/>
      </c>
      <c r="CN1208">
        <f>'T_SelfStock'!CL60</f>
        <v/>
      </c>
      <c r="CO1208">
        <f>'T_SelfStock'!CM60</f>
        <v/>
      </c>
      <c r="CP1208">
        <f>'T_SelfStock'!CN60</f>
        <v/>
      </c>
      <c r="CQ1208">
        <f>'T_SelfStock'!CO60</f>
        <v/>
      </c>
      <c r="CR1208">
        <f>'T_SelfStock'!CP60</f>
        <v/>
      </c>
      <c r="CS1208">
        <f>'T_SelfStock'!CQ60</f>
        <v/>
      </c>
      <c r="CT1208">
        <f>'T_SelfStock'!CR60</f>
        <v/>
      </c>
      <c r="CU1208">
        <f>'T_SelfStock'!CS60</f>
        <v/>
      </c>
      <c r="CV1208">
        <f>'T_SelfStock'!CT60</f>
        <v/>
      </c>
      <c r="CW1208">
        <f>'T_SelfStock'!CU60</f>
        <v/>
      </c>
      <c r="CX1208">
        <f>'T_SelfStock'!CV60</f>
        <v/>
      </c>
      <c r="CY1208">
        <f>'T_SelfStock'!CW60</f>
        <v/>
      </c>
      <c r="CZ1208">
        <f>'T_SelfStock'!CX60</f>
        <v/>
      </c>
      <c r="DA1208">
        <f>'T_SelfStock'!CY60</f>
        <v/>
      </c>
      <c r="DB1208">
        <f>'T_SelfStock'!CZ60</f>
        <v/>
      </c>
      <c r="DC1208">
        <f>'T_SelfStock'!DA60</f>
        <v/>
      </c>
    </row>
    <row r="1209">
      <c r="B1209" t="inlineStr">
        <is>
          <t>Order(発注予定,kg)</t>
        </is>
      </c>
      <c r="D1209" s="23" t="n"/>
      <c r="E1209" s="23" t="n"/>
      <c r="F1209" s="23" t="n"/>
      <c r="G1209" s="23" t="n"/>
      <c r="H1209" s="23" t="n"/>
      <c r="I1209" s="23" t="n"/>
      <c r="J1209" s="23" t="n"/>
      <c r="K1209" s="23" t="n"/>
      <c r="L1209" s="23" t="n"/>
      <c r="M1209" s="23" t="n"/>
      <c r="N1209" s="23" t="n"/>
      <c r="O1209" s="23" t="n"/>
      <c r="P1209" s="23" t="n"/>
      <c r="Q1209" s="23" t="n"/>
      <c r="R1209" s="23" t="n"/>
      <c r="S1209" s="23" t="n"/>
      <c r="T1209" s="23" t="n"/>
      <c r="U1209" s="23" t="n"/>
      <c r="V1209" s="23" t="n"/>
      <c r="W1209" s="23" t="n"/>
      <c r="X1209" s="23" t="n"/>
      <c r="Y1209" s="23" t="n"/>
      <c r="Z1209" s="23" t="n"/>
      <c r="AA1209" s="23" t="n"/>
      <c r="AB1209" s="23" t="n"/>
      <c r="AC1209" s="23" t="n"/>
      <c r="AD1209" s="23" t="n"/>
      <c r="AE1209" s="23" t="n"/>
      <c r="AF1209" s="23" t="n"/>
      <c r="AG1209" s="23" t="n"/>
      <c r="AH1209" s="23" t="n"/>
      <c r="AI1209" s="23" t="n"/>
      <c r="AJ1209" s="23" t="n"/>
      <c r="AK1209" s="23" t="n"/>
      <c r="AL1209" s="23" t="n"/>
      <c r="AM1209" s="23" t="n"/>
      <c r="AN1209" s="23" t="n"/>
      <c r="AO1209" s="23" t="n"/>
      <c r="AP1209" s="23" t="n"/>
      <c r="AQ1209" s="23" t="n"/>
      <c r="AR1209" s="23" t="n"/>
      <c r="AS1209" s="23" t="n"/>
      <c r="AT1209" s="23" t="n"/>
      <c r="AU1209" s="23" t="n"/>
      <c r="AV1209" s="23" t="n"/>
      <c r="AW1209" s="23" t="n"/>
      <c r="AX1209" s="23" t="n"/>
      <c r="AY1209" s="23" t="n"/>
      <c r="AZ1209" s="23" t="n"/>
      <c r="BA1209" s="23" t="n"/>
      <c r="BB1209" s="23" t="n"/>
      <c r="BC1209" s="23" t="n"/>
      <c r="BD1209" s="23" t="n"/>
      <c r="BE1209" s="23" t="n"/>
      <c r="BF1209" s="23" t="n"/>
      <c r="BG1209" s="23" t="n"/>
      <c r="BH1209" s="23" t="n"/>
      <c r="BI1209" s="23" t="n"/>
      <c r="BJ1209" s="23" t="n"/>
      <c r="BK1209" s="23" t="n"/>
      <c r="BL1209" s="23" t="n"/>
      <c r="BM1209" s="23" t="n"/>
      <c r="BN1209" s="23" t="n"/>
      <c r="BO1209" s="23" t="n"/>
      <c r="BP1209" s="23" t="n"/>
      <c r="BQ1209" s="23" t="n"/>
      <c r="BR1209" s="23" t="n"/>
      <c r="BS1209" s="23" t="n"/>
      <c r="BT1209" s="23" t="n"/>
      <c r="BU1209" s="23" t="n"/>
      <c r="BV1209" s="23" t="n"/>
      <c r="BW1209" s="23" t="n"/>
      <c r="BX1209" s="23" t="n"/>
      <c r="BY1209" s="23" t="n"/>
      <c r="BZ1209" s="23" t="n"/>
      <c r="CA1209" s="23" t="n"/>
      <c r="CB1209" s="23" t="n"/>
      <c r="CC1209" s="23" t="n"/>
      <c r="CD1209" s="23" t="n"/>
      <c r="CE1209" s="23" t="n"/>
      <c r="CF1209" s="23" t="n"/>
      <c r="CG1209" s="23" t="n"/>
      <c r="CH1209" s="23" t="n"/>
      <c r="CI1209" s="23" t="n"/>
      <c r="CJ1209" s="23" t="n"/>
      <c r="CK1209" s="23" t="n"/>
      <c r="CL1209" s="23" t="n"/>
      <c r="CM1209" s="23" t="n"/>
      <c r="CN1209" s="23" t="n"/>
      <c r="CO1209" s="23" t="n"/>
      <c r="CP1209" s="23" t="n"/>
      <c r="CQ1209" s="23" t="n"/>
      <c r="CR1209" s="23" t="n"/>
      <c r="CS1209" s="23" t="n"/>
      <c r="CT1209" s="23" t="n"/>
      <c r="CU1209" s="23" t="n"/>
      <c r="CV1209" s="23" t="n"/>
      <c r="CW1209" s="23" t="n"/>
      <c r="CX1209" s="23" t="n"/>
      <c r="CY1209" s="23" t="n"/>
      <c r="CZ1209" s="23" t="n"/>
      <c r="DA1209" s="23" t="n"/>
      <c r="DB1209" s="23" t="n"/>
      <c r="DC1209" s="23" t="n"/>
      <c r="DE1209" s="12" t="inlineStr">
        <is>
          <t>CHEM-1690</t>
        </is>
      </c>
    </row>
    <row r="1210">
      <c r="B1210" s="5" t="inlineStr">
        <is>
          <t>合計在庫(週末時点,kg)</t>
        </is>
      </c>
      <c r="D1210">
        <f>'Grid_Stock'!B56</f>
        <v/>
      </c>
      <c r="E1210">
        <f>'Grid_Stock'!C56</f>
        <v/>
      </c>
      <c r="F1210">
        <f>'Grid_Stock'!D56</f>
        <v/>
      </c>
      <c r="G1210">
        <f>'Grid_Stock'!E56</f>
        <v/>
      </c>
      <c r="H1210">
        <f>'Grid_Stock'!F56</f>
        <v/>
      </c>
      <c r="I1210">
        <f>'Grid_Stock'!G56</f>
        <v/>
      </c>
      <c r="J1210">
        <f>'Grid_Stock'!H56</f>
        <v/>
      </c>
      <c r="K1210">
        <f>'Grid_Stock'!I56</f>
        <v/>
      </c>
      <c r="L1210">
        <f>'Grid_Stock'!J56</f>
        <v/>
      </c>
      <c r="M1210">
        <f>'Grid_Stock'!K56</f>
        <v/>
      </c>
      <c r="N1210">
        <f>'Grid_Stock'!L56</f>
        <v/>
      </c>
      <c r="O1210">
        <f>'Grid_Stock'!M56</f>
        <v/>
      </c>
      <c r="P1210">
        <f>'Grid_Stock'!N56</f>
        <v/>
      </c>
      <c r="Q1210">
        <f>'Grid_Stock'!O56</f>
        <v/>
      </c>
      <c r="R1210">
        <f>'Grid_Stock'!P56</f>
        <v/>
      </c>
      <c r="S1210">
        <f>'Grid_Stock'!Q56</f>
        <v/>
      </c>
      <c r="T1210">
        <f>'Grid_Stock'!R56</f>
        <v/>
      </c>
      <c r="U1210">
        <f>'Grid_Stock'!S56</f>
        <v/>
      </c>
      <c r="V1210">
        <f>'Grid_Stock'!T56</f>
        <v/>
      </c>
      <c r="W1210">
        <f>'Grid_Stock'!U56</f>
        <v/>
      </c>
      <c r="X1210">
        <f>'Grid_Stock'!V56</f>
        <v/>
      </c>
      <c r="Y1210">
        <f>'Grid_Stock'!W56</f>
        <v/>
      </c>
      <c r="Z1210">
        <f>'Grid_Stock'!X56</f>
        <v/>
      </c>
      <c r="AA1210">
        <f>'Grid_Stock'!Y56</f>
        <v/>
      </c>
      <c r="AB1210">
        <f>'Grid_Stock'!Z56</f>
        <v/>
      </c>
      <c r="AC1210">
        <f>'Grid_Stock'!AA56</f>
        <v/>
      </c>
      <c r="AD1210">
        <f>'Grid_Stock'!AB56</f>
        <v/>
      </c>
      <c r="AE1210">
        <f>'Grid_Stock'!AC56</f>
        <v/>
      </c>
      <c r="AF1210">
        <f>'Grid_Stock'!AD56</f>
        <v/>
      </c>
      <c r="AG1210">
        <f>'Grid_Stock'!AE56</f>
        <v/>
      </c>
      <c r="AH1210">
        <f>'Grid_Stock'!AF56</f>
        <v/>
      </c>
      <c r="AI1210">
        <f>'Grid_Stock'!AG56</f>
        <v/>
      </c>
      <c r="AJ1210">
        <f>'Grid_Stock'!AH56</f>
        <v/>
      </c>
      <c r="AK1210">
        <f>'Grid_Stock'!AI56</f>
        <v/>
      </c>
      <c r="AL1210">
        <f>'Grid_Stock'!AJ56</f>
        <v/>
      </c>
      <c r="AM1210">
        <f>'Grid_Stock'!AK56</f>
        <v/>
      </c>
      <c r="AN1210">
        <f>'Grid_Stock'!AL56</f>
        <v/>
      </c>
      <c r="AO1210">
        <f>'Grid_Stock'!AM56</f>
        <v/>
      </c>
      <c r="AP1210">
        <f>'Grid_Stock'!AN56</f>
        <v/>
      </c>
      <c r="AQ1210">
        <f>'Grid_Stock'!AO56</f>
        <v/>
      </c>
      <c r="AR1210">
        <f>'Grid_Stock'!AP56</f>
        <v/>
      </c>
      <c r="AS1210">
        <f>'Grid_Stock'!AQ56</f>
        <v/>
      </c>
      <c r="AT1210">
        <f>'Grid_Stock'!AR56</f>
        <v/>
      </c>
      <c r="AU1210">
        <f>'Grid_Stock'!AS56</f>
        <v/>
      </c>
      <c r="AV1210">
        <f>'Grid_Stock'!AT56</f>
        <v/>
      </c>
      <c r="AW1210">
        <f>'Grid_Stock'!AU56</f>
        <v/>
      </c>
      <c r="AX1210">
        <f>'Grid_Stock'!AV56</f>
        <v/>
      </c>
      <c r="AY1210">
        <f>'Grid_Stock'!AW56</f>
        <v/>
      </c>
      <c r="AZ1210">
        <f>'Grid_Stock'!AX56</f>
        <v/>
      </c>
      <c r="BA1210">
        <f>'Grid_Stock'!AY56</f>
        <v/>
      </c>
      <c r="BB1210">
        <f>'Grid_Stock'!AZ56</f>
        <v/>
      </c>
      <c r="BC1210">
        <f>'Grid_Stock'!BA56</f>
        <v/>
      </c>
      <c r="BD1210">
        <f>'Grid_Stock'!BB56</f>
        <v/>
      </c>
      <c r="BE1210">
        <f>'Grid_Stock'!BC56</f>
        <v/>
      </c>
      <c r="BF1210">
        <f>'Grid_Stock'!BD56</f>
        <v/>
      </c>
      <c r="BG1210">
        <f>'Grid_Stock'!BE56</f>
        <v/>
      </c>
      <c r="BH1210">
        <f>'Grid_Stock'!BF56</f>
        <v/>
      </c>
      <c r="BI1210">
        <f>'Grid_Stock'!BG56</f>
        <v/>
      </c>
      <c r="BJ1210">
        <f>'Grid_Stock'!BH56</f>
        <v/>
      </c>
      <c r="BK1210">
        <f>'Grid_Stock'!BI56</f>
        <v/>
      </c>
      <c r="BL1210">
        <f>'Grid_Stock'!BJ56</f>
        <v/>
      </c>
      <c r="BM1210">
        <f>'Grid_Stock'!BK56</f>
        <v/>
      </c>
      <c r="BN1210">
        <f>'Grid_Stock'!BL56</f>
        <v/>
      </c>
      <c r="BO1210">
        <f>'Grid_Stock'!BM56</f>
        <v/>
      </c>
      <c r="BP1210">
        <f>'Grid_Stock'!BN56</f>
        <v/>
      </c>
      <c r="BQ1210">
        <f>'Grid_Stock'!BO56</f>
        <v/>
      </c>
      <c r="BR1210">
        <f>'Grid_Stock'!BP56</f>
        <v/>
      </c>
      <c r="BS1210">
        <f>'Grid_Stock'!BQ56</f>
        <v/>
      </c>
      <c r="BT1210">
        <f>'Grid_Stock'!BR56</f>
        <v/>
      </c>
      <c r="BU1210">
        <f>'Grid_Stock'!BS56</f>
        <v/>
      </c>
      <c r="BV1210">
        <f>'Grid_Stock'!BT56</f>
        <v/>
      </c>
      <c r="BW1210">
        <f>'Grid_Stock'!BU56</f>
        <v/>
      </c>
      <c r="BX1210">
        <f>'Grid_Stock'!BV56</f>
        <v/>
      </c>
      <c r="BY1210">
        <f>'Grid_Stock'!BW56</f>
        <v/>
      </c>
      <c r="BZ1210">
        <f>'Grid_Stock'!BX56</f>
        <v/>
      </c>
      <c r="CA1210">
        <f>'Grid_Stock'!BY56</f>
        <v/>
      </c>
      <c r="CB1210">
        <f>'Grid_Stock'!BZ56</f>
        <v/>
      </c>
      <c r="CC1210">
        <f>'Grid_Stock'!CA56</f>
        <v/>
      </c>
      <c r="CD1210">
        <f>'Grid_Stock'!CB56</f>
        <v/>
      </c>
      <c r="CE1210">
        <f>'Grid_Stock'!CC56</f>
        <v/>
      </c>
      <c r="CF1210">
        <f>'Grid_Stock'!CD56</f>
        <v/>
      </c>
      <c r="CG1210">
        <f>'Grid_Stock'!CE56</f>
        <v/>
      </c>
      <c r="CH1210">
        <f>'Grid_Stock'!CF56</f>
        <v/>
      </c>
      <c r="CI1210">
        <f>'Grid_Stock'!CG56</f>
        <v/>
      </c>
      <c r="CJ1210">
        <f>'Grid_Stock'!CH56</f>
        <v/>
      </c>
      <c r="CK1210">
        <f>'Grid_Stock'!CI56</f>
        <v/>
      </c>
      <c r="CL1210">
        <f>'Grid_Stock'!CJ56</f>
        <v/>
      </c>
      <c r="CM1210">
        <f>'Grid_Stock'!CK56</f>
        <v/>
      </c>
      <c r="CN1210">
        <f>'Grid_Stock'!CL56</f>
        <v/>
      </c>
      <c r="CO1210">
        <f>'Grid_Stock'!CM56</f>
        <v/>
      </c>
      <c r="CP1210">
        <f>'Grid_Stock'!CN56</f>
        <v/>
      </c>
      <c r="CQ1210">
        <f>'Grid_Stock'!CO56</f>
        <v/>
      </c>
      <c r="CR1210">
        <f>'Grid_Stock'!CP56</f>
        <v/>
      </c>
      <c r="CS1210">
        <f>'Grid_Stock'!CQ56</f>
        <v/>
      </c>
      <c r="CT1210">
        <f>'Grid_Stock'!CR56</f>
        <v/>
      </c>
      <c r="CU1210">
        <f>'Grid_Stock'!CS56</f>
        <v/>
      </c>
      <c r="CV1210">
        <f>'Grid_Stock'!CT56</f>
        <v/>
      </c>
      <c r="CW1210">
        <f>'Grid_Stock'!CU56</f>
        <v/>
      </c>
      <c r="CX1210">
        <f>'Grid_Stock'!CV56</f>
        <v/>
      </c>
      <c r="CY1210">
        <f>'Grid_Stock'!CW56</f>
        <v/>
      </c>
      <c r="CZ1210">
        <f>'Grid_Stock'!CX56</f>
        <v/>
      </c>
      <c r="DA1210">
        <f>'Grid_Stock'!CY56</f>
        <v/>
      </c>
      <c r="DB1210">
        <f>'Grid_Stock'!CZ56</f>
        <v/>
      </c>
      <c r="DC1210">
        <f>'Grid_Stock'!DA56</f>
        <v/>
      </c>
    </row>
    <row r="1211">
      <c r="B1211" s="24" t="inlineStr">
        <is>
          <t>（発注の目安はDashboardの基準在庫[下限/上限]と色分けを参照）</t>
        </is>
      </c>
    </row>
    <row r="1213">
      <c r="A1213" s="21" t="inlineStr">
        <is>
          <t>CHEM-1720</t>
        </is>
      </c>
      <c r="B1213" s="21" t="inlineStr">
        <is>
          <t>TPZ 868</t>
        </is>
      </c>
      <c r="C1213" s="22" t="n"/>
      <c r="D1213" s="21" t="n"/>
      <c r="E1213" s="21" t="n"/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  <c r="AA1213" s="21" t="n"/>
      <c r="AB1213" s="21" t="n"/>
      <c r="AC1213" s="21" t="n"/>
      <c r="AD1213" s="21" t="n"/>
      <c r="AE1213" s="21" t="n"/>
      <c r="AF1213" s="21" t="n"/>
      <c r="AG1213" s="21" t="n"/>
      <c r="AH1213" s="21" t="n"/>
      <c r="AI1213" s="21" t="n"/>
      <c r="AJ1213" s="21" t="n"/>
      <c r="AK1213" s="21" t="n"/>
      <c r="AL1213" s="21" t="n"/>
      <c r="AM1213" s="21" t="n"/>
      <c r="AN1213" s="21" t="n"/>
      <c r="AO1213" s="21" t="n"/>
      <c r="AP1213" s="21" t="n"/>
      <c r="AQ1213" s="21" t="n"/>
      <c r="AR1213" s="21" t="n"/>
      <c r="AS1213" s="21" t="n"/>
      <c r="AT1213" s="21" t="n"/>
      <c r="AU1213" s="21" t="n"/>
      <c r="AV1213" s="21" t="n"/>
      <c r="AW1213" s="21" t="n"/>
      <c r="AX1213" s="21" t="n"/>
      <c r="AY1213" s="21" t="n"/>
      <c r="AZ1213" s="21" t="n"/>
      <c r="BA1213" s="21" t="n"/>
      <c r="BB1213" s="21" t="n"/>
      <c r="BC1213" s="21" t="n"/>
      <c r="BD1213" s="21" t="n"/>
      <c r="BE1213" s="21" t="n"/>
      <c r="BF1213" s="21" t="n"/>
      <c r="BG1213" s="21" t="n"/>
      <c r="BH1213" s="21" t="n"/>
      <c r="BI1213" s="21" t="n"/>
      <c r="BJ1213" s="21" t="n"/>
      <c r="BK1213" s="21" t="n"/>
      <c r="BL1213" s="21" t="n"/>
      <c r="BM1213" s="21" t="n"/>
      <c r="BN1213" s="21" t="n"/>
      <c r="BO1213" s="21" t="n"/>
      <c r="BP1213" s="21" t="n"/>
      <c r="BQ1213" s="21" t="n"/>
      <c r="BR1213" s="21" t="n"/>
      <c r="BS1213" s="21" t="n"/>
      <c r="BT1213" s="21" t="n"/>
      <c r="BU1213" s="21" t="n"/>
      <c r="BV1213" s="21" t="n"/>
      <c r="BW1213" s="21" t="n"/>
      <c r="BX1213" s="21" t="n"/>
      <c r="BY1213" s="21" t="n"/>
      <c r="BZ1213" s="21" t="n"/>
      <c r="CA1213" s="21" t="n"/>
      <c r="CB1213" s="21" t="n"/>
      <c r="CC1213" s="21" t="n"/>
      <c r="CD1213" s="21" t="n"/>
      <c r="CE1213" s="21" t="n"/>
      <c r="CF1213" s="21" t="n"/>
      <c r="CG1213" s="21" t="n"/>
      <c r="CH1213" s="21" t="n"/>
      <c r="CI1213" s="21" t="n"/>
      <c r="CJ1213" s="21" t="n"/>
      <c r="CK1213" s="21" t="n"/>
      <c r="CL1213" s="21" t="n"/>
      <c r="CM1213" s="21" t="n"/>
      <c r="CN1213" s="21" t="n"/>
      <c r="CO1213" s="21" t="n"/>
      <c r="CP1213" s="21" t="n"/>
      <c r="CQ1213" s="21" t="n"/>
      <c r="CR1213" s="21" t="n"/>
      <c r="CS1213" s="21" t="n"/>
      <c r="CT1213" s="21" t="n"/>
      <c r="CU1213" s="21" t="n"/>
      <c r="CV1213" s="21" t="n"/>
      <c r="CW1213" s="21" t="n"/>
      <c r="CX1213" s="21" t="n"/>
      <c r="CY1213" s="21" t="n"/>
      <c r="CZ1213" s="21" t="n"/>
      <c r="DA1213" s="21" t="n"/>
      <c r="DB1213" s="21" t="n"/>
      <c r="DC1213" s="21" t="n"/>
    </row>
    <row r="1214">
      <c r="B1214" t="inlineStr">
        <is>
          <t>TSP-1444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Name],$A1213)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TSP-1445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Name],$A1213)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TSP-1446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Name],$A1213)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TSP-1448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Name],$A1213)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TSP-1449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Name],$A1213)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TSP-1499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Name],$A1213)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TSP-1555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Name],$A1213)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TSP-927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Name],$A1213)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TSP-928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Name],$A1213)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TSP-929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Name],$A1213)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TSP-930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Name],$A1213)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t="inlineStr">
        <is>
          <t>TSP-934</t>
        </is>
      </c>
      <c r="C1236" t="inlineStr">
        <is>
          <t>No. of batches</t>
        </is>
      </c>
      <c r="D1236">
        <f>IFERROR(INDEX(PP_Grid[#Data],$DD1236,2),0)</f>
        <v/>
      </c>
      <c r="E1236">
        <f>IFERROR(INDEX(PP_Grid[#Data],$DD1236,3),0)</f>
        <v/>
      </c>
      <c r="F1236">
        <f>IFERROR(INDEX(PP_Grid[#Data],$DD1236,4),0)</f>
        <v/>
      </c>
      <c r="G1236">
        <f>IFERROR(INDEX(PP_Grid[#Data],$DD1236,5),0)</f>
        <v/>
      </c>
      <c r="H1236">
        <f>IFERROR(INDEX(PP_Grid[#Data],$DD1236,6),0)</f>
        <v/>
      </c>
      <c r="I1236">
        <f>IFERROR(INDEX(PP_Grid[#Data],$DD1236,7),0)</f>
        <v/>
      </c>
      <c r="J1236">
        <f>IFERROR(INDEX(PP_Grid[#Data],$DD1236,8),0)</f>
        <v/>
      </c>
      <c r="K1236">
        <f>IFERROR(INDEX(PP_Grid[#Data],$DD1236,9),0)</f>
        <v/>
      </c>
      <c r="L1236">
        <f>IFERROR(INDEX(PP_Grid[#Data],$DD1236,10),0)</f>
        <v/>
      </c>
      <c r="M1236">
        <f>IFERROR(INDEX(PP_Grid[#Data],$DD1236,11),0)</f>
        <v/>
      </c>
      <c r="N1236">
        <f>IFERROR(INDEX(PP_Grid[#Data],$DD1236,12),0)</f>
        <v/>
      </c>
      <c r="O1236">
        <f>IFERROR(INDEX(PP_Grid[#Data],$DD1236,13),0)</f>
        <v/>
      </c>
      <c r="P1236">
        <f>IFERROR(INDEX(PP_Grid[#Data],$DD1236,14),0)</f>
        <v/>
      </c>
      <c r="Q1236">
        <f>IFERROR(INDEX(PP_Grid[#Data],$DD1236,15),0)</f>
        <v/>
      </c>
      <c r="R1236">
        <f>IFERROR(INDEX(PP_Grid[#Data],$DD1236,16),0)</f>
        <v/>
      </c>
      <c r="S1236">
        <f>IFERROR(INDEX(PP_Grid[#Data],$DD1236,17),0)</f>
        <v/>
      </c>
      <c r="T1236">
        <f>IFERROR(INDEX(PP_Grid[#Data],$DD1236,18),0)</f>
        <v/>
      </c>
      <c r="U1236">
        <f>IFERROR(INDEX(PP_Grid[#Data],$DD1236,19),0)</f>
        <v/>
      </c>
      <c r="V1236">
        <f>IFERROR(INDEX(PP_Grid[#Data],$DD1236,20),0)</f>
        <v/>
      </c>
      <c r="W1236">
        <f>IFERROR(INDEX(PP_Grid[#Data],$DD1236,21),0)</f>
        <v/>
      </c>
      <c r="X1236">
        <f>IFERROR(INDEX(PP_Grid[#Data],$DD1236,22),0)</f>
        <v/>
      </c>
      <c r="Y1236">
        <f>IFERROR(INDEX(PP_Grid[#Data],$DD1236,23),0)</f>
        <v/>
      </c>
      <c r="Z1236">
        <f>IFERROR(INDEX(PP_Grid[#Data],$DD1236,24),0)</f>
        <v/>
      </c>
      <c r="AA1236">
        <f>IFERROR(INDEX(PP_Grid[#Data],$DD1236,25),0)</f>
        <v/>
      </c>
      <c r="AB1236">
        <f>IFERROR(INDEX(PP_Grid[#Data],$DD1236,26),0)</f>
        <v/>
      </c>
      <c r="AC1236">
        <f>IFERROR(INDEX(PP_Grid[#Data],$DD1236,27),0)</f>
        <v/>
      </c>
      <c r="AD1236">
        <f>IFERROR(INDEX(PP_Grid[#Data],$DD1236,28),0)</f>
        <v/>
      </c>
      <c r="AE1236">
        <f>IFERROR(INDEX(PP_Grid[#Data],$DD1236,29),0)</f>
        <v/>
      </c>
      <c r="AF1236">
        <f>IFERROR(INDEX(PP_Grid[#Data],$DD1236,30),0)</f>
        <v/>
      </c>
      <c r="AG1236">
        <f>IFERROR(INDEX(PP_Grid[#Data],$DD1236,31),0)</f>
        <v/>
      </c>
      <c r="AH1236">
        <f>IFERROR(INDEX(PP_Grid[#Data],$DD1236,32),0)</f>
        <v/>
      </c>
      <c r="AI1236">
        <f>IFERROR(INDEX(PP_Grid[#Data],$DD1236,33),0)</f>
        <v/>
      </c>
      <c r="AJ1236">
        <f>IFERROR(INDEX(PP_Grid[#Data],$DD1236,34),0)</f>
        <v/>
      </c>
      <c r="AK1236">
        <f>IFERROR(INDEX(PP_Grid[#Data],$DD1236,35),0)</f>
        <v/>
      </c>
      <c r="AL1236">
        <f>IFERROR(INDEX(PP_Grid[#Data],$DD1236,36),0)</f>
        <v/>
      </c>
      <c r="AM1236">
        <f>IFERROR(INDEX(PP_Grid[#Data],$DD1236,37),0)</f>
        <v/>
      </c>
      <c r="AN1236">
        <f>IFERROR(INDEX(PP_Grid[#Data],$DD1236,38),0)</f>
        <v/>
      </c>
      <c r="AO1236">
        <f>IFERROR(INDEX(PP_Grid[#Data],$DD1236,39),0)</f>
        <v/>
      </c>
      <c r="AP1236">
        <f>IFERROR(INDEX(PP_Grid[#Data],$DD1236,40),0)</f>
        <v/>
      </c>
      <c r="AQ1236">
        <f>IFERROR(INDEX(PP_Grid[#Data],$DD1236,41),0)</f>
        <v/>
      </c>
      <c r="AR1236">
        <f>IFERROR(INDEX(PP_Grid[#Data],$DD1236,42),0)</f>
        <v/>
      </c>
      <c r="AS1236">
        <f>IFERROR(INDEX(PP_Grid[#Data],$DD1236,43),0)</f>
        <v/>
      </c>
      <c r="AT1236">
        <f>IFERROR(INDEX(PP_Grid[#Data],$DD1236,44),0)</f>
        <v/>
      </c>
      <c r="AU1236">
        <f>IFERROR(INDEX(PP_Grid[#Data],$DD1236,45),0)</f>
        <v/>
      </c>
      <c r="AV1236">
        <f>IFERROR(INDEX(PP_Grid[#Data],$DD1236,46),0)</f>
        <v/>
      </c>
      <c r="AW1236">
        <f>IFERROR(INDEX(PP_Grid[#Data],$DD1236,47),0)</f>
        <v/>
      </c>
      <c r="AX1236">
        <f>IFERROR(INDEX(PP_Grid[#Data],$DD1236,48),0)</f>
        <v/>
      </c>
      <c r="AY1236">
        <f>IFERROR(INDEX(PP_Grid[#Data],$DD1236,49),0)</f>
        <v/>
      </c>
      <c r="AZ1236">
        <f>IFERROR(INDEX(PP_Grid[#Data],$DD1236,50),0)</f>
        <v/>
      </c>
      <c r="BA1236">
        <f>IFERROR(INDEX(PP_Grid[#Data],$DD1236,51),0)</f>
        <v/>
      </c>
      <c r="BB1236">
        <f>IFERROR(INDEX(PP_Grid[#Data],$DD1236,52),0)</f>
        <v/>
      </c>
      <c r="BC1236">
        <f>IFERROR(INDEX(PP_Grid[#Data],$DD1236,53),0)</f>
        <v/>
      </c>
      <c r="BD1236">
        <f>IFERROR(INDEX(PP_Grid[#Data],$DD1236,54),0)</f>
        <v/>
      </c>
      <c r="BE1236">
        <f>IFERROR(INDEX(PP_Grid[#Data],$DD1236,55),0)</f>
        <v/>
      </c>
      <c r="BF1236">
        <f>IFERROR(INDEX(PP_Grid[#Data],$DD1236,56),0)</f>
        <v/>
      </c>
      <c r="BG1236">
        <f>IFERROR(INDEX(PP_Grid[#Data],$DD1236,57),0)</f>
        <v/>
      </c>
      <c r="BH1236">
        <f>IFERROR(INDEX(PP_Grid[#Data],$DD1236,58),0)</f>
        <v/>
      </c>
      <c r="BI1236">
        <f>IFERROR(INDEX(PP_Grid[#Data],$DD1236,59),0)</f>
        <v/>
      </c>
      <c r="BJ1236">
        <f>IFERROR(INDEX(PP_Grid[#Data],$DD1236,60),0)</f>
        <v/>
      </c>
      <c r="BK1236">
        <f>IFERROR(INDEX(PP_Grid[#Data],$DD1236,61),0)</f>
        <v/>
      </c>
      <c r="BL1236">
        <f>IFERROR(INDEX(PP_Grid[#Data],$DD1236,62),0)</f>
        <v/>
      </c>
      <c r="BM1236">
        <f>IFERROR(INDEX(PP_Grid[#Data],$DD1236,63),0)</f>
        <v/>
      </c>
      <c r="BN1236">
        <f>IFERROR(INDEX(PP_Grid[#Data],$DD1236,64),0)</f>
        <v/>
      </c>
      <c r="BO1236">
        <f>IFERROR(INDEX(PP_Grid[#Data],$DD1236,65),0)</f>
        <v/>
      </c>
      <c r="BP1236">
        <f>IFERROR(INDEX(PP_Grid[#Data],$DD1236,66),0)</f>
        <v/>
      </c>
      <c r="BQ1236">
        <f>IFERROR(INDEX(PP_Grid[#Data],$DD1236,67),0)</f>
        <v/>
      </c>
      <c r="BR1236">
        <f>IFERROR(INDEX(PP_Grid[#Data],$DD1236,68),0)</f>
        <v/>
      </c>
      <c r="BS1236">
        <f>IFERROR(INDEX(PP_Grid[#Data],$DD1236,69),0)</f>
        <v/>
      </c>
      <c r="BT1236">
        <f>IFERROR(INDEX(PP_Grid[#Data],$DD1236,70),0)</f>
        <v/>
      </c>
      <c r="BU1236">
        <f>IFERROR(INDEX(PP_Grid[#Data],$DD1236,71),0)</f>
        <v/>
      </c>
      <c r="BV1236">
        <f>IFERROR(INDEX(PP_Grid[#Data],$DD1236,72),0)</f>
        <v/>
      </c>
      <c r="BW1236">
        <f>IFERROR(INDEX(PP_Grid[#Data],$DD1236,73),0)</f>
        <v/>
      </c>
      <c r="BX1236">
        <f>IFERROR(INDEX(PP_Grid[#Data],$DD1236,74),0)</f>
        <v/>
      </c>
      <c r="BY1236">
        <f>IFERROR(INDEX(PP_Grid[#Data],$DD1236,75),0)</f>
        <v/>
      </c>
      <c r="BZ1236">
        <f>IFERROR(INDEX(PP_Grid[#Data],$DD1236,76),0)</f>
        <v/>
      </c>
      <c r="CA1236">
        <f>IFERROR(INDEX(PP_Grid[#Data],$DD1236,77),0)</f>
        <v/>
      </c>
      <c r="CB1236">
        <f>IFERROR(INDEX(PP_Grid[#Data],$DD1236,78),0)</f>
        <v/>
      </c>
      <c r="CC1236">
        <f>IFERROR(INDEX(PP_Grid[#Data],$DD1236,79),0)</f>
        <v/>
      </c>
      <c r="CD1236">
        <f>IFERROR(INDEX(PP_Grid[#Data],$DD1236,80),0)</f>
        <v/>
      </c>
      <c r="CE1236">
        <f>IFERROR(INDEX(PP_Grid[#Data],$DD1236,81),0)</f>
        <v/>
      </c>
      <c r="CF1236">
        <f>IFERROR(INDEX(PP_Grid[#Data],$DD1236,82),0)</f>
        <v/>
      </c>
      <c r="CG1236">
        <f>IFERROR(INDEX(PP_Grid[#Data],$DD1236,83),0)</f>
        <v/>
      </c>
      <c r="CH1236">
        <f>IFERROR(INDEX(PP_Grid[#Data],$DD1236,84),0)</f>
        <v/>
      </c>
      <c r="CI1236">
        <f>IFERROR(INDEX(PP_Grid[#Data],$DD1236,85),0)</f>
        <v/>
      </c>
      <c r="CJ1236">
        <f>IFERROR(INDEX(PP_Grid[#Data],$DD1236,86),0)</f>
        <v/>
      </c>
      <c r="CK1236">
        <f>IFERROR(INDEX(PP_Grid[#Data],$DD1236,87),0)</f>
        <v/>
      </c>
      <c r="CL1236">
        <f>IFERROR(INDEX(PP_Grid[#Data],$DD1236,88),0)</f>
        <v/>
      </c>
      <c r="CM1236">
        <f>IFERROR(INDEX(PP_Grid[#Data],$DD1236,89),0)</f>
        <v/>
      </c>
      <c r="CN1236">
        <f>IFERROR(INDEX(PP_Grid[#Data],$DD1236,90),0)</f>
        <v/>
      </c>
      <c r="CO1236">
        <f>IFERROR(INDEX(PP_Grid[#Data],$DD1236,91),0)</f>
        <v/>
      </c>
      <c r="CP1236">
        <f>IFERROR(INDEX(PP_Grid[#Data],$DD1236,92),0)</f>
        <v/>
      </c>
      <c r="CQ1236">
        <f>IFERROR(INDEX(PP_Grid[#Data],$DD1236,93),0)</f>
        <v/>
      </c>
      <c r="CR1236">
        <f>IFERROR(INDEX(PP_Grid[#Data],$DD1236,94),0)</f>
        <v/>
      </c>
      <c r="CS1236">
        <f>IFERROR(INDEX(PP_Grid[#Data],$DD1236,95),0)</f>
        <v/>
      </c>
      <c r="CT1236">
        <f>IFERROR(INDEX(PP_Grid[#Data],$DD1236,96),0)</f>
        <v/>
      </c>
      <c r="CU1236">
        <f>IFERROR(INDEX(PP_Grid[#Data],$DD1236,97),0)</f>
        <v/>
      </c>
      <c r="CV1236">
        <f>IFERROR(INDEX(PP_Grid[#Data],$DD1236,98),0)</f>
        <v/>
      </c>
      <c r="CW1236">
        <f>IFERROR(INDEX(PP_Grid[#Data],$DD1236,99),0)</f>
        <v/>
      </c>
      <c r="CX1236">
        <f>IFERROR(INDEX(PP_Grid[#Data],$DD1236,100),0)</f>
        <v/>
      </c>
      <c r="CY1236">
        <f>IFERROR(INDEX(PP_Grid[#Data],$DD1236,101),0)</f>
        <v/>
      </c>
      <c r="CZ1236">
        <f>IFERROR(INDEX(PP_Grid[#Data],$DD1236,102),0)</f>
        <v/>
      </c>
      <c r="DA1236">
        <f>IFERROR(INDEX(PP_Grid[#Data],$DD1236,103),0)</f>
        <v/>
      </c>
      <c r="DB1236">
        <f>IFERROR(INDEX(PP_Grid[#Data],$DD1236,104),0)</f>
        <v/>
      </c>
      <c r="DC1236">
        <f>IFERROR(INDEX(PP_Grid[#Data],$DD1236,105),0)</f>
        <v/>
      </c>
      <c r="DD1236" s="12">
        <f>IFERROR(MATCH($B1236,PP_Grid[Intermediate],0),99999)</f>
        <v/>
      </c>
    </row>
    <row r="1237">
      <c r="B1237" t="inlineStr">
        <is>
          <t>使用量(kg)</t>
        </is>
      </c>
      <c r="C1237">
        <f>SUMIFS(M_BOM[RM_Qty_Per_Batch],M_BOM[Intermediate],$B1236,M_BOM[Part Name],$A1213)</f>
        <v/>
      </c>
      <c r="D1237">
        <f>$C1237*D1236</f>
        <v/>
      </c>
      <c r="E1237">
        <f>$C1237*E1236</f>
        <v/>
      </c>
      <c r="F1237">
        <f>$C1237*F1236</f>
        <v/>
      </c>
      <c r="G1237">
        <f>$C1237*G1236</f>
        <v/>
      </c>
      <c r="H1237">
        <f>$C1237*H1236</f>
        <v/>
      </c>
      <c r="I1237">
        <f>$C1237*I1236</f>
        <v/>
      </c>
      <c r="J1237">
        <f>$C1237*J1236</f>
        <v/>
      </c>
      <c r="K1237">
        <f>$C1237*K1236</f>
        <v/>
      </c>
      <c r="L1237">
        <f>$C1237*L1236</f>
        <v/>
      </c>
      <c r="M1237">
        <f>$C1237*M1236</f>
        <v/>
      </c>
      <c r="N1237">
        <f>$C1237*N1236</f>
        <v/>
      </c>
      <c r="O1237">
        <f>$C1237*O1236</f>
        <v/>
      </c>
      <c r="P1237">
        <f>$C1237*P1236</f>
        <v/>
      </c>
      <c r="Q1237">
        <f>$C1237*Q1236</f>
        <v/>
      </c>
      <c r="R1237">
        <f>$C1237*R1236</f>
        <v/>
      </c>
      <c r="S1237">
        <f>$C1237*S1236</f>
        <v/>
      </c>
      <c r="T1237">
        <f>$C1237*T1236</f>
        <v/>
      </c>
      <c r="U1237">
        <f>$C1237*U1236</f>
        <v/>
      </c>
      <c r="V1237">
        <f>$C1237*V1236</f>
        <v/>
      </c>
      <c r="W1237">
        <f>$C1237*W1236</f>
        <v/>
      </c>
      <c r="X1237">
        <f>$C1237*X1236</f>
        <v/>
      </c>
      <c r="Y1237">
        <f>$C1237*Y1236</f>
        <v/>
      </c>
      <c r="Z1237">
        <f>$C1237*Z1236</f>
        <v/>
      </c>
      <c r="AA1237">
        <f>$C1237*AA1236</f>
        <v/>
      </c>
      <c r="AB1237">
        <f>$C1237*AB1236</f>
        <v/>
      </c>
      <c r="AC1237">
        <f>$C1237*AC1236</f>
        <v/>
      </c>
      <c r="AD1237">
        <f>$C1237*AD1236</f>
        <v/>
      </c>
      <c r="AE1237">
        <f>$C1237*AE1236</f>
        <v/>
      </c>
      <c r="AF1237">
        <f>$C1237*AF1236</f>
        <v/>
      </c>
      <c r="AG1237">
        <f>$C1237*AG1236</f>
        <v/>
      </c>
      <c r="AH1237">
        <f>$C1237*AH1236</f>
        <v/>
      </c>
      <c r="AI1237">
        <f>$C1237*AI1236</f>
        <v/>
      </c>
      <c r="AJ1237">
        <f>$C1237*AJ1236</f>
        <v/>
      </c>
      <c r="AK1237">
        <f>$C1237*AK1236</f>
        <v/>
      </c>
      <c r="AL1237">
        <f>$C1237*AL1236</f>
        <v/>
      </c>
      <c r="AM1237">
        <f>$C1237*AM1236</f>
        <v/>
      </c>
      <c r="AN1237">
        <f>$C1237*AN1236</f>
        <v/>
      </c>
      <c r="AO1237">
        <f>$C1237*AO1236</f>
        <v/>
      </c>
      <c r="AP1237">
        <f>$C1237*AP1236</f>
        <v/>
      </c>
      <c r="AQ1237">
        <f>$C1237*AQ1236</f>
        <v/>
      </c>
      <c r="AR1237">
        <f>$C1237*AR1236</f>
        <v/>
      </c>
      <c r="AS1237">
        <f>$C1237*AS1236</f>
        <v/>
      </c>
      <c r="AT1237">
        <f>$C1237*AT1236</f>
        <v/>
      </c>
      <c r="AU1237">
        <f>$C1237*AU1236</f>
        <v/>
      </c>
      <c r="AV1237">
        <f>$C1237*AV1236</f>
        <v/>
      </c>
      <c r="AW1237">
        <f>$C1237*AW1236</f>
        <v/>
      </c>
      <c r="AX1237">
        <f>$C1237*AX1236</f>
        <v/>
      </c>
      <c r="AY1237">
        <f>$C1237*AY1236</f>
        <v/>
      </c>
      <c r="AZ1237">
        <f>$C1237*AZ1236</f>
        <v/>
      </c>
      <c r="BA1237">
        <f>$C1237*BA1236</f>
        <v/>
      </c>
      <c r="BB1237">
        <f>$C1237*BB1236</f>
        <v/>
      </c>
      <c r="BC1237">
        <f>$C1237*BC1236</f>
        <v/>
      </c>
      <c r="BD1237">
        <f>$C1237*BD1236</f>
        <v/>
      </c>
      <c r="BE1237">
        <f>$C1237*BE1236</f>
        <v/>
      </c>
      <c r="BF1237">
        <f>$C1237*BF1236</f>
        <v/>
      </c>
      <c r="BG1237">
        <f>$C1237*BG1236</f>
        <v/>
      </c>
      <c r="BH1237">
        <f>$C1237*BH1236</f>
        <v/>
      </c>
      <c r="BI1237">
        <f>$C1237*BI1236</f>
        <v/>
      </c>
      <c r="BJ1237">
        <f>$C1237*BJ1236</f>
        <v/>
      </c>
      <c r="BK1237">
        <f>$C1237*BK1236</f>
        <v/>
      </c>
      <c r="BL1237">
        <f>$C1237*BL1236</f>
        <v/>
      </c>
      <c r="BM1237">
        <f>$C1237*BM1236</f>
        <v/>
      </c>
      <c r="BN1237">
        <f>$C1237*BN1236</f>
        <v/>
      </c>
      <c r="BO1237">
        <f>$C1237*BO1236</f>
        <v/>
      </c>
      <c r="BP1237">
        <f>$C1237*BP1236</f>
        <v/>
      </c>
      <c r="BQ1237">
        <f>$C1237*BQ1236</f>
        <v/>
      </c>
      <c r="BR1237">
        <f>$C1237*BR1236</f>
        <v/>
      </c>
      <c r="BS1237">
        <f>$C1237*BS1236</f>
        <v/>
      </c>
      <c r="BT1237">
        <f>$C1237*BT1236</f>
        <v/>
      </c>
      <c r="BU1237">
        <f>$C1237*BU1236</f>
        <v/>
      </c>
      <c r="BV1237">
        <f>$C1237*BV1236</f>
        <v/>
      </c>
      <c r="BW1237">
        <f>$C1237*BW1236</f>
        <v/>
      </c>
      <c r="BX1237">
        <f>$C1237*BX1236</f>
        <v/>
      </c>
      <c r="BY1237">
        <f>$C1237*BY1236</f>
        <v/>
      </c>
      <c r="BZ1237">
        <f>$C1237*BZ1236</f>
        <v/>
      </c>
      <c r="CA1237">
        <f>$C1237*CA1236</f>
        <v/>
      </c>
      <c r="CB1237">
        <f>$C1237*CB1236</f>
        <v/>
      </c>
      <c r="CC1237">
        <f>$C1237*CC1236</f>
        <v/>
      </c>
      <c r="CD1237">
        <f>$C1237*CD1236</f>
        <v/>
      </c>
      <c r="CE1237">
        <f>$C1237*CE1236</f>
        <v/>
      </c>
      <c r="CF1237">
        <f>$C1237*CF1236</f>
        <v/>
      </c>
      <c r="CG1237">
        <f>$C1237*CG1236</f>
        <v/>
      </c>
      <c r="CH1237">
        <f>$C1237*CH1236</f>
        <v/>
      </c>
      <c r="CI1237">
        <f>$C1237*CI1236</f>
        <v/>
      </c>
      <c r="CJ1237">
        <f>$C1237*CJ1236</f>
        <v/>
      </c>
      <c r="CK1237">
        <f>$C1237*CK1236</f>
        <v/>
      </c>
      <c r="CL1237">
        <f>$C1237*CL1236</f>
        <v/>
      </c>
      <c r="CM1237">
        <f>$C1237*CM1236</f>
        <v/>
      </c>
      <c r="CN1237">
        <f>$C1237*CN1236</f>
        <v/>
      </c>
      <c r="CO1237">
        <f>$C1237*CO1236</f>
        <v/>
      </c>
      <c r="CP1237">
        <f>$C1237*CP1236</f>
        <v/>
      </c>
      <c r="CQ1237">
        <f>$C1237*CQ1236</f>
        <v/>
      </c>
      <c r="CR1237">
        <f>$C1237*CR1236</f>
        <v/>
      </c>
      <c r="CS1237">
        <f>$C1237*CS1236</f>
        <v/>
      </c>
      <c r="CT1237">
        <f>$C1237*CT1236</f>
        <v/>
      </c>
      <c r="CU1237">
        <f>$C1237*CU1236</f>
        <v/>
      </c>
      <c r="CV1237">
        <f>$C1237*CV1236</f>
        <v/>
      </c>
      <c r="CW1237">
        <f>$C1237*CW1236</f>
        <v/>
      </c>
      <c r="CX1237">
        <f>$C1237*CX1236</f>
        <v/>
      </c>
      <c r="CY1237">
        <f>$C1237*CY1236</f>
        <v/>
      </c>
      <c r="CZ1237">
        <f>$C1237*CZ1236</f>
        <v/>
      </c>
      <c r="DA1237">
        <f>$C1237*DA1236</f>
        <v/>
      </c>
      <c r="DB1237">
        <f>$C1237*DB1236</f>
        <v/>
      </c>
      <c r="DC1237">
        <f>$C1237*DC1236</f>
        <v/>
      </c>
    </row>
    <row r="1238">
      <c r="B1238" t="inlineStr">
        <is>
          <t>TSP-935</t>
        </is>
      </c>
      <c r="C1238" t="inlineStr">
        <is>
          <t>No. of batches</t>
        </is>
      </c>
      <c r="D1238">
        <f>IFERROR(INDEX(PP_Grid[#Data],$DD1238,2),0)</f>
        <v/>
      </c>
      <c r="E1238">
        <f>IFERROR(INDEX(PP_Grid[#Data],$DD1238,3),0)</f>
        <v/>
      </c>
      <c r="F1238">
        <f>IFERROR(INDEX(PP_Grid[#Data],$DD1238,4),0)</f>
        <v/>
      </c>
      <c r="G1238">
        <f>IFERROR(INDEX(PP_Grid[#Data],$DD1238,5),0)</f>
        <v/>
      </c>
      <c r="H1238">
        <f>IFERROR(INDEX(PP_Grid[#Data],$DD1238,6),0)</f>
        <v/>
      </c>
      <c r="I1238">
        <f>IFERROR(INDEX(PP_Grid[#Data],$DD1238,7),0)</f>
        <v/>
      </c>
      <c r="J1238">
        <f>IFERROR(INDEX(PP_Grid[#Data],$DD1238,8),0)</f>
        <v/>
      </c>
      <c r="K1238">
        <f>IFERROR(INDEX(PP_Grid[#Data],$DD1238,9),0)</f>
        <v/>
      </c>
      <c r="L1238">
        <f>IFERROR(INDEX(PP_Grid[#Data],$DD1238,10),0)</f>
        <v/>
      </c>
      <c r="M1238">
        <f>IFERROR(INDEX(PP_Grid[#Data],$DD1238,11),0)</f>
        <v/>
      </c>
      <c r="N1238">
        <f>IFERROR(INDEX(PP_Grid[#Data],$DD1238,12),0)</f>
        <v/>
      </c>
      <c r="O1238">
        <f>IFERROR(INDEX(PP_Grid[#Data],$DD1238,13),0)</f>
        <v/>
      </c>
      <c r="P1238">
        <f>IFERROR(INDEX(PP_Grid[#Data],$DD1238,14),0)</f>
        <v/>
      </c>
      <c r="Q1238">
        <f>IFERROR(INDEX(PP_Grid[#Data],$DD1238,15),0)</f>
        <v/>
      </c>
      <c r="R1238">
        <f>IFERROR(INDEX(PP_Grid[#Data],$DD1238,16),0)</f>
        <v/>
      </c>
      <c r="S1238">
        <f>IFERROR(INDEX(PP_Grid[#Data],$DD1238,17),0)</f>
        <v/>
      </c>
      <c r="T1238">
        <f>IFERROR(INDEX(PP_Grid[#Data],$DD1238,18),0)</f>
        <v/>
      </c>
      <c r="U1238">
        <f>IFERROR(INDEX(PP_Grid[#Data],$DD1238,19),0)</f>
        <v/>
      </c>
      <c r="V1238">
        <f>IFERROR(INDEX(PP_Grid[#Data],$DD1238,20),0)</f>
        <v/>
      </c>
      <c r="W1238">
        <f>IFERROR(INDEX(PP_Grid[#Data],$DD1238,21),0)</f>
        <v/>
      </c>
      <c r="X1238">
        <f>IFERROR(INDEX(PP_Grid[#Data],$DD1238,22),0)</f>
        <v/>
      </c>
      <c r="Y1238">
        <f>IFERROR(INDEX(PP_Grid[#Data],$DD1238,23),0)</f>
        <v/>
      </c>
      <c r="Z1238">
        <f>IFERROR(INDEX(PP_Grid[#Data],$DD1238,24),0)</f>
        <v/>
      </c>
      <c r="AA1238">
        <f>IFERROR(INDEX(PP_Grid[#Data],$DD1238,25),0)</f>
        <v/>
      </c>
      <c r="AB1238">
        <f>IFERROR(INDEX(PP_Grid[#Data],$DD1238,26),0)</f>
        <v/>
      </c>
      <c r="AC1238">
        <f>IFERROR(INDEX(PP_Grid[#Data],$DD1238,27),0)</f>
        <v/>
      </c>
      <c r="AD1238">
        <f>IFERROR(INDEX(PP_Grid[#Data],$DD1238,28),0)</f>
        <v/>
      </c>
      <c r="AE1238">
        <f>IFERROR(INDEX(PP_Grid[#Data],$DD1238,29),0)</f>
        <v/>
      </c>
      <c r="AF1238">
        <f>IFERROR(INDEX(PP_Grid[#Data],$DD1238,30),0)</f>
        <v/>
      </c>
      <c r="AG1238">
        <f>IFERROR(INDEX(PP_Grid[#Data],$DD1238,31),0)</f>
        <v/>
      </c>
      <c r="AH1238">
        <f>IFERROR(INDEX(PP_Grid[#Data],$DD1238,32),0)</f>
        <v/>
      </c>
      <c r="AI1238">
        <f>IFERROR(INDEX(PP_Grid[#Data],$DD1238,33),0)</f>
        <v/>
      </c>
      <c r="AJ1238">
        <f>IFERROR(INDEX(PP_Grid[#Data],$DD1238,34),0)</f>
        <v/>
      </c>
      <c r="AK1238">
        <f>IFERROR(INDEX(PP_Grid[#Data],$DD1238,35),0)</f>
        <v/>
      </c>
      <c r="AL1238">
        <f>IFERROR(INDEX(PP_Grid[#Data],$DD1238,36),0)</f>
        <v/>
      </c>
      <c r="AM1238">
        <f>IFERROR(INDEX(PP_Grid[#Data],$DD1238,37),0)</f>
        <v/>
      </c>
      <c r="AN1238">
        <f>IFERROR(INDEX(PP_Grid[#Data],$DD1238,38),0)</f>
        <v/>
      </c>
      <c r="AO1238">
        <f>IFERROR(INDEX(PP_Grid[#Data],$DD1238,39),0)</f>
        <v/>
      </c>
      <c r="AP1238">
        <f>IFERROR(INDEX(PP_Grid[#Data],$DD1238,40),0)</f>
        <v/>
      </c>
      <c r="AQ1238">
        <f>IFERROR(INDEX(PP_Grid[#Data],$DD1238,41),0)</f>
        <v/>
      </c>
      <c r="AR1238">
        <f>IFERROR(INDEX(PP_Grid[#Data],$DD1238,42),0)</f>
        <v/>
      </c>
      <c r="AS1238">
        <f>IFERROR(INDEX(PP_Grid[#Data],$DD1238,43),0)</f>
        <v/>
      </c>
      <c r="AT1238">
        <f>IFERROR(INDEX(PP_Grid[#Data],$DD1238,44),0)</f>
        <v/>
      </c>
      <c r="AU1238">
        <f>IFERROR(INDEX(PP_Grid[#Data],$DD1238,45),0)</f>
        <v/>
      </c>
      <c r="AV1238">
        <f>IFERROR(INDEX(PP_Grid[#Data],$DD1238,46),0)</f>
        <v/>
      </c>
      <c r="AW1238">
        <f>IFERROR(INDEX(PP_Grid[#Data],$DD1238,47),0)</f>
        <v/>
      </c>
      <c r="AX1238">
        <f>IFERROR(INDEX(PP_Grid[#Data],$DD1238,48),0)</f>
        <v/>
      </c>
      <c r="AY1238">
        <f>IFERROR(INDEX(PP_Grid[#Data],$DD1238,49),0)</f>
        <v/>
      </c>
      <c r="AZ1238">
        <f>IFERROR(INDEX(PP_Grid[#Data],$DD1238,50),0)</f>
        <v/>
      </c>
      <c r="BA1238">
        <f>IFERROR(INDEX(PP_Grid[#Data],$DD1238,51),0)</f>
        <v/>
      </c>
      <c r="BB1238">
        <f>IFERROR(INDEX(PP_Grid[#Data],$DD1238,52),0)</f>
        <v/>
      </c>
      <c r="BC1238">
        <f>IFERROR(INDEX(PP_Grid[#Data],$DD1238,53),0)</f>
        <v/>
      </c>
      <c r="BD1238">
        <f>IFERROR(INDEX(PP_Grid[#Data],$DD1238,54),0)</f>
        <v/>
      </c>
      <c r="BE1238">
        <f>IFERROR(INDEX(PP_Grid[#Data],$DD1238,55),0)</f>
        <v/>
      </c>
      <c r="BF1238">
        <f>IFERROR(INDEX(PP_Grid[#Data],$DD1238,56),0)</f>
        <v/>
      </c>
      <c r="BG1238">
        <f>IFERROR(INDEX(PP_Grid[#Data],$DD1238,57),0)</f>
        <v/>
      </c>
      <c r="BH1238">
        <f>IFERROR(INDEX(PP_Grid[#Data],$DD1238,58),0)</f>
        <v/>
      </c>
      <c r="BI1238">
        <f>IFERROR(INDEX(PP_Grid[#Data],$DD1238,59),0)</f>
        <v/>
      </c>
      <c r="BJ1238">
        <f>IFERROR(INDEX(PP_Grid[#Data],$DD1238,60),0)</f>
        <v/>
      </c>
      <c r="BK1238">
        <f>IFERROR(INDEX(PP_Grid[#Data],$DD1238,61),0)</f>
        <v/>
      </c>
      <c r="BL1238">
        <f>IFERROR(INDEX(PP_Grid[#Data],$DD1238,62),0)</f>
        <v/>
      </c>
      <c r="BM1238">
        <f>IFERROR(INDEX(PP_Grid[#Data],$DD1238,63),0)</f>
        <v/>
      </c>
      <c r="BN1238">
        <f>IFERROR(INDEX(PP_Grid[#Data],$DD1238,64),0)</f>
        <v/>
      </c>
      <c r="BO1238">
        <f>IFERROR(INDEX(PP_Grid[#Data],$DD1238,65),0)</f>
        <v/>
      </c>
      <c r="BP1238">
        <f>IFERROR(INDEX(PP_Grid[#Data],$DD1238,66),0)</f>
        <v/>
      </c>
      <c r="BQ1238">
        <f>IFERROR(INDEX(PP_Grid[#Data],$DD1238,67),0)</f>
        <v/>
      </c>
      <c r="BR1238">
        <f>IFERROR(INDEX(PP_Grid[#Data],$DD1238,68),0)</f>
        <v/>
      </c>
      <c r="BS1238">
        <f>IFERROR(INDEX(PP_Grid[#Data],$DD1238,69),0)</f>
        <v/>
      </c>
      <c r="BT1238">
        <f>IFERROR(INDEX(PP_Grid[#Data],$DD1238,70),0)</f>
        <v/>
      </c>
      <c r="BU1238">
        <f>IFERROR(INDEX(PP_Grid[#Data],$DD1238,71),0)</f>
        <v/>
      </c>
      <c r="BV1238">
        <f>IFERROR(INDEX(PP_Grid[#Data],$DD1238,72),0)</f>
        <v/>
      </c>
      <c r="BW1238">
        <f>IFERROR(INDEX(PP_Grid[#Data],$DD1238,73),0)</f>
        <v/>
      </c>
      <c r="BX1238">
        <f>IFERROR(INDEX(PP_Grid[#Data],$DD1238,74),0)</f>
        <v/>
      </c>
      <c r="BY1238">
        <f>IFERROR(INDEX(PP_Grid[#Data],$DD1238,75),0)</f>
        <v/>
      </c>
      <c r="BZ1238">
        <f>IFERROR(INDEX(PP_Grid[#Data],$DD1238,76),0)</f>
        <v/>
      </c>
      <c r="CA1238">
        <f>IFERROR(INDEX(PP_Grid[#Data],$DD1238,77),0)</f>
        <v/>
      </c>
      <c r="CB1238">
        <f>IFERROR(INDEX(PP_Grid[#Data],$DD1238,78),0)</f>
        <v/>
      </c>
      <c r="CC1238">
        <f>IFERROR(INDEX(PP_Grid[#Data],$DD1238,79),0)</f>
        <v/>
      </c>
      <c r="CD1238">
        <f>IFERROR(INDEX(PP_Grid[#Data],$DD1238,80),0)</f>
        <v/>
      </c>
      <c r="CE1238">
        <f>IFERROR(INDEX(PP_Grid[#Data],$DD1238,81),0)</f>
        <v/>
      </c>
      <c r="CF1238">
        <f>IFERROR(INDEX(PP_Grid[#Data],$DD1238,82),0)</f>
        <v/>
      </c>
      <c r="CG1238">
        <f>IFERROR(INDEX(PP_Grid[#Data],$DD1238,83),0)</f>
        <v/>
      </c>
      <c r="CH1238">
        <f>IFERROR(INDEX(PP_Grid[#Data],$DD1238,84),0)</f>
        <v/>
      </c>
      <c r="CI1238">
        <f>IFERROR(INDEX(PP_Grid[#Data],$DD1238,85),0)</f>
        <v/>
      </c>
      <c r="CJ1238">
        <f>IFERROR(INDEX(PP_Grid[#Data],$DD1238,86),0)</f>
        <v/>
      </c>
      <c r="CK1238">
        <f>IFERROR(INDEX(PP_Grid[#Data],$DD1238,87),0)</f>
        <v/>
      </c>
      <c r="CL1238">
        <f>IFERROR(INDEX(PP_Grid[#Data],$DD1238,88),0)</f>
        <v/>
      </c>
      <c r="CM1238">
        <f>IFERROR(INDEX(PP_Grid[#Data],$DD1238,89),0)</f>
        <v/>
      </c>
      <c r="CN1238">
        <f>IFERROR(INDEX(PP_Grid[#Data],$DD1238,90),0)</f>
        <v/>
      </c>
      <c r="CO1238">
        <f>IFERROR(INDEX(PP_Grid[#Data],$DD1238,91),0)</f>
        <v/>
      </c>
      <c r="CP1238">
        <f>IFERROR(INDEX(PP_Grid[#Data],$DD1238,92),0)</f>
        <v/>
      </c>
      <c r="CQ1238">
        <f>IFERROR(INDEX(PP_Grid[#Data],$DD1238,93),0)</f>
        <v/>
      </c>
      <c r="CR1238">
        <f>IFERROR(INDEX(PP_Grid[#Data],$DD1238,94),0)</f>
        <v/>
      </c>
      <c r="CS1238">
        <f>IFERROR(INDEX(PP_Grid[#Data],$DD1238,95),0)</f>
        <v/>
      </c>
      <c r="CT1238">
        <f>IFERROR(INDEX(PP_Grid[#Data],$DD1238,96),0)</f>
        <v/>
      </c>
      <c r="CU1238">
        <f>IFERROR(INDEX(PP_Grid[#Data],$DD1238,97),0)</f>
        <v/>
      </c>
      <c r="CV1238">
        <f>IFERROR(INDEX(PP_Grid[#Data],$DD1238,98),0)</f>
        <v/>
      </c>
      <c r="CW1238">
        <f>IFERROR(INDEX(PP_Grid[#Data],$DD1238,99),0)</f>
        <v/>
      </c>
      <c r="CX1238">
        <f>IFERROR(INDEX(PP_Grid[#Data],$DD1238,100),0)</f>
        <v/>
      </c>
      <c r="CY1238">
        <f>IFERROR(INDEX(PP_Grid[#Data],$DD1238,101),0)</f>
        <v/>
      </c>
      <c r="CZ1238">
        <f>IFERROR(INDEX(PP_Grid[#Data],$DD1238,102),0)</f>
        <v/>
      </c>
      <c r="DA1238">
        <f>IFERROR(INDEX(PP_Grid[#Data],$DD1238,103),0)</f>
        <v/>
      </c>
      <c r="DB1238">
        <f>IFERROR(INDEX(PP_Grid[#Data],$DD1238,104),0)</f>
        <v/>
      </c>
      <c r="DC1238">
        <f>IFERROR(INDEX(PP_Grid[#Data],$DD1238,105),0)</f>
        <v/>
      </c>
      <c r="DD1238" s="12">
        <f>IFERROR(MATCH($B1238,PP_Grid[Intermediate],0),99999)</f>
        <v/>
      </c>
    </row>
    <row r="1239">
      <c r="B1239" t="inlineStr">
        <is>
          <t>使用量(kg)</t>
        </is>
      </c>
      <c r="C1239">
        <f>SUMIFS(M_BOM[RM_Qty_Per_Batch],M_BOM[Intermediate],$B1238,M_BOM[Part Name],$A1213)</f>
        <v/>
      </c>
      <c r="D1239">
        <f>$C1239*D1238</f>
        <v/>
      </c>
      <c r="E1239">
        <f>$C1239*E1238</f>
        <v/>
      </c>
      <c r="F1239">
        <f>$C1239*F1238</f>
        <v/>
      </c>
      <c r="G1239">
        <f>$C1239*G1238</f>
        <v/>
      </c>
      <c r="H1239">
        <f>$C1239*H1238</f>
        <v/>
      </c>
      <c r="I1239">
        <f>$C1239*I1238</f>
        <v/>
      </c>
      <c r="J1239">
        <f>$C1239*J1238</f>
        <v/>
      </c>
      <c r="K1239">
        <f>$C1239*K1238</f>
        <v/>
      </c>
      <c r="L1239">
        <f>$C1239*L1238</f>
        <v/>
      </c>
      <c r="M1239">
        <f>$C1239*M1238</f>
        <v/>
      </c>
      <c r="N1239">
        <f>$C1239*N1238</f>
        <v/>
      </c>
      <c r="O1239">
        <f>$C1239*O1238</f>
        <v/>
      </c>
      <c r="P1239">
        <f>$C1239*P1238</f>
        <v/>
      </c>
      <c r="Q1239">
        <f>$C1239*Q1238</f>
        <v/>
      </c>
      <c r="R1239">
        <f>$C1239*R1238</f>
        <v/>
      </c>
      <c r="S1239">
        <f>$C1239*S1238</f>
        <v/>
      </c>
      <c r="T1239">
        <f>$C1239*T1238</f>
        <v/>
      </c>
      <c r="U1239">
        <f>$C1239*U1238</f>
        <v/>
      </c>
      <c r="V1239">
        <f>$C1239*V1238</f>
        <v/>
      </c>
      <c r="W1239">
        <f>$C1239*W1238</f>
        <v/>
      </c>
      <c r="X1239">
        <f>$C1239*X1238</f>
        <v/>
      </c>
      <c r="Y1239">
        <f>$C1239*Y1238</f>
        <v/>
      </c>
      <c r="Z1239">
        <f>$C1239*Z1238</f>
        <v/>
      </c>
      <c r="AA1239">
        <f>$C1239*AA1238</f>
        <v/>
      </c>
      <c r="AB1239">
        <f>$C1239*AB1238</f>
        <v/>
      </c>
      <c r="AC1239">
        <f>$C1239*AC1238</f>
        <v/>
      </c>
      <c r="AD1239">
        <f>$C1239*AD1238</f>
        <v/>
      </c>
      <c r="AE1239">
        <f>$C1239*AE1238</f>
        <v/>
      </c>
      <c r="AF1239">
        <f>$C1239*AF1238</f>
        <v/>
      </c>
      <c r="AG1239">
        <f>$C1239*AG1238</f>
        <v/>
      </c>
      <c r="AH1239">
        <f>$C1239*AH1238</f>
        <v/>
      </c>
      <c r="AI1239">
        <f>$C1239*AI1238</f>
        <v/>
      </c>
      <c r="AJ1239">
        <f>$C1239*AJ1238</f>
        <v/>
      </c>
      <c r="AK1239">
        <f>$C1239*AK1238</f>
        <v/>
      </c>
      <c r="AL1239">
        <f>$C1239*AL1238</f>
        <v/>
      </c>
      <c r="AM1239">
        <f>$C1239*AM1238</f>
        <v/>
      </c>
      <c r="AN1239">
        <f>$C1239*AN1238</f>
        <v/>
      </c>
      <c r="AO1239">
        <f>$C1239*AO1238</f>
        <v/>
      </c>
      <c r="AP1239">
        <f>$C1239*AP1238</f>
        <v/>
      </c>
      <c r="AQ1239">
        <f>$C1239*AQ1238</f>
        <v/>
      </c>
      <c r="AR1239">
        <f>$C1239*AR1238</f>
        <v/>
      </c>
      <c r="AS1239">
        <f>$C1239*AS1238</f>
        <v/>
      </c>
      <c r="AT1239">
        <f>$C1239*AT1238</f>
        <v/>
      </c>
      <c r="AU1239">
        <f>$C1239*AU1238</f>
        <v/>
      </c>
      <c r="AV1239">
        <f>$C1239*AV1238</f>
        <v/>
      </c>
      <c r="AW1239">
        <f>$C1239*AW1238</f>
        <v/>
      </c>
      <c r="AX1239">
        <f>$C1239*AX1238</f>
        <v/>
      </c>
      <c r="AY1239">
        <f>$C1239*AY1238</f>
        <v/>
      </c>
      <c r="AZ1239">
        <f>$C1239*AZ1238</f>
        <v/>
      </c>
      <c r="BA1239">
        <f>$C1239*BA1238</f>
        <v/>
      </c>
      <c r="BB1239">
        <f>$C1239*BB1238</f>
        <v/>
      </c>
      <c r="BC1239">
        <f>$C1239*BC1238</f>
        <v/>
      </c>
      <c r="BD1239">
        <f>$C1239*BD1238</f>
        <v/>
      </c>
      <c r="BE1239">
        <f>$C1239*BE1238</f>
        <v/>
      </c>
      <c r="BF1239">
        <f>$C1239*BF1238</f>
        <v/>
      </c>
      <c r="BG1239">
        <f>$C1239*BG1238</f>
        <v/>
      </c>
      <c r="BH1239">
        <f>$C1239*BH1238</f>
        <v/>
      </c>
      <c r="BI1239">
        <f>$C1239*BI1238</f>
        <v/>
      </c>
      <c r="BJ1239">
        <f>$C1239*BJ1238</f>
        <v/>
      </c>
      <c r="BK1239">
        <f>$C1239*BK1238</f>
        <v/>
      </c>
      <c r="BL1239">
        <f>$C1239*BL1238</f>
        <v/>
      </c>
      <c r="BM1239">
        <f>$C1239*BM1238</f>
        <v/>
      </c>
      <c r="BN1239">
        <f>$C1239*BN1238</f>
        <v/>
      </c>
      <c r="BO1239">
        <f>$C1239*BO1238</f>
        <v/>
      </c>
      <c r="BP1239">
        <f>$C1239*BP1238</f>
        <v/>
      </c>
      <c r="BQ1239">
        <f>$C1239*BQ1238</f>
        <v/>
      </c>
      <c r="BR1239">
        <f>$C1239*BR1238</f>
        <v/>
      </c>
      <c r="BS1239">
        <f>$C1239*BS1238</f>
        <v/>
      </c>
      <c r="BT1239">
        <f>$C1239*BT1238</f>
        <v/>
      </c>
      <c r="BU1239">
        <f>$C1239*BU1238</f>
        <v/>
      </c>
      <c r="BV1239">
        <f>$C1239*BV1238</f>
        <v/>
      </c>
      <c r="BW1239">
        <f>$C1239*BW1238</f>
        <v/>
      </c>
      <c r="BX1239">
        <f>$C1239*BX1238</f>
        <v/>
      </c>
      <c r="BY1239">
        <f>$C1239*BY1238</f>
        <v/>
      </c>
      <c r="BZ1239">
        <f>$C1239*BZ1238</f>
        <v/>
      </c>
      <c r="CA1239">
        <f>$C1239*CA1238</f>
        <v/>
      </c>
      <c r="CB1239">
        <f>$C1239*CB1238</f>
        <v/>
      </c>
      <c r="CC1239">
        <f>$C1239*CC1238</f>
        <v/>
      </c>
      <c r="CD1239">
        <f>$C1239*CD1238</f>
        <v/>
      </c>
      <c r="CE1239">
        <f>$C1239*CE1238</f>
        <v/>
      </c>
      <c r="CF1239">
        <f>$C1239*CF1238</f>
        <v/>
      </c>
      <c r="CG1239">
        <f>$C1239*CG1238</f>
        <v/>
      </c>
      <c r="CH1239">
        <f>$C1239*CH1238</f>
        <v/>
      </c>
      <c r="CI1239">
        <f>$C1239*CI1238</f>
        <v/>
      </c>
      <c r="CJ1239">
        <f>$C1239*CJ1238</f>
        <v/>
      </c>
      <c r="CK1239">
        <f>$C1239*CK1238</f>
        <v/>
      </c>
      <c r="CL1239">
        <f>$C1239*CL1238</f>
        <v/>
      </c>
      <c r="CM1239">
        <f>$C1239*CM1238</f>
        <v/>
      </c>
      <c r="CN1239">
        <f>$C1239*CN1238</f>
        <v/>
      </c>
      <c r="CO1239">
        <f>$C1239*CO1238</f>
        <v/>
      </c>
      <c r="CP1239">
        <f>$C1239*CP1238</f>
        <v/>
      </c>
      <c r="CQ1239">
        <f>$C1239*CQ1238</f>
        <v/>
      </c>
      <c r="CR1239">
        <f>$C1239*CR1238</f>
        <v/>
      </c>
      <c r="CS1239">
        <f>$C1239*CS1238</f>
        <v/>
      </c>
      <c r="CT1239">
        <f>$C1239*CT1238</f>
        <v/>
      </c>
      <c r="CU1239">
        <f>$C1239*CU1238</f>
        <v/>
      </c>
      <c r="CV1239">
        <f>$C1239*CV1238</f>
        <v/>
      </c>
      <c r="CW1239">
        <f>$C1239*CW1238</f>
        <v/>
      </c>
      <c r="CX1239">
        <f>$C1239*CX1238</f>
        <v/>
      </c>
      <c r="CY1239">
        <f>$C1239*CY1238</f>
        <v/>
      </c>
      <c r="CZ1239">
        <f>$C1239*CZ1238</f>
        <v/>
      </c>
      <c r="DA1239">
        <f>$C1239*DA1238</f>
        <v/>
      </c>
      <c r="DB1239">
        <f>$C1239*DB1238</f>
        <v/>
      </c>
      <c r="DC1239">
        <f>$C1239*DC1238</f>
        <v/>
      </c>
    </row>
    <row r="1240">
      <c r="B1240" t="inlineStr">
        <is>
          <t>TSP-936</t>
        </is>
      </c>
      <c r="C1240" t="inlineStr">
        <is>
          <t>No. of batches</t>
        </is>
      </c>
      <c r="D1240">
        <f>IFERROR(INDEX(PP_Grid[#Data],$DD1240,2),0)</f>
        <v/>
      </c>
      <c r="E1240">
        <f>IFERROR(INDEX(PP_Grid[#Data],$DD1240,3),0)</f>
        <v/>
      </c>
      <c r="F1240">
        <f>IFERROR(INDEX(PP_Grid[#Data],$DD1240,4),0)</f>
        <v/>
      </c>
      <c r="G1240">
        <f>IFERROR(INDEX(PP_Grid[#Data],$DD1240,5),0)</f>
        <v/>
      </c>
      <c r="H1240">
        <f>IFERROR(INDEX(PP_Grid[#Data],$DD1240,6),0)</f>
        <v/>
      </c>
      <c r="I1240">
        <f>IFERROR(INDEX(PP_Grid[#Data],$DD1240,7),0)</f>
        <v/>
      </c>
      <c r="J1240">
        <f>IFERROR(INDEX(PP_Grid[#Data],$DD1240,8),0)</f>
        <v/>
      </c>
      <c r="K1240">
        <f>IFERROR(INDEX(PP_Grid[#Data],$DD1240,9),0)</f>
        <v/>
      </c>
      <c r="L1240">
        <f>IFERROR(INDEX(PP_Grid[#Data],$DD1240,10),0)</f>
        <v/>
      </c>
      <c r="M1240">
        <f>IFERROR(INDEX(PP_Grid[#Data],$DD1240,11),0)</f>
        <v/>
      </c>
      <c r="N1240">
        <f>IFERROR(INDEX(PP_Grid[#Data],$DD1240,12),0)</f>
        <v/>
      </c>
      <c r="O1240">
        <f>IFERROR(INDEX(PP_Grid[#Data],$DD1240,13),0)</f>
        <v/>
      </c>
      <c r="P1240">
        <f>IFERROR(INDEX(PP_Grid[#Data],$DD1240,14),0)</f>
        <v/>
      </c>
      <c r="Q1240">
        <f>IFERROR(INDEX(PP_Grid[#Data],$DD1240,15),0)</f>
        <v/>
      </c>
      <c r="R1240">
        <f>IFERROR(INDEX(PP_Grid[#Data],$DD1240,16),0)</f>
        <v/>
      </c>
      <c r="S1240">
        <f>IFERROR(INDEX(PP_Grid[#Data],$DD1240,17),0)</f>
        <v/>
      </c>
      <c r="T1240">
        <f>IFERROR(INDEX(PP_Grid[#Data],$DD1240,18),0)</f>
        <v/>
      </c>
      <c r="U1240">
        <f>IFERROR(INDEX(PP_Grid[#Data],$DD1240,19),0)</f>
        <v/>
      </c>
      <c r="V1240">
        <f>IFERROR(INDEX(PP_Grid[#Data],$DD1240,20),0)</f>
        <v/>
      </c>
      <c r="W1240">
        <f>IFERROR(INDEX(PP_Grid[#Data],$DD1240,21),0)</f>
        <v/>
      </c>
      <c r="X1240">
        <f>IFERROR(INDEX(PP_Grid[#Data],$DD1240,22),0)</f>
        <v/>
      </c>
      <c r="Y1240">
        <f>IFERROR(INDEX(PP_Grid[#Data],$DD1240,23),0)</f>
        <v/>
      </c>
      <c r="Z1240">
        <f>IFERROR(INDEX(PP_Grid[#Data],$DD1240,24),0)</f>
        <v/>
      </c>
      <c r="AA1240">
        <f>IFERROR(INDEX(PP_Grid[#Data],$DD1240,25),0)</f>
        <v/>
      </c>
      <c r="AB1240">
        <f>IFERROR(INDEX(PP_Grid[#Data],$DD1240,26),0)</f>
        <v/>
      </c>
      <c r="AC1240">
        <f>IFERROR(INDEX(PP_Grid[#Data],$DD1240,27),0)</f>
        <v/>
      </c>
      <c r="AD1240">
        <f>IFERROR(INDEX(PP_Grid[#Data],$DD1240,28),0)</f>
        <v/>
      </c>
      <c r="AE1240">
        <f>IFERROR(INDEX(PP_Grid[#Data],$DD1240,29),0)</f>
        <v/>
      </c>
      <c r="AF1240">
        <f>IFERROR(INDEX(PP_Grid[#Data],$DD1240,30),0)</f>
        <v/>
      </c>
      <c r="AG1240">
        <f>IFERROR(INDEX(PP_Grid[#Data],$DD1240,31),0)</f>
        <v/>
      </c>
      <c r="AH1240">
        <f>IFERROR(INDEX(PP_Grid[#Data],$DD1240,32),0)</f>
        <v/>
      </c>
      <c r="AI1240">
        <f>IFERROR(INDEX(PP_Grid[#Data],$DD1240,33),0)</f>
        <v/>
      </c>
      <c r="AJ1240">
        <f>IFERROR(INDEX(PP_Grid[#Data],$DD1240,34),0)</f>
        <v/>
      </c>
      <c r="AK1240">
        <f>IFERROR(INDEX(PP_Grid[#Data],$DD1240,35),0)</f>
        <v/>
      </c>
      <c r="AL1240">
        <f>IFERROR(INDEX(PP_Grid[#Data],$DD1240,36),0)</f>
        <v/>
      </c>
      <c r="AM1240">
        <f>IFERROR(INDEX(PP_Grid[#Data],$DD1240,37),0)</f>
        <v/>
      </c>
      <c r="AN1240">
        <f>IFERROR(INDEX(PP_Grid[#Data],$DD1240,38),0)</f>
        <v/>
      </c>
      <c r="AO1240">
        <f>IFERROR(INDEX(PP_Grid[#Data],$DD1240,39),0)</f>
        <v/>
      </c>
      <c r="AP1240">
        <f>IFERROR(INDEX(PP_Grid[#Data],$DD1240,40),0)</f>
        <v/>
      </c>
      <c r="AQ1240">
        <f>IFERROR(INDEX(PP_Grid[#Data],$DD1240,41),0)</f>
        <v/>
      </c>
      <c r="AR1240">
        <f>IFERROR(INDEX(PP_Grid[#Data],$DD1240,42),0)</f>
        <v/>
      </c>
      <c r="AS1240">
        <f>IFERROR(INDEX(PP_Grid[#Data],$DD1240,43),0)</f>
        <v/>
      </c>
      <c r="AT1240">
        <f>IFERROR(INDEX(PP_Grid[#Data],$DD1240,44),0)</f>
        <v/>
      </c>
      <c r="AU1240">
        <f>IFERROR(INDEX(PP_Grid[#Data],$DD1240,45),0)</f>
        <v/>
      </c>
      <c r="AV1240">
        <f>IFERROR(INDEX(PP_Grid[#Data],$DD1240,46),0)</f>
        <v/>
      </c>
      <c r="AW1240">
        <f>IFERROR(INDEX(PP_Grid[#Data],$DD1240,47),0)</f>
        <v/>
      </c>
      <c r="AX1240">
        <f>IFERROR(INDEX(PP_Grid[#Data],$DD1240,48),0)</f>
        <v/>
      </c>
      <c r="AY1240">
        <f>IFERROR(INDEX(PP_Grid[#Data],$DD1240,49),0)</f>
        <v/>
      </c>
      <c r="AZ1240">
        <f>IFERROR(INDEX(PP_Grid[#Data],$DD1240,50),0)</f>
        <v/>
      </c>
      <c r="BA1240">
        <f>IFERROR(INDEX(PP_Grid[#Data],$DD1240,51),0)</f>
        <v/>
      </c>
      <c r="BB1240">
        <f>IFERROR(INDEX(PP_Grid[#Data],$DD1240,52),0)</f>
        <v/>
      </c>
      <c r="BC1240">
        <f>IFERROR(INDEX(PP_Grid[#Data],$DD1240,53),0)</f>
        <v/>
      </c>
      <c r="BD1240">
        <f>IFERROR(INDEX(PP_Grid[#Data],$DD1240,54),0)</f>
        <v/>
      </c>
      <c r="BE1240">
        <f>IFERROR(INDEX(PP_Grid[#Data],$DD1240,55),0)</f>
        <v/>
      </c>
      <c r="BF1240">
        <f>IFERROR(INDEX(PP_Grid[#Data],$DD1240,56),0)</f>
        <v/>
      </c>
      <c r="BG1240">
        <f>IFERROR(INDEX(PP_Grid[#Data],$DD1240,57),0)</f>
        <v/>
      </c>
      <c r="BH1240">
        <f>IFERROR(INDEX(PP_Grid[#Data],$DD1240,58),0)</f>
        <v/>
      </c>
      <c r="BI1240">
        <f>IFERROR(INDEX(PP_Grid[#Data],$DD1240,59),0)</f>
        <v/>
      </c>
      <c r="BJ1240">
        <f>IFERROR(INDEX(PP_Grid[#Data],$DD1240,60),0)</f>
        <v/>
      </c>
      <c r="BK1240">
        <f>IFERROR(INDEX(PP_Grid[#Data],$DD1240,61),0)</f>
        <v/>
      </c>
      <c r="BL1240">
        <f>IFERROR(INDEX(PP_Grid[#Data],$DD1240,62),0)</f>
        <v/>
      </c>
      <c r="BM1240">
        <f>IFERROR(INDEX(PP_Grid[#Data],$DD1240,63),0)</f>
        <v/>
      </c>
      <c r="BN1240">
        <f>IFERROR(INDEX(PP_Grid[#Data],$DD1240,64),0)</f>
        <v/>
      </c>
      <c r="BO1240">
        <f>IFERROR(INDEX(PP_Grid[#Data],$DD1240,65),0)</f>
        <v/>
      </c>
      <c r="BP1240">
        <f>IFERROR(INDEX(PP_Grid[#Data],$DD1240,66),0)</f>
        <v/>
      </c>
      <c r="BQ1240">
        <f>IFERROR(INDEX(PP_Grid[#Data],$DD1240,67),0)</f>
        <v/>
      </c>
      <c r="BR1240">
        <f>IFERROR(INDEX(PP_Grid[#Data],$DD1240,68),0)</f>
        <v/>
      </c>
      <c r="BS1240">
        <f>IFERROR(INDEX(PP_Grid[#Data],$DD1240,69),0)</f>
        <v/>
      </c>
      <c r="BT1240">
        <f>IFERROR(INDEX(PP_Grid[#Data],$DD1240,70),0)</f>
        <v/>
      </c>
      <c r="BU1240">
        <f>IFERROR(INDEX(PP_Grid[#Data],$DD1240,71),0)</f>
        <v/>
      </c>
      <c r="BV1240">
        <f>IFERROR(INDEX(PP_Grid[#Data],$DD1240,72),0)</f>
        <v/>
      </c>
      <c r="BW1240">
        <f>IFERROR(INDEX(PP_Grid[#Data],$DD1240,73),0)</f>
        <v/>
      </c>
      <c r="BX1240">
        <f>IFERROR(INDEX(PP_Grid[#Data],$DD1240,74),0)</f>
        <v/>
      </c>
      <c r="BY1240">
        <f>IFERROR(INDEX(PP_Grid[#Data],$DD1240,75),0)</f>
        <v/>
      </c>
      <c r="BZ1240">
        <f>IFERROR(INDEX(PP_Grid[#Data],$DD1240,76),0)</f>
        <v/>
      </c>
      <c r="CA1240">
        <f>IFERROR(INDEX(PP_Grid[#Data],$DD1240,77),0)</f>
        <v/>
      </c>
      <c r="CB1240">
        <f>IFERROR(INDEX(PP_Grid[#Data],$DD1240,78),0)</f>
        <v/>
      </c>
      <c r="CC1240">
        <f>IFERROR(INDEX(PP_Grid[#Data],$DD1240,79),0)</f>
        <v/>
      </c>
      <c r="CD1240">
        <f>IFERROR(INDEX(PP_Grid[#Data],$DD1240,80),0)</f>
        <v/>
      </c>
      <c r="CE1240">
        <f>IFERROR(INDEX(PP_Grid[#Data],$DD1240,81),0)</f>
        <v/>
      </c>
      <c r="CF1240">
        <f>IFERROR(INDEX(PP_Grid[#Data],$DD1240,82),0)</f>
        <v/>
      </c>
      <c r="CG1240">
        <f>IFERROR(INDEX(PP_Grid[#Data],$DD1240,83),0)</f>
        <v/>
      </c>
      <c r="CH1240">
        <f>IFERROR(INDEX(PP_Grid[#Data],$DD1240,84),0)</f>
        <v/>
      </c>
      <c r="CI1240">
        <f>IFERROR(INDEX(PP_Grid[#Data],$DD1240,85),0)</f>
        <v/>
      </c>
      <c r="CJ1240">
        <f>IFERROR(INDEX(PP_Grid[#Data],$DD1240,86),0)</f>
        <v/>
      </c>
      <c r="CK1240">
        <f>IFERROR(INDEX(PP_Grid[#Data],$DD1240,87),0)</f>
        <v/>
      </c>
      <c r="CL1240">
        <f>IFERROR(INDEX(PP_Grid[#Data],$DD1240,88),0)</f>
        <v/>
      </c>
      <c r="CM1240">
        <f>IFERROR(INDEX(PP_Grid[#Data],$DD1240,89),0)</f>
        <v/>
      </c>
      <c r="CN1240">
        <f>IFERROR(INDEX(PP_Grid[#Data],$DD1240,90),0)</f>
        <v/>
      </c>
      <c r="CO1240">
        <f>IFERROR(INDEX(PP_Grid[#Data],$DD1240,91),0)</f>
        <v/>
      </c>
      <c r="CP1240">
        <f>IFERROR(INDEX(PP_Grid[#Data],$DD1240,92),0)</f>
        <v/>
      </c>
      <c r="CQ1240">
        <f>IFERROR(INDEX(PP_Grid[#Data],$DD1240,93),0)</f>
        <v/>
      </c>
      <c r="CR1240">
        <f>IFERROR(INDEX(PP_Grid[#Data],$DD1240,94),0)</f>
        <v/>
      </c>
      <c r="CS1240">
        <f>IFERROR(INDEX(PP_Grid[#Data],$DD1240,95),0)</f>
        <v/>
      </c>
      <c r="CT1240">
        <f>IFERROR(INDEX(PP_Grid[#Data],$DD1240,96),0)</f>
        <v/>
      </c>
      <c r="CU1240">
        <f>IFERROR(INDEX(PP_Grid[#Data],$DD1240,97),0)</f>
        <v/>
      </c>
      <c r="CV1240">
        <f>IFERROR(INDEX(PP_Grid[#Data],$DD1240,98),0)</f>
        <v/>
      </c>
      <c r="CW1240">
        <f>IFERROR(INDEX(PP_Grid[#Data],$DD1240,99),0)</f>
        <v/>
      </c>
      <c r="CX1240">
        <f>IFERROR(INDEX(PP_Grid[#Data],$DD1240,100),0)</f>
        <v/>
      </c>
      <c r="CY1240">
        <f>IFERROR(INDEX(PP_Grid[#Data],$DD1240,101),0)</f>
        <v/>
      </c>
      <c r="CZ1240">
        <f>IFERROR(INDEX(PP_Grid[#Data],$DD1240,102),0)</f>
        <v/>
      </c>
      <c r="DA1240">
        <f>IFERROR(INDEX(PP_Grid[#Data],$DD1240,103),0)</f>
        <v/>
      </c>
      <c r="DB1240">
        <f>IFERROR(INDEX(PP_Grid[#Data],$DD1240,104),0)</f>
        <v/>
      </c>
      <c r="DC1240">
        <f>IFERROR(INDEX(PP_Grid[#Data],$DD1240,105),0)</f>
        <v/>
      </c>
      <c r="DD1240" s="12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SUMIFS(M_BOM[RM_Qty_Per_Batch],M_BOM[Intermediate],$B1240,M_BOM[Part Name],$A1213)</f>
        <v/>
      </c>
      <c r="D1241">
        <f>$C1241*D1240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</row>
    <row r="1242">
      <c r="B1242" t="inlineStr">
        <is>
          <t>TSP-937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Name],$A1213)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'Grid_Requirement'!B57</f>
        <v/>
      </c>
      <c r="E1244">
        <f>'Grid_Requirement'!C57</f>
        <v/>
      </c>
      <c r="F1244">
        <f>'Grid_Requirement'!D57</f>
        <v/>
      </c>
      <c r="G1244">
        <f>'Grid_Requirement'!E57</f>
        <v/>
      </c>
      <c r="H1244">
        <f>'Grid_Requirement'!F57</f>
        <v/>
      </c>
      <c r="I1244">
        <f>'Grid_Requirement'!G57</f>
        <v/>
      </c>
      <c r="J1244">
        <f>'Grid_Requirement'!H57</f>
        <v/>
      </c>
      <c r="K1244">
        <f>'Grid_Requirement'!I57</f>
        <v/>
      </c>
      <c r="L1244">
        <f>'Grid_Requirement'!J57</f>
        <v/>
      </c>
      <c r="M1244">
        <f>'Grid_Requirement'!K57</f>
        <v/>
      </c>
      <c r="N1244">
        <f>'Grid_Requirement'!L57</f>
        <v/>
      </c>
      <c r="O1244">
        <f>'Grid_Requirement'!M57</f>
        <v/>
      </c>
      <c r="P1244">
        <f>'Grid_Requirement'!N57</f>
        <v/>
      </c>
      <c r="Q1244">
        <f>'Grid_Requirement'!O57</f>
        <v/>
      </c>
      <c r="R1244">
        <f>'Grid_Requirement'!P57</f>
        <v/>
      </c>
      <c r="S1244">
        <f>'Grid_Requirement'!Q57</f>
        <v/>
      </c>
      <c r="T1244">
        <f>'Grid_Requirement'!R57</f>
        <v/>
      </c>
      <c r="U1244">
        <f>'Grid_Requirement'!S57</f>
        <v/>
      </c>
      <c r="V1244">
        <f>'Grid_Requirement'!T57</f>
        <v/>
      </c>
      <c r="W1244">
        <f>'Grid_Requirement'!U57</f>
        <v/>
      </c>
      <c r="X1244">
        <f>'Grid_Requirement'!V57</f>
        <v/>
      </c>
      <c r="Y1244">
        <f>'Grid_Requirement'!W57</f>
        <v/>
      </c>
      <c r="Z1244">
        <f>'Grid_Requirement'!X57</f>
        <v/>
      </c>
      <c r="AA1244">
        <f>'Grid_Requirement'!Y57</f>
        <v/>
      </c>
      <c r="AB1244">
        <f>'Grid_Requirement'!Z57</f>
        <v/>
      </c>
      <c r="AC1244">
        <f>'Grid_Requirement'!AA57</f>
        <v/>
      </c>
      <c r="AD1244">
        <f>'Grid_Requirement'!AB57</f>
        <v/>
      </c>
      <c r="AE1244">
        <f>'Grid_Requirement'!AC57</f>
        <v/>
      </c>
      <c r="AF1244">
        <f>'Grid_Requirement'!AD57</f>
        <v/>
      </c>
      <c r="AG1244">
        <f>'Grid_Requirement'!AE57</f>
        <v/>
      </c>
      <c r="AH1244">
        <f>'Grid_Requirement'!AF57</f>
        <v/>
      </c>
      <c r="AI1244">
        <f>'Grid_Requirement'!AG57</f>
        <v/>
      </c>
      <c r="AJ1244">
        <f>'Grid_Requirement'!AH57</f>
        <v/>
      </c>
      <c r="AK1244">
        <f>'Grid_Requirement'!AI57</f>
        <v/>
      </c>
      <c r="AL1244">
        <f>'Grid_Requirement'!AJ57</f>
        <v/>
      </c>
      <c r="AM1244">
        <f>'Grid_Requirement'!AK57</f>
        <v/>
      </c>
      <c r="AN1244">
        <f>'Grid_Requirement'!AL57</f>
        <v/>
      </c>
      <c r="AO1244">
        <f>'Grid_Requirement'!AM57</f>
        <v/>
      </c>
      <c r="AP1244">
        <f>'Grid_Requirement'!AN57</f>
        <v/>
      </c>
      <c r="AQ1244">
        <f>'Grid_Requirement'!AO57</f>
        <v/>
      </c>
      <c r="AR1244">
        <f>'Grid_Requirement'!AP57</f>
        <v/>
      </c>
      <c r="AS1244">
        <f>'Grid_Requirement'!AQ57</f>
        <v/>
      </c>
      <c r="AT1244">
        <f>'Grid_Requirement'!AR57</f>
        <v/>
      </c>
      <c r="AU1244">
        <f>'Grid_Requirement'!AS57</f>
        <v/>
      </c>
      <c r="AV1244">
        <f>'Grid_Requirement'!AT57</f>
        <v/>
      </c>
      <c r="AW1244">
        <f>'Grid_Requirement'!AU57</f>
        <v/>
      </c>
      <c r="AX1244">
        <f>'Grid_Requirement'!AV57</f>
        <v/>
      </c>
      <c r="AY1244">
        <f>'Grid_Requirement'!AW57</f>
        <v/>
      </c>
      <c r="AZ1244">
        <f>'Grid_Requirement'!AX57</f>
        <v/>
      </c>
      <c r="BA1244">
        <f>'Grid_Requirement'!AY57</f>
        <v/>
      </c>
      <c r="BB1244">
        <f>'Grid_Requirement'!AZ57</f>
        <v/>
      </c>
      <c r="BC1244">
        <f>'Grid_Requirement'!BA57</f>
        <v/>
      </c>
      <c r="BD1244">
        <f>'Grid_Requirement'!BB57</f>
        <v/>
      </c>
      <c r="BE1244">
        <f>'Grid_Requirement'!BC57</f>
        <v/>
      </c>
      <c r="BF1244">
        <f>'Grid_Requirement'!BD57</f>
        <v/>
      </c>
      <c r="BG1244">
        <f>'Grid_Requirement'!BE57</f>
        <v/>
      </c>
      <c r="BH1244">
        <f>'Grid_Requirement'!BF57</f>
        <v/>
      </c>
      <c r="BI1244">
        <f>'Grid_Requirement'!BG57</f>
        <v/>
      </c>
      <c r="BJ1244">
        <f>'Grid_Requirement'!BH57</f>
        <v/>
      </c>
      <c r="BK1244">
        <f>'Grid_Requirement'!BI57</f>
        <v/>
      </c>
      <c r="BL1244">
        <f>'Grid_Requirement'!BJ57</f>
        <v/>
      </c>
      <c r="BM1244">
        <f>'Grid_Requirement'!BK57</f>
        <v/>
      </c>
      <c r="BN1244">
        <f>'Grid_Requirement'!BL57</f>
        <v/>
      </c>
      <c r="BO1244">
        <f>'Grid_Requirement'!BM57</f>
        <v/>
      </c>
      <c r="BP1244">
        <f>'Grid_Requirement'!BN57</f>
        <v/>
      </c>
      <c r="BQ1244">
        <f>'Grid_Requirement'!BO57</f>
        <v/>
      </c>
      <c r="BR1244">
        <f>'Grid_Requirement'!BP57</f>
        <v/>
      </c>
      <c r="BS1244">
        <f>'Grid_Requirement'!BQ57</f>
        <v/>
      </c>
      <c r="BT1244">
        <f>'Grid_Requirement'!BR57</f>
        <v/>
      </c>
      <c r="BU1244">
        <f>'Grid_Requirement'!BS57</f>
        <v/>
      </c>
      <c r="BV1244">
        <f>'Grid_Requirement'!BT57</f>
        <v/>
      </c>
      <c r="BW1244">
        <f>'Grid_Requirement'!BU57</f>
        <v/>
      </c>
      <c r="BX1244">
        <f>'Grid_Requirement'!BV57</f>
        <v/>
      </c>
      <c r="BY1244">
        <f>'Grid_Requirement'!BW57</f>
        <v/>
      </c>
      <c r="BZ1244">
        <f>'Grid_Requirement'!BX57</f>
        <v/>
      </c>
      <c r="CA1244">
        <f>'Grid_Requirement'!BY57</f>
        <v/>
      </c>
      <c r="CB1244">
        <f>'Grid_Requirement'!BZ57</f>
        <v/>
      </c>
      <c r="CC1244">
        <f>'Grid_Requirement'!CA57</f>
        <v/>
      </c>
      <c r="CD1244">
        <f>'Grid_Requirement'!CB57</f>
        <v/>
      </c>
      <c r="CE1244">
        <f>'Grid_Requirement'!CC57</f>
        <v/>
      </c>
      <c r="CF1244">
        <f>'Grid_Requirement'!CD57</f>
        <v/>
      </c>
      <c r="CG1244">
        <f>'Grid_Requirement'!CE57</f>
        <v/>
      </c>
      <c r="CH1244">
        <f>'Grid_Requirement'!CF57</f>
        <v/>
      </c>
      <c r="CI1244">
        <f>'Grid_Requirement'!CG57</f>
        <v/>
      </c>
      <c r="CJ1244">
        <f>'Grid_Requirement'!CH57</f>
        <v/>
      </c>
      <c r="CK1244">
        <f>'Grid_Requirement'!CI57</f>
        <v/>
      </c>
      <c r="CL1244">
        <f>'Grid_Requirement'!CJ57</f>
        <v/>
      </c>
      <c r="CM1244">
        <f>'Grid_Requirement'!CK57</f>
        <v/>
      </c>
      <c r="CN1244">
        <f>'Grid_Requirement'!CL57</f>
        <v/>
      </c>
      <c r="CO1244">
        <f>'Grid_Requirement'!CM57</f>
        <v/>
      </c>
      <c r="CP1244">
        <f>'Grid_Requirement'!CN57</f>
        <v/>
      </c>
      <c r="CQ1244">
        <f>'Grid_Requirement'!CO57</f>
        <v/>
      </c>
      <c r="CR1244">
        <f>'Grid_Requirement'!CP57</f>
        <v/>
      </c>
      <c r="CS1244">
        <f>'Grid_Requirement'!CQ57</f>
        <v/>
      </c>
      <c r="CT1244">
        <f>'Grid_Requirement'!CR57</f>
        <v/>
      </c>
      <c r="CU1244">
        <f>'Grid_Requirement'!CS57</f>
        <v/>
      </c>
      <c r="CV1244">
        <f>'Grid_Requirement'!CT57</f>
        <v/>
      </c>
      <c r="CW1244">
        <f>'Grid_Requirement'!CU57</f>
        <v/>
      </c>
      <c r="CX1244">
        <f>'Grid_Requirement'!CV57</f>
        <v/>
      </c>
      <c r="CY1244">
        <f>'Grid_Requirement'!CW57</f>
        <v/>
      </c>
      <c r="CZ1244">
        <f>'Grid_Requirement'!CX57</f>
        <v/>
      </c>
      <c r="DA1244">
        <f>'Grid_Requirement'!CY57</f>
        <v/>
      </c>
      <c r="DB1244">
        <f>'Grid_Requirement'!CZ57</f>
        <v/>
      </c>
      <c r="DC1244">
        <f>'Grid_Requirement'!DA57</f>
        <v/>
      </c>
    </row>
    <row r="1245">
      <c r="B1245" t="inlineStr">
        <is>
          <t>TTAF在庫(実績,kg)</t>
        </is>
      </c>
      <c r="D1245">
        <f>'T_TTAFStock'!B61</f>
        <v/>
      </c>
      <c r="E1245">
        <f>'T_TTAFStock'!C61</f>
        <v/>
      </c>
      <c r="F1245">
        <f>'T_TTAFStock'!D61</f>
        <v/>
      </c>
      <c r="G1245">
        <f>'T_TTAFStock'!E61</f>
        <v/>
      </c>
      <c r="H1245">
        <f>'T_TTAFStock'!F61</f>
        <v/>
      </c>
      <c r="I1245">
        <f>'T_TTAFStock'!G61</f>
        <v/>
      </c>
      <c r="J1245">
        <f>'T_TTAFStock'!H61</f>
        <v/>
      </c>
      <c r="K1245">
        <f>'T_TTAFStock'!I61</f>
        <v/>
      </c>
      <c r="L1245">
        <f>'T_TTAFStock'!J61</f>
        <v/>
      </c>
      <c r="M1245">
        <f>'T_TTAFStock'!K61</f>
        <v/>
      </c>
      <c r="N1245">
        <f>'T_TTAFStock'!L61</f>
        <v/>
      </c>
      <c r="O1245">
        <f>'T_TTAFStock'!M61</f>
        <v/>
      </c>
      <c r="P1245">
        <f>'T_TTAFStock'!N61</f>
        <v/>
      </c>
      <c r="Q1245">
        <f>'T_TTAFStock'!O61</f>
        <v/>
      </c>
      <c r="R1245">
        <f>'T_TTAFStock'!P61</f>
        <v/>
      </c>
      <c r="S1245">
        <f>'T_TTAFStock'!Q61</f>
        <v/>
      </c>
      <c r="T1245">
        <f>'T_TTAFStock'!R61</f>
        <v/>
      </c>
      <c r="U1245">
        <f>'T_TTAFStock'!S61</f>
        <v/>
      </c>
      <c r="V1245">
        <f>'T_TTAFStock'!T61</f>
        <v/>
      </c>
      <c r="W1245">
        <f>'T_TTAFStock'!U61</f>
        <v/>
      </c>
      <c r="X1245">
        <f>'T_TTAFStock'!V61</f>
        <v/>
      </c>
      <c r="Y1245">
        <f>'T_TTAFStock'!W61</f>
        <v/>
      </c>
      <c r="Z1245">
        <f>'T_TTAFStock'!X61</f>
        <v/>
      </c>
      <c r="AA1245">
        <f>'T_TTAFStock'!Y61</f>
        <v/>
      </c>
      <c r="AB1245">
        <f>'T_TTAFStock'!Z61</f>
        <v/>
      </c>
      <c r="AC1245">
        <f>'T_TTAFStock'!AA61</f>
        <v/>
      </c>
      <c r="AD1245">
        <f>'T_TTAFStock'!AB61</f>
        <v/>
      </c>
      <c r="AE1245">
        <f>'T_TTAFStock'!AC61</f>
        <v/>
      </c>
      <c r="AF1245">
        <f>'T_TTAFStock'!AD61</f>
        <v/>
      </c>
      <c r="AG1245">
        <f>'T_TTAFStock'!AE61</f>
        <v/>
      </c>
      <c r="AH1245">
        <f>'T_TTAFStock'!AF61</f>
        <v/>
      </c>
      <c r="AI1245">
        <f>'T_TTAFStock'!AG61</f>
        <v/>
      </c>
      <c r="AJ1245">
        <f>'T_TTAFStock'!AH61</f>
        <v/>
      </c>
      <c r="AK1245">
        <f>'T_TTAFStock'!AI61</f>
        <v/>
      </c>
      <c r="AL1245">
        <f>'T_TTAFStock'!AJ61</f>
        <v/>
      </c>
      <c r="AM1245">
        <f>'T_TTAFStock'!AK61</f>
        <v/>
      </c>
      <c r="AN1245">
        <f>'T_TTAFStock'!AL61</f>
        <v/>
      </c>
      <c r="AO1245">
        <f>'T_TTAFStock'!AM61</f>
        <v/>
      </c>
      <c r="AP1245">
        <f>'T_TTAFStock'!AN61</f>
        <v/>
      </c>
      <c r="AQ1245">
        <f>'T_TTAFStock'!AO61</f>
        <v/>
      </c>
      <c r="AR1245">
        <f>'T_TTAFStock'!AP61</f>
        <v/>
      </c>
      <c r="AS1245">
        <f>'T_TTAFStock'!AQ61</f>
        <v/>
      </c>
      <c r="AT1245">
        <f>'T_TTAFStock'!AR61</f>
        <v/>
      </c>
      <c r="AU1245">
        <f>'T_TTAFStock'!AS61</f>
        <v/>
      </c>
      <c r="AV1245">
        <f>'T_TTAFStock'!AT61</f>
        <v/>
      </c>
      <c r="AW1245">
        <f>'T_TTAFStock'!AU61</f>
        <v/>
      </c>
      <c r="AX1245">
        <f>'T_TTAFStock'!AV61</f>
        <v/>
      </c>
      <c r="AY1245">
        <f>'T_TTAFStock'!AW61</f>
        <v/>
      </c>
      <c r="AZ1245">
        <f>'T_TTAFStock'!AX61</f>
        <v/>
      </c>
      <c r="BA1245">
        <f>'T_TTAFStock'!AY61</f>
        <v/>
      </c>
      <c r="BB1245">
        <f>'T_TTAFStock'!AZ61</f>
        <v/>
      </c>
      <c r="BC1245">
        <f>'T_TTAFStock'!BA61</f>
        <v/>
      </c>
      <c r="BD1245">
        <f>'T_TTAFStock'!BB61</f>
        <v/>
      </c>
      <c r="BE1245">
        <f>'T_TTAFStock'!BC61</f>
        <v/>
      </c>
      <c r="BF1245">
        <f>'T_TTAFStock'!BD61</f>
        <v/>
      </c>
      <c r="BG1245">
        <f>'T_TTAFStock'!BE61</f>
        <v/>
      </c>
      <c r="BH1245">
        <f>'T_TTAFStock'!BF61</f>
        <v/>
      </c>
      <c r="BI1245">
        <f>'T_TTAFStock'!BG61</f>
        <v/>
      </c>
      <c r="BJ1245">
        <f>'T_TTAFStock'!BH61</f>
        <v/>
      </c>
      <c r="BK1245">
        <f>'T_TTAFStock'!BI61</f>
        <v/>
      </c>
      <c r="BL1245">
        <f>'T_TTAFStock'!BJ61</f>
        <v/>
      </c>
      <c r="BM1245">
        <f>'T_TTAFStock'!BK61</f>
        <v/>
      </c>
      <c r="BN1245">
        <f>'T_TTAFStock'!BL61</f>
        <v/>
      </c>
      <c r="BO1245">
        <f>'T_TTAFStock'!BM61</f>
        <v/>
      </c>
      <c r="BP1245">
        <f>'T_TTAFStock'!BN61</f>
        <v/>
      </c>
      <c r="BQ1245">
        <f>'T_TTAFStock'!BO61</f>
        <v/>
      </c>
      <c r="BR1245">
        <f>'T_TTAFStock'!BP61</f>
        <v/>
      </c>
      <c r="BS1245">
        <f>'T_TTAFStock'!BQ61</f>
        <v/>
      </c>
      <c r="BT1245">
        <f>'T_TTAFStock'!BR61</f>
        <v/>
      </c>
      <c r="BU1245">
        <f>'T_TTAFStock'!BS61</f>
        <v/>
      </c>
      <c r="BV1245">
        <f>'T_TTAFStock'!BT61</f>
        <v/>
      </c>
      <c r="BW1245">
        <f>'T_TTAFStock'!BU61</f>
        <v/>
      </c>
      <c r="BX1245">
        <f>'T_TTAFStock'!BV61</f>
        <v/>
      </c>
      <c r="BY1245">
        <f>'T_TTAFStock'!BW61</f>
        <v/>
      </c>
      <c r="BZ1245">
        <f>'T_TTAFStock'!BX61</f>
        <v/>
      </c>
      <c r="CA1245">
        <f>'T_TTAFStock'!BY61</f>
        <v/>
      </c>
      <c r="CB1245">
        <f>'T_TTAFStock'!BZ61</f>
        <v/>
      </c>
      <c r="CC1245">
        <f>'T_TTAFStock'!CA61</f>
        <v/>
      </c>
      <c r="CD1245">
        <f>'T_TTAFStock'!CB61</f>
        <v/>
      </c>
      <c r="CE1245">
        <f>'T_TTAFStock'!CC61</f>
        <v/>
      </c>
      <c r="CF1245">
        <f>'T_TTAFStock'!CD61</f>
        <v/>
      </c>
      <c r="CG1245">
        <f>'T_TTAFStock'!CE61</f>
        <v/>
      </c>
      <c r="CH1245">
        <f>'T_TTAFStock'!CF61</f>
        <v/>
      </c>
      <c r="CI1245">
        <f>'T_TTAFStock'!CG61</f>
        <v/>
      </c>
      <c r="CJ1245">
        <f>'T_TTAFStock'!CH61</f>
        <v/>
      </c>
      <c r="CK1245">
        <f>'T_TTAFStock'!CI61</f>
        <v/>
      </c>
      <c r="CL1245">
        <f>'T_TTAFStock'!CJ61</f>
        <v/>
      </c>
      <c r="CM1245">
        <f>'T_TTAFStock'!CK61</f>
        <v/>
      </c>
      <c r="CN1245">
        <f>'T_TTAFStock'!CL61</f>
        <v/>
      </c>
      <c r="CO1245">
        <f>'T_TTAFStock'!CM61</f>
        <v/>
      </c>
      <c r="CP1245">
        <f>'T_TTAFStock'!CN61</f>
        <v/>
      </c>
      <c r="CQ1245">
        <f>'T_TTAFStock'!CO61</f>
        <v/>
      </c>
      <c r="CR1245">
        <f>'T_TTAFStock'!CP61</f>
        <v/>
      </c>
      <c r="CS1245">
        <f>'T_TTAFStock'!CQ61</f>
        <v/>
      </c>
      <c r="CT1245">
        <f>'T_TTAFStock'!CR61</f>
        <v/>
      </c>
      <c r="CU1245">
        <f>'T_TTAFStock'!CS61</f>
        <v/>
      </c>
      <c r="CV1245">
        <f>'T_TTAFStock'!CT61</f>
        <v/>
      </c>
      <c r="CW1245">
        <f>'T_TTAFStock'!CU61</f>
        <v/>
      </c>
      <c r="CX1245">
        <f>'T_TTAFStock'!CV61</f>
        <v/>
      </c>
      <c r="CY1245">
        <f>'T_TTAFStock'!CW61</f>
        <v/>
      </c>
      <c r="CZ1245">
        <f>'T_TTAFStock'!CX61</f>
        <v/>
      </c>
      <c r="DA1245">
        <f>'T_TTAFStock'!CY61</f>
        <v/>
      </c>
      <c r="DB1245">
        <f>'T_TTAFStock'!CZ61</f>
        <v/>
      </c>
      <c r="DC1245">
        <f>'T_TTAFStock'!DA61</f>
        <v/>
      </c>
    </row>
    <row r="1246">
      <c r="B1246" t="inlineStr">
        <is>
          <t>自社在庫(実績,kg)</t>
        </is>
      </c>
      <c r="D1246">
        <f>'T_SelfStock'!B61</f>
        <v/>
      </c>
      <c r="E1246">
        <f>'T_SelfStock'!C61</f>
        <v/>
      </c>
      <c r="F1246">
        <f>'T_SelfStock'!D61</f>
        <v/>
      </c>
      <c r="G1246">
        <f>'T_SelfStock'!E61</f>
        <v/>
      </c>
      <c r="H1246">
        <f>'T_SelfStock'!F61</f>
        <v/>
      </c>
      <c r="I1246">
        <f>'T_SelfStock'!G61</f>
        <v/>
      </c>
      <c r="J1246">
        <f>'T_SelfStock'!H61</f>
        <v/>
      </c>
      <c r="K1246">
        <f>'T_SelfStock'!I61</f>
        <v/>
      </c>
      <c r="L1246">
        <f>'T_SelfStock'!J61</f>
        <v/>
      </c>
      <c r="M1246">
        <f>'T_SelfStock'!K61</f>
        <v/>
      </c>
      <c r="N1246">
        <f>'T_SelfStock'!L61</f>
        <v/>
      </c>
      <c r="O1246">
        <f>'T_SelfStock'!M61</f>
        <v/>
      </c>
      <c r="P1246">
        <f>'T_SelfStock'!N61</f>
        <v/>
      </c>
      <c r="Q1246">
        <f>'T_SelfStock'!O61</f>
        <v/>
      </c>
      <c r="R1246">
        <f>'T_SelfStock'!P61</f>
        <v/>
      </c>
      <c r="S1246">
        <f>'T_SelfStock'!Q61</f>
        <v/>
      </c>
      <c r="T1246">
        <f>'T_SelfStock'!R61</f>
        <v/>
      </c>
      <c r="U1246">
        <f>'T_SelfStock'!S61</f>
        <v/>
      </c>
      <c r="V1246">
        <f>'T_SelfStock'!T61</f>
        <v/>
      </c>
      <c r="W1246">
        <f>'T_SelfStock'!U61</f>
        <v/>
      </c>
      <c r="X1246">
        <f>'T_SelfStock'!V61</f>
        <v/>
      </c>
      <c r="Y1246">
        <f>'T_SelfStock'!W61</f>
        <v/>
      </c>
      <c r="Z1246">
        <f>'T_SelfStock'!X61</f>
        <v/>
      </c>
      <c r="AA1246">
        <f>'T_SelfStock'!Y61</f>
        <v/>
      </c>
      <c r="AB1246">
        <f>'T_SelfStock'!Z61</f>
        <v/>
      </c>
      <c r="AC1246">
        <f>'T_SelfStock'!AA61</f>
        <v/>
      </c>
      <c r="AD1246">
        <f>'T_SelfStock'!AB61</f>
        <v/>
      </c>
      <c r="AE1246">
        <f>'T_SelfStock'!AC61</f>
        <v/>
      </c>
      <c r="AF1246">
        <f>'T_SelfStock'!AD61</f>
        <v/>
      </c>
      <c r="AG1246">
        <f>'T_SelfStock'!AE61</f>
        <v/>
      </c>
      <c r="AH1246">
        <f>'T_SelfStock'!AF61</f>
        <v/>
      </c>
      <c r="AI1246">
        <f>'T_SelfStock'!AG61</f>
        <v/>
      </c>
      <c r="AJ1246">
        <f>'T_SelfStock'!AH61</f>
        <v/>
      </c>
      <c r="AK1246">
        <f>'T_SelfStock'!AI61</f>
        <v/>
      </c>
      <c r="AL1246">
        <f>'T_SelfStock'!AJ61</f>
        <v/>
      </c>
      <c r="AM1246">
        <f>'T_SelfStock'!AK61</f>
        <v/>
      </c>
      <c r="AN1246">
        <f>'T_SelfStock'!AL61</f>
        <v/>
      </c>
      <c r="AO1246">
        <f>'T_SelfStock'!AM61</f>
        <v/>
      </c>
      <c r="AP1246">
        <f>'T_SelfStock'!AN61</f>
        <v/>
      </c>
      <c r="AQ1246">
        <f>'T_SelfStock'!AO61</f>
        <v/>
      </c>
      <c r="AR1246">
        <f>'T_SelfStock'!AP61</f>
        <v/>
      </c>
      <c r="AS1246">
        <f>'T_SelfStock'!AQ61</f>
        <v/>
      </c>
      <c r="AT1246">
        <f>'T_SelfStock'!AR61</f>
        <v/>
      </c>
      <c r="AU1246">
        <f>'T_SelfStock'!AS61</f>
        <v/>
      </c>
      <c r="AV1246">
        <f>'T_SelfStock'!AT61</f>
        <v/>
      </c>
      <c r="AW1246">
        <f>'T_SelfStock'!AU61</f>
        <v/>
      </c>
      <c r="AX1246">
        <f>'T_SelfStock'!AV61</f>
        <v/>
      </c>
      <c r="AY1246">
        <f>'T_SelfStock'!AW61</f>
        <v/>
      </c>
      <c r="AZ1246">
        <f>'T_SelfStock'!AX61</f>
        <v/>
      </c>
      <c r="BA1246">
        <f>'T_SelfStock'!AY61</f>
        <v/>
      </c>
      <c r="BB1246">
        <f>'T_SelfStock'!AZ61</f>
        <v/>
      </c>
      <c r="BC1246">
        <f>'T_SelfStock'!BA61</f>
        <v/>
      </c>
      <c r="BD1246">
        <f>'T_SelfStock'!BB61</f>
        <v/>
      </c>
      <c r="BE1246">
        <f>'T_SelfStock'!BC61</f>
        <v/>
      </c>
      <c r="BF1246">
        <f>'T_SelfStock'!BD61</f>
        <v/>
      </c>
      <c r="BG1246">
        <f>'T_SelfStock'!BE61</f>
        <v/>
      </c>
      <c r="BH1246">
        <f>'T_SelfStock'!BF61</f>
        <v/>
      </c>
      <c r="BI1246">
        <f>'T_SelfStock'!BG61</f>
        <v/>
      </c>
      <c r="BJ1246">
        <f>'T_SelfStock'!BH61</f>
        <v/>
      </c>
      <c r="BK1246">
        <f>'T_SelfStock'!BI61</f>
        <v/>
      </c>
      <c r="BL1246">
        <f>'T_SelfStock'!BJ61</f>
        <v/>
      </c>
      <c r="BM1246">
        <f>'T_SelfStock'!BK61</f>
        <v/>
      </c>
      <c r="BN1246">
        <f>'T_SelfStock'!BL61</f>
        <v/>
      </c>
      <c r="BO1246">
        <f>'T_SelfStock'!BM61</f>
        <v/>
      </c>
      <c r="BP1246">
        <f>'T_SelfStock'!BN61</f>
        <v/>
      </c>
      <c r="BQ1246">
        <f>'T_SelfStock'!BO61</f>
        <v/>
      </c>
      <c r="BR1246">
        <f>'T_SelfStock'!BP61</f>
        <v/>
      </c>
      <c r="BS1246">
        <f>'T_SelfStock'!BQ61</f>
        <v/>
      </c>
      <c r="BT1246">
        <f>'T_SelfStock'!BR61</f>
        <v/>
      </c>
      <c r="BU1246">
        <f>'T_SelfStock'!BS61</f>
        <v/>
      </c>
      <c r="BV1246">
        <f>'T_SelfStock'!BT61</f>
        <v/>
      </c>
      <c r="BW1246">
        <f>'T_SelfStock'!BU61</f>
        <v/>
      </c>
      <c r="BX1246">
        <f>'T_SelfStock'!BV61</f>
        <v/>
      </c>
      <c r="BY1246">
        <f>'T_SelfStock'!BW61</f>
        <v/>
      </c>
      <c r="BZ1246">
        <f>'T_SelfStock'!BX61</f>
        <v/>
      </c>
      <c r="CA1246">
        <f>'T_SelfStock'!BY61</f>
        <v/>
      </c>
      <c r="CB1246">
        <f>'T_SelfStock'!BZ61</f>
        <v/>
      </c>
      <c r="CC1246">
        <f>'T_SelfStock'!CA61</f>
        <v/>
      </c>
      <c r="CD1246">
        <f>'T_SelfStock'!CB61</f>
        <v/>
      </c>
      <c r="CE1246">
        <f>'T_SelfStock'!CC61</f>
        <v/>
      </c>
      <c r="CF1246">
        <f>'T_SelfStock'!CD61</f>
        <v/>
      </c>
      <c r="CG1246">
        <f>'T_SelfStock'!CE61</f>
        <v/>
      </c>
      <c r="CH1246">
        <f>'T_SelfStock'!CF61</f>
        <v/>
      </c>
      <c r="CI1246">
        <f>'T_SelfStock'!CG61</f>
        <v/>
      </c>
      <c r="CJ1246">
        <f>'T_SelfStock'!CH61</f>
        <v/>
      </c>
      <c r="CK1246">
        <f>'T_SelfStock'!CI61</f>
        <v/>
      </c>
      <c r="CL1246">
        <f>'T_SelfStock'!CJ61</f>
        <v/>
      </c>
      <c r="CM1246">
        <f>'T_SelfStock'!CK61</f>
        <v/>
      </c>
      <c r="CN1246">
        <f>'T_SelfStock'!CL61</f>
        <v/>
      </c>
      <c r="CO1246">
        <f>'T_SelfStock'!CM61</f>
        <v/>
      </c>
      <c r="CP1246">
        <f>'T_SelfStock'!CN61</f>
        <v/>
      </c>
      <c r="CQ1246">
        <f>'T_SelfStock'!CO61</f>
        <v/>
      </c>
      <c r="CR1246">
        <f>'T_SelfStock'!CP61</f>
        <v/>
      </c>
      <c r="CS1246">
        <f>'T_SelfStock'!CQ61</f>
        <v/>
      </c>
      <c r="CT1246">
        <f>'T_SelfStock'!CR61</f>
        <v/>
      </c>
      <c r="CU1246">
        <f>'T_SelfStock'!CS61</f>
        <v/>
      </c>
      <c r="CV1246">
        <f>'T_SelfStock'!CT61</f>
        <v/>
      </c>
      <c r="CW1246">
        <f>'T_SelfStock'!CU61</f>
        <v/>
      </c>
      <c r="CX1246">
        <f>'T_SelfStock'!CV61</f>
        <v/>
      </c>
      <c r="CY1246">
        <f>'T_SelfStock'!CW61</f>
        <v/>
      </c>
      <c r="CZ1246">
        <f>'T_SelfStock'!CX61</f>
        <v/>
      </c>
      <c r="DA1246">
        <f>'T_SelfStock'!CY61</f>
        <v/>
      </c>
      <c r="DB1246">
        <f>'T_SelfStock'!CZ61</f>
        <v/>
      </c>
      <c r="DC1246">
        <f>'T_SelfStock'!DA61</f>
        <v/>
      </c>
    </row>
    <row r="1247">
      <c r="B1247" t="inlineStr">
        <is>
          <t>Order(発注予定,kg)</t>
        </is>
      </c>
      <c r="D1247" s="23" t="n"/>
      <c r="E1247" s="23" t="n"/>
      <c r="F1247" s="23" t="n"/>
      <c r="G1247" s="23" t="n"/>
      <c r="H1247" s="23" t="n"/>
      <c r="I1247" s="23" t="n"/>
      <c r="J1247" s="23" t="n"/>
      <c r="K1247" s="23" t="n"/>
      <c r="L1247" s="23" t="n"/>
      <c r="M1247" s="23" t="n"/>
      <c r="N1247" s="23" t="n"/>
      <c r="O1247" s="23" t="n"/>
      <c r="P1247" s="23" t="n"/>
      <c r="Q1247" s="23" t="n"/>
      <c r="R1247" s="23" t="n"/>
      <c r="S1247" s="23" t="n"/>
      <c r="T1247" s="23" t="n"/>
      <c r="U1247" s="23" t="n"/>
      <c r="V1247" s="23" t="n"/>
      <c r="W1247" s="23" t="n"/>
      <c r="X1247" s="23" t="n"/>
      <c r="Y1247" s="23" t="n"/>
      <c r="Z1247" s="23" t="n"/>
      <c r="AA1247" s="23" t="n"/>
      <c r="AB1247" s="23" t="n"/>
      <c r="AC1247" s="23" t="n"/>
      <c r="AD1247" s="23" t="n"/>
      <c r="AE1247" s="23" t="n"/>
      <c r="AF1247" s="23" t="n"/>
      <c r="AG1247" s="23" t="n"/>
      <c r="AH1247" s="23" t="n"/>
      <c r="AI1247" s="23" t="n"/>
      <c r="AJ1247" s="23" t="n"/>
      <c r="AK1247" s="23" t="n"/>
      <c r="AL1247" s="23" t="n"/>
      <c r="AM1247" s="23" t="n"/>
      <c r="AN1247" s="23" t="n"/>
      <c r="AO1247" s="23" t="n"/>
      <c r="AP1247" s="23" t="n"/>
      <c r="AQ1247" s="23" t="n"/>
      <c r="AR1247" s="23" t="n"/>
      <c r="AS1247" s="23" t="n"/>
      <c r="AT1247" s="23" t="n"/>
      <c r="AU1247" s="23" t="n"/>
      <c r="AV1247" s="23" t="n"/>
      <c r="AW1247" s="23" t="n"/>
      <c r="AX1247" s="23" t="n"/>
      <c r="AY1247" s="23" t="n"/>
      <c r="AZ1247" s="23" t="n"/>
      <c r="BA1247" s="23" t="n"/>
      <c r="BB1247" s="23" t="n"/>
      <c r="BC1247" s="23" t="n"/>
      <c r="BD1247" s="23" t="n"/>
      <c r="BE1247" s="23" t="n"/>
      <c r="BF1247" s="23" t="n"/>
      <c r="BG1247" s="23" t="n"/>
      <c r="BH1247" s="23" t="n"/>
      <c r="BI1247" s="23" t="n"/>
      <c r="BJ1247" s="23" t="n"/>
      <c r="BK1247" s="23" t="n"/>
      <c r="BL1247" s="23" t="n"/>
      <c r="BM1247" s="23" t="n"/>
      <c r="BN1247" s="23" t="n"/>
      <c r="BO1247" s="23" t="n"/>
      <c r="BP1247" s="23" t="n"/>
      <c r="BQ1247" s="23" t="n"/>
      <c r="BR1247" s="23" t="n"/>
      <c r="BS1247" s="23" t="n"/>
      <c r="BT1247" s="23" t="n"/>
      <c r="BU1247" s="23" t="n"/>
      <c r="BV1247" s="23" t="n"/>
      <c r="BW1247" s="23" t="n"/>
      <c r="BX1247" s="23" t="n"/>
      <c r="BY1247" s="23" t="n"/>
      <c r="BZ1247" s="23" t="n"/>
      <c r="CA1247" s="23" t="n"/>
      <c r="CB1247" s="23" t="n"/>
      <c r="CC1247" s="23" t="n"/>
      <c r="CD1247" s="23" t="n"/>
      <c r="CE1247" s="23" t="n"/>
      <c r="CF1247" s="23" t="n"/>
      <c r="CG1247" s="23" t="n"/>
      <c r="CH1247" s="23" t="n"/>
      <c r="CI1247" s="23" t="n"/>
      <c r="CJ1247" s="23" t="n"/>
      <c r="CK1247" s="23" t="n"/>
      <c r="CL1247" s="23" t="n"/>
      <c r="CM1247" s="23" t="n"/>
      <c r="CN1247" s="23" t="n"/>
      <c r="CO1247" s="23" t="n"/>
      <c r="CP1247" s="23" t="n"/>
      <c r="CQ1247" s="23" t="n"/>
      <c r="CR1247" s="23" t="n"/>
      <c r="CS1247" s="23" t="n"/>
      <c r="CT1247" s="23" t="n"/>
      <c r="CU1247" s="23" t="n"/>
      <c r="CV1247" s="23" t="n"/>
      <c r="CW1247" s="23" t="n"/>
      <c r="CX1247" s="23" t="n"/>
      <c r="CY1247" s="23" t="n"/>
      <c r="CZ1247" s="23" t="n"/>
      <c r="DA1247" s="23" t="n"/>
      <c r="DB1247" s="23" t="n"/>
      <c r="DC1247" s="23" t="n"/>
      <c r="DE1247" s="12" t="inlineStr">
        <is>
          <t>CHEM-1720</t>
        </is>
      </c>
    </row>
    <row r="1248">
      <c r="B1248" s="5" t="inlineStr">
        <is>
          <t>合計在庫(週末時点,kg)</t>
        </is>
      </c>
      <c r="D1248">
        <f>'Grid_Stock'!B57</f>
        <v/>
      </c>
      <c r="E1248">
        <f>'Grid_Stock'!C57</f>
        <v/>
      </c>
      <c r="F1248">
        <f>'Grid_Stock'!D57</f>
        <v/>
      </c>
      <c r="G1248">
        <f>'Grid_Stock'!E57</f>
        <v/>
      </c>
      <c r="H1248">
        <f>'Grid_Stock'!F57</f>
        <v/>
      </c>
      <c r="I1248">
        <f>'Grid_Stock'!G57</f>
        <v/>
      </c>
      <c r="J1248">
        <f>'Grid_Stock'!H57</f>
        <v/>
      </c>
      <c r="K1248">
        <f>'Grid_Stock'!I57</f>
        <v/>
      </c>
      <c r="L1248">
        <f>'Grid_Stock'!J57</f>
        <v/>
      </c>
      <c r="M1248">
        <f>'Grid_Stock'!K57</f>
        <v/>
      </c>
      <c r="N1248">
        <f>'Grid_Stock'!L57</f>
        <v/>
      </c>
      <c r="O1248">
        <f>'Grid_Stock'!M57</f>
        <v/>
      </c>
      <c r="P1248">
        <f>'Grid_Stock'!N57</f>
        <v/>
      </c>
      <c r="Q1248">
        <f>'Grid_Stock'!O57</f>
        <v/>
      </c>
      <c r="R1248">
        <f>'Grid_Stock'!P57</f>
        <v/>
      </c>
      <c r="S1248">
        <f>'Grid_Stock'!Q57</f>
        <v/>
      </c>
      <c r="T1248">
        <f>'Grid_Stock'!R57</f>
        <v/>
      </c>
      <c r="U1248">
        <f>'Grid_Stock'!S57</f>
        <v/>
      </c>
      <c r="V1248">
        <f>'Grid_Stock'!T57</f>
        <v/>
      </c>
      <c r="W1248">
        <f>'Grid_Stock'!U57</f>
        <v/>
      </c>
      <c r="X1248">
        <f>'Grid_Stock'!V57</f>
        <v/>
      </c>
      <c r="Y1248">
        <f>'Grid_Stock'!W57</f>
        <v/>
      </c>
      <c r="Z1248">
        <f>'Grid_Stock'!X57</f>
        <v/>
      </c>
      <c r="AA1248">
        <f>'Grid_Stock'!Y57</f>
        <v/>
      </c>
      <c r="AB1248">
        <f>'Grid_Stock'!Z57</f>
        <v/>
      </c>
      <c r="AC1248">
        <f>'Grid_Stock'!AA57</f>
        <v/>
      </c>
      <c r="AD1248">
        <f>'Grid_Stock'!AB57</f>
        <v/>
      </c>
      <c r="AE1248">
        <f>'Grid_Stock'!AC57</f>
        <v/>
      </c>
      <c r="AF1248">
        <f>'Grid_Stock'!AD57</f>
        <v/>
      </c>
      <c r="AG1248">
        <f>'Grid_Stock'!AE57</f>
        <v/>
      </c>
      <c r="AH1248">
        <f>'Grid_Stock'!AF57</f>
        <v/>
      </c>
      <c r="AI1248">
        <f>'Grid_Stock'!AG57</f>
        <v/>
      </c>
      <c r="AJ1248">
        <f>'Grid_Stock'!AH57</f>
        <v/>
      </c>
      <c r="AK1248">
        <f>'Grid_Stock'!AI57</f>
        <v/>
      </c>
      <c r="AL1248">
        <f>'Grid_Stock'!AJ57</f>
        <v/>
      </c>
      <c r="AM1248">
        <f>'Grid_Stock'!AK57</f>
        <v/>
      </c>
      <c r="AN1248">
        <f>'Grid_Stock'!AL57</f>
        <v/>
      </c>
      <c r="AO1248">
        <f>'Grid_Stock'!AM57</f>
        <v/>
      </c>
      <c r="AP1248">
        <f>'Grid_Stock'!AN57</f>
        <v/>
      </c>
      <c r="AQ1248">
        <f>'Grid_Stock'!AO57</f>
        <v/>
      </c>
      <c r="AR1248">
        <f>'Grid_Stock'!AP57</f>
        <v/>
      </c>
      <c r="AS1248">
        <f>'Grid_Stock'!AQ57</f>
        <v/>
      </c>
      <c r="AT1248">
        <f>'Grid_Stock'!AR57</f>
        <v/>
      </c>
      <c r="AU1248">
        <f>'Grid_Stock'!AS57</f>
        <v/>
      </c>
      <c r="AV1248">
        <f>'Grid_Stock'!AT57</f>
        <v/>
      </c>
      <c r="AW1248">
        <f>'Grid_Stock'!AU57</f>
        <v/>
      </c>
      <c r="AX1248">
        <f>'Grid_Stock'!AV57</f>
        <v/>
      </c>
      <c r="AY1248">
        <f>'Grid_Stock'!AW57</f>
        <v/>
      </c>
      <c r="AZ1248">
        <f>'Grid_Stock'!AX57</f>
        <v/>
      </c>
      <c r="BA1248">
        <f>'Grid_Stock'!AY57</f>
        <v/>
      </c>
      <c r="BB1248">
        <f>'Grid_Stock'!AZ57</f>
        <v/>
      </c>
      <c r="BC1248">
        <f>'Grid_Stock'!BA57</f>
        <v/>
      </c>
      <c r="BD1248">
        <f>'Grid_Stock'!BB57</f>
        <v/>
      </c>
      <c r="BE1248">
        <f>'Grid_Stock'!BC57</f>
        <v/>
      </c>
      <c r="BF1248">
        <f>'Grid_Stock'!BD57</f>
        <v/>
      </c>
      <c r="BG1248">
        <f>'Grid_Stock'!BE57</f>
        <v/>
      </c>
      <c r="BH1248">
        <f>'Grid_Stock'!BF57</f>
        <v/>
      </c>
      <c r="BI1248">
        <f>'Grid_Stock'!BG57</f>
        <v/>
      </c>
      <c r="BJ1248">
        <f>'Grid_Stock'!BH57</f>
        <v/>
      </c>
      <c r="BK1248">
        <f>'Grid_Stock'!BI57</f>
        <v/>
      </c>
      <c r="BL1248">
        <f>'Grid_Stock'!BJ57</f>
        <v/>
      </c>
      <c r="BM1248">
        <f>'Grid_Stock'!BK57</f>
        <v/>
      </c>
      <c r="BN1248">
        <f>'Grid_Stock'!BL57</f>
        <v/>
      </c>
      <c r="BO1248">
        <f>'Grid_Stock'!BM57</f>
        <v/>
      </c>
      <c r="BP1248">
        <f>'Grid_Stock'!BN57</f>
        <v/>
      </c>
      <c r="BQ1248">
        <f>'Grid_Stock'!BO57</f>
        <v/>
      </c>
      <c r="BR1248">
        <f>'Grid_Stock'!BP57</f>
        <v/>
      </c>
      <c r="BS1248">
        <f>'Grid_Stock'!BQ57</f>
        <v/>
      </c>
      <c r="BT1248">
        <f>'Grid_Stock'!BR57</f>
        <v/>
      </c>
      <c r="BU1248">
        <f>'Grid_Stock'!BS57</f>
        <v/>
      </c>
      <c r="BV1248">
        <f>'Grid_Stock'!BT57</f>
        <v/>
      </c>
      <c r="BW1248">
        <f>'Grid_Stock'!BU57</f>
        <v/>
      </c>
      <c r="BX1248">
        <f>'Grid_Stock'!BV57</f>
        <v/>
      </c>
      <c r="BY1248">
        <f>'Grid_Stock'!BW57</f>
        <v/>
      </c>
      <c r="BZ1248">
        <f>'Grid_Stock'!BX57</f>
        <v/>
      </c>
      <c r="CA1248">
        <f>'Grid_Stock'!BY57</f>
        <v/>
      </c>
      <c r="CB1248">
        <f>'Grid_Stock'!BZ57</f>
        <v/>
      </c>
      <c r="CC1248">
        <f>'Grid_Stock'!CA57</f>
        <v/>
      </c>
      <c r="CD1248">
        <f>'Grid_Stock'!CB57</f>
        <v/>
      </c>
      <c r="CE1248">
        <f>'Grid_Stock'!CC57</f>
        <v/>
      </c>
      <c r="CF1248">
        <f>'Grid_Stock'!CD57</f>
        <v/>
      </c>
      <c r="CG1248">
        <f>'Grid_Stock'!CE57</f>
        <v/>
      </c>
      <c r="CH1248">
        <f>'Grid_Stock'!CF57</f>
        <v/>
      </c>
      <c r="CI1248">
        <f>'Grid_Stock'!CG57</f>
        <v/>
      </c>
      <c r="CJ1248">
        <f>'Grid_Stock'!CH57</f>
        <v/>
      </c>
      <c r="CK1248">
        <f>'Grid_Stock'!CI57</f>
        <v/>
      </c>
      <c r="CL1248">
        <f>'Grid_Stock'!CJ57</f>
        <v/>
      </c>
      <c r="CM1248">
        <f>'Grid_Stock'!CK57</f>
        <v/>
      </c>
      <c r="CN1248">
        <f>'Grid_Stock'!CL57</f>
        <v/>
      </c>
      <c r="CO1248">
        <f>'Grid_Stock'!CM57</f>
        <v/>
      </c>
      <c r="CP1248">
        <f>'Grid_Stock'!CN57</f>
        <v/>
      </c>
      <c r="CQ1248">
        <f>'Grid_Stock'!CO57</f>
        <v/>
      </c>
      <c r="CR1248">
        <f>'Grid_Stock'!CP57</f>
        <v/>
      </c>
      <c r="CS1248">
        <f>'Grid_Stock'!CQ57</f>
        <v/>
      </c>
      <c r="CT1248">
        <f>'Grid_Stock'!CR57</f>
        <v/>
      </c>
      <c r="CU1248">
        <f>'Grid_Stock'!CS57</f>
        <v/>
      </c>
      <c r="CV1248">
        <f>'Grid_Stock'!CT57</f>
        <v/>
      </c>
      <c r="CW1248">
        <f>'Grid_Stock'!CU57</f>
        <v/>
      </c>
      <c r="CX1248">
        <f>'Grid_Stock'!CV57</f>
        <v/>
      </c>
      <c r="CY1248">
        <f>'Grid_Stock'!CW57</f>
        <v/>
      </c>
      <c r="CZ1248">
        <f>'Grid_Stock'!CX57</f>
        <v/>
      </c>
      <c r="DA1248">
        <f>'Grid_Stock'!CY57</f>
        <v/>
      </c>
      <c r="DB1248">
        <f>'Grid_Stock'!CZ57</f>
        <v/>
      </c>
      <c r="DC1248">
        <f>'Grid_Stock'!DA57</f>
        <v/>
      </c>
    </row>
    <row r="1249">
      <c r="B1249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3" t="inlineStr">
        <is>
          <t>(例) CHEM-1010</t>
        </is>
      </c>
      <c r="B2" s="23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CHEM-1530</t>
        </is>
      </c>
      <c r="B37" s="23" t="n">
        <v>0</v>
      </c>
      <c r="C37" s="29" t="n">
        <v>46020</v>
      </c>
    </row>
    <row r="38">
      <c r="A38" t="inlineStr">
        <is>
          <t>CHEM-1480</t>
        </is>
      </c>
      <c r="B38" s="23" t="n">
        <v>0</v>
      </c>
      <c r="C38" s="29" t="n">
        <v>46020</v>
      </c>
    </row>
    <row r="39">
      <c r="A39" t="inlineStr">
        <is>
          <t>CHEM-1540</t>
        </is>
      </c>
      <c r="B39" s="23" t="n">
        <v>0</v>
      </c>
      <c r="C39" s="29" t="n">
        <v>46020</v>
      </c>
    </row>
    <row r="40">
      <c r="A40" t="inlineStr">
        <is>
          <t>CHEM-1680</t>
        </is>
      </c>
      <c r="B40" s="23" t="n">
        <v>0</v>
      </c>
      <c r="C40" s="29" t="n">
        <v>46020</v>
      </c>
    </row>
    <row r="41">
      <c r="A41" t="inlineStr">
        <is>
          <t>CHEM-1730</t>
        </is>
      </c>
      <c r="B41" s="23" t="n">
        <v>0</v>
      </c>
      <c r="C41" s="29" t="n">
        <v>46020</v>
      </c>
    </row>
    <row r="42">
      <c r="A42" t="inlineStr">
        <is>
          <t>CHEM-1280</t>
        </is>
      </c>
      <c r="B42" s="23" t="n">
        <v>0</v>
      </c>
      <c r="C42" s="29" t="n">
        <v>46020</v>
      </c>
    </row>
    <row r="43">
      <c r="A43" t="inlineStr">
        <is>
          <t>CHEM-1570</t>
        </is>
      </c>
      <c r="B43" s="23" t="n">
        <v>0</v>
      </c>
      <c r="C43" s="29" t="n">
        <v>46020</v>
      </c>
    </row>
    <row r="44">
      <c r="A44" t="inlineStr">
        <is>
          <t>CHEM-1450</t>
        </is>
      </c>
      <c r="B44" s="23" t="n">
        <v>0</v>
      </c>
      <c r="C44" s="29" t="n">
        <v>46020</v>
      </c>
    </row>
    <row r="45">
      <c r="A45" t="inlineStr">
        <is>
          <t>CHEM-1770</t>
        </is>
      </c>
      <c r="B45" s="23" t="n">
        <v>0</v>
      </c>
      <c r="C45" s="29" t="n">
        <v>46020</v>
      </c>
    </row>
    <row r="46">
      <c r="A46" t="inlineStr">
        <is>
          <t>CHEM-1430</t>
        </is>
      </c>
      <c r="B46" s="23" t="n">
        <v>0</v>
      </c>
      <c r="C46" s="29" t="n">
        <v>46020</v>
      </c>
    </row>
    <row r="47">
      <c r="A47" t="inlineStr">
        <is>
          <t>CHEM-1470</t>
        </is>
      </c>
      <c r="B47" s="23" t="n">
        <v>0</v>
      </c>
      <c r="C47" s="29" t="n">
        <v>46020</v>
      </c>
    </row>
    <row r="48">
      <c r="A48" t="inlineStr">
        <is>
          <t>CHEM-1010</t>
        </is>
      </c>
      <c r="B48" s="23" t="n">
        <v>0</v>
      </c>
      <c r="C48" s="29" t="n">
        <v>46020</v>
      </c>
    </row>
    <row r="49">
      <c r="A49" t="inlineStr">
        <is>
          <t>CHEM-1760</t>
        </is>
      </c>
      <c r="B49" s="23" t="n">
        <v>0</v>
      </c>
      <c r="C49" s="29" t="n">
        <v>46020</v>
      </c>
    </row>
    <row r="50">
      <c r="A50" t="inlineStr">
        <is>
          <t>CHEM-1700</t>
        </is>
      </c>
      <c r="B50" s="23" t="n">
        <v>0</v>
      </c>
      <c r="C50" s="29" t="n">
        <v>46020</v>
      </c>
    </row>
    <row r="51">
      <c r="A51" t="inlineStr">
        <is>
          <t>CHEM-1850</t>
        </is>
      </c>
      <c r="B51" s="23" t="n">
        <v>0</v>
      </c>
      <c r="C51" s="29" t="n">
        <v>46020</v>
      </c>
    </row>
    <row r="52">
      <c r="A52" t="inlineStr">
        <is>
          <t>Original Towel</t>
        </is>
      </c>
      <c r="B52" s="23" t="n">
        <v>0</v>
      </c>
      <c r="C52" s="29" t="n">
        <v>46020</v>
      </c>
    </row>
    <row r="53">
      <c r="A53" t="inlineStr">
        <is>
          <t>Ester Film</t>
        </is>
      </c>
      <c r="B53" s="23" t="n">
        <v>0</v>
      </c>
      <c r="C53" s="29" t="n">
        <v>46020</v>
      </c>
    </row>
    <row r="54">
      <c r="A54" t="inlineStr">
        <is>
          <t>PP Film</t>
        </is>
      </c>
      <c r="B54" s="23" t="n">
        <v>0</v>
      </c>
      <c r="C54" s="29" t="n">
        <v>46020</v>
      </c>
    </row>
    <row r="55">
      <c r="A55" t="inlineStr">
        <is>
          <t>CHEM-1560</t>
        </is>
      </c>
      <c r="B55" s="23" t="n">
        <v>0</v>
      </c>
      <c r="C55" s="29" t="n">
        <v>46020</v>
      </c>
    </row>
    <row r="56">
      <c r="A56" t="inlineStr">
        <is>
          <t>CHEM-1690</t>
        </is>
      </c>
      <c r="B56" s="23" t="n">
        <v>0</v>
      </c>
      <c r="C56" s="29" t="n">
        <v>46020</v>
      </c>
    </row>
    <row r="57">
      <c r="A57" t="inlineStr">
        <is>
          <t>CHEM-1720</t>
        </is>
      </c>
      <c r="B57" s="23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Name]=$A67)*M_BOM[RM_Qty_Per_Batch]*IFERROR(INDEX(PP_Grid[#Data],M_BOM[PPGridRow],2),0))/69.45</f>
        <v/>
      </c>
      <c r="C67">
        <f>SUMPRODUCT((M_BOM[Part Name]=$A67)*M_BOM[RM_Qty_Per_Batch]*IFERROR(INDEX(PP_Grid[#Data],M_BOM[PPGridRow],3),0))/69.45</f>
        <v/>
      </c>
      <c r="D67">
        <f>SUMPRODUCT((M_BOM[Part Name]=$A67)*M_BOM[RM_Qty_Per_Batch]*IFERROR(INDEX(PP_Grid[#Data],M_BOM[PPGridRow],4),0))/69.45</f>
        <v/>
      </c>
      <c r="E67">
        <f>SUMPRODUCT((M_BOM[Part Name]=$A67)*M_BOM[RM_Qty_Per_Batch]*IFERROR(INDEX(PP_Grid[#Data],M_BOM[PPGridRow],5),0))/69.45</f>
        <v/>
      </c>
      <c r="F67">
        <f>SUMPRODUCT((M_BOM[Part Name]=$A67)*M_BOM[RM_Qty_Per_Batch]*IFERROR(INDEX(PP_Grid[#Data],M_BOM[PPGridRow],6),0))/69.45</f>
        <v/>
      </c>
      <c r="G67">
        <f>SUMPRODUCT((M_BOM[Part Name]=$A67)*M_BOM[RM_Qty_Per_Batch]*IFERROR(INDEX(PP_Grid[#Data],M_BOM[PPGridRow],7),0))/69.45</f>
        <v/>
      </c>
      <c r="H67">
        <f>SUMPRODUCT((M_BOM[Part Name]=$A67)*M_BOM[RM_Qty_Per_Batch]*IFERROR(INDEX(PP_Grid[#Data],M_BOM[PPGridRow],8),0))/69.45</f>
        <v/>
      </c>
      <c r="I67">
        <f>SUMPRODUCT((M_BOM[Part Name]=$A67)*M_BOM[RM_Qty_Per_Batch]*IFERROR(INDEX(PP_Grid[#Data],M_BOM[PPGridRow],9),0))/69.45</f>
        <v/>
      </c>
      <c r="J67">
        <f>SUMPRODUCT((M_BOM[Part Name]=$A67)*M_BOM[RM_Qty_Per_Batch]*IFERROR(INDEX(PP_Grid[#Data],M_BOM[PPGridRow],10),0))/69.45</f>
        <v/>
      </c>
      <c r="K67">
        <f>SUMPRODUCT((M_BOM[Part Name]=$A67)*M_BOM[RM_Qty_Per_Batch]*IFERROR(INDEX(PP_Grid[#Data],M_BOM[PPGridRow],11),0))/69.45</f>
        <v/>
      </c>
      <c r="L67">
        <f>SUMPRODUCT((M_BOM[Part Name]=$A67)*M_BOM[RM_Qty_Per_Batch]*IFERROR(INDEX(PP_Grid[#Data],M_BOM[PPGridRow],12),0))/69.45</f>
        <v/>
      </c>
      <c r="M67">
        <f>SUMPRODUCT((M_BOM[Part Name]=$A67)*M_BOM[RM_Qty_Per_Batch]*IFERROR(INDEX(PP_Grid[#Data],M_BOM[PPGridRow],13),0))/69.45</f>
        <v/>
      </c>
      <c r="N67">
        <f>SUMPRODUCT((M_BOM[Part Name]=$A67)*M_BOM[RM_Qty_Per_Batch]*IFERROR(INDEX(PP_Grid[#Data],M_BOM[PPGridRow],14),0))/69.45</f>
        <v/>
      </c>
      <c r="O67">
        <f>SUMPRODUCT((M_BOM[Part Name]=$A67)*M_BOM[RM_Qty_Per_Batch]*IFERROR(INDEX(PP_Grid[#Data],M_BOM[PPGridRow],15),0))/69.45</f>
        <v/>
      </c>
      <c r="P67">
        <f>SUMPRODUCT((M_BOM[Part Name]=$A67)*M_BOM[RM_Qty_Per_Batch]*IFERROR(INDEX(PP_Grid[#Data],M_BOM[PPGridRow],16),0))/69.45</f>
        <v/>
      </c>
      <c r="Q67">
        <f>SUMPRODUCT((M_BOM[Part Name]=$A67)*M_BOM[RM_Qty_Per_Batch]*IFERROR(INDEX(PP_Grid[#Data],M_BOM[PPGridRow],17),0))/69.45</f>
        <v/>
      </c>
      <c r="R67">
        <f>SUMPRODUCT((M_BOM[Part Name]=$A67)*M_BOM[RM_Qty_Per_Batch]*IFERROR(INDEX(PP_Grid[#Data],M_BOM[PPGridRow],18),0))/69.45</f>
        <v/>
      </c>
      <c r="S67">
        <f>SUMPRODUCT((M_BOM[Part Name]=$A67)*M_BOM[RM_Qty_Per_Batch]*IFERROR(INDEX(PP_Grid[#Data],M_BOM[PPGridRow],19),0))/69.45</f>
        <v/>
      </c>
      <c r="T67">
        <f>SUMPRODUCT((M_BOM[Part Name]=$A67)*M_BOM[RM_Qty_Per_Batch]*IFERROR(INDEX(PP_Grid[#Data],M_BOM[PPGridRow],20),0))/69.45</f>
        <v/>
      </c>
      <c r="U67">
        <f>SUMPRODUCT((M_BOM[Part Name]=$A67)*M_BOM[RM_Qty_Per_Batch]*IFERROR(INDEX(PP_Grid[#Data],M_BOM[PPGridRow],21),0))/69.45</f>
        <v/>
      </c>
      <c r="V67">
        <f>SUMPRODUCT((M_BOM[Part Name]=$A67)*M_BOM[RM_Qty_Per_Batch]*IFERROR(INDEX(PP_Grid[#Data],M_BOM[PPGridRow],22),0))/69.45</f>
        <v/>
      </c>
      <c r="W67">
        <f>SUMPRODUCT((M_BOM[Part Name]=$A67)*M_BOM[RM_Qty_Per_Batch]*IFERROR(INDEX(PP_Grid[#Data],M_BOM[PPGridRow],23),0))/69.45</f>
        <v/>
      </c>
      <c r="X67">
        <f>SUMPRODUCT((M_BOM[Part Name]=$A67)*M_BOM[RM_Qty_Per_Batch]*IFERROR(INDEX(PP_Grid[#Data],M_BOM[PPGridRow],24),0))/69.45</f>
        <v/>
      </c>
      <c r="Y67">
        <f>SUMPRODUCT((M_BOM[Part Name]=$A67)*M_BOM[RM_Qty_Per_Batch]*IFERROR(INDEX(PP_Grid[#Data],M_BOM[PPGridRow],25),0))/69.45</f>
        <v/>
      </c>
      <c r="Z67">
        <f>SUMPRODUCT((M_BOM[Part Name]=$A67)*M_BOM[RM_Qty_Per_Batch]*IFERROR(INDEX(PP_Grid[#Data],M_BOM[PPGridRow],26),0))/69.45</f>
        <v/>
      </c>
      <c r="AA67">
        <f>SUMPRODUCT((M_BOM[Part Name]=$A67)*M_BOM[RM_Qty_Per_Batch]*IFERROR(INDEX(PP_Grid[#Data],M_BOM[PPGridRow],27),0))/69.45</f>
        <v/>
      </c>
      <c r="AB67">
        <f>SUMPRODUCT((M_BOM[Part Name]=$A67)*M_BOM[RM_Qty_Per_Batch]*IFERROR(INDEX(PP_Grid[#Data],M_BOM[PPGridRow],28),0))/69.45</f>
        <v/>
      </c>
      <c r="AC67">
        <f>SUMPRODUCT((M_BOM[Part Name]=$A67)*M_BOM[RM_Qty_Per_Batch]*IFERROR(INDEX(PP_Grid[#Data],M_BOM[PPGridRow],29),0))/69.45</f>
        <v/>
      </c>
      <c r="AD67">
        <f>SUMPRODUCT((M_BOM[Part Name]=$A67)*M_BOM[RM_Qty_Per_Batch]*IFERROR(INDEX(PP_Grid[#Data],M_BOM[PPGridRow],30),0))/69.45</f>
        <v/>
      </c>
      <c r="AE67">
        <f>SUMPRODUCT((M_BOM[Part Name]=$A67)*M_BOM[RM_Qty_Per_Batch]*IFERROR(INDEX(PP_Grid[#Data],M_BOM[PPGridRow],31),0))/69.45</f>
        <v/>
      </c>
      <c r="AF67">
        <f>SUMPRODUCT((M_BOM[Part Name]=$A67)*M_BOM[RM_Qty_Per_Batch]*IFERROR(INDEX(PP_Grid[#Data],M_BOM[PPGridRow],32),0))/69.45</f>
        <v/>
      </c>
      <c r="AG67">
        <f>SUMPRODUCT((M_BOM[Part Name]=$A67)*M_BOM[RM_Qty_Per_Batch]*IFERROR(INDEX(PP_Grid[#Data],M_BOM[PPGridRow],33),0))/69.45</f>
        <v/>
      </c>
      <c r="AH67">
        <f>SUMPRODUCT((M_BOM[Part Name]=$A67)*M_BOM[RM_Qty_Per_Batch]*IFERROR(INDEX(PP_Grid[#Data],M_BOM[PPGridRow],34),0))/69.45</f>
        <v/>
      </c>
      <c r="AI67">
        <f>SUMPRODUCT((M_BOM[Part Name]=$A67)*M_BOM[RM_Qty_Per_Batch]*IFERROR(INDEX(PP_Grid[#Data],M_BOM[PPGridRow],35),0))/69.45</f>
        <v/>
      </c>
      <c r="AJ67">
        <f>SUMPRODUCT((M_BOM[Part Name]=$A67)*M_BOM[RM_Qty_Per_Batch]*IFERROR(INDEX(PP_Grid[#Data],M_BOM[PPGridRow],36),0))/69.45</f>
        <v/>
      </c>
      <c r="AK67">
        <f>SUMPRODUCT((M_BOM[Part Name]=$A67)*M_BOM[RM_Qty_Per_Batch]*IFERROR(INDEX(PP_Grid[#Data],M_BOM[PPGridRow],37),0))/69.45</f>
        <v/>
      </c>
      <c r="AL67">
        <f>SUMPRODUCT((M_BOM[Part Name]=$A67)*M_BOM[RM_Qty_Per_Batch]*IFERROR(INDEX(PP_Grid[#Data],M_BOM[PPGridRow],38),0))/69.45</f>
        <v/>
      </c>
      <c r="AM67">
        <f>SUMPRODUCT((M_BOM[Part Name]=$A67)*M_BOM[RM_Qty_Per_Batch]*IFERROR(INDEX(PP_Grid[#Data],M_BOM[PPGridRow],39),0))/69.45</f>
        <v/>
      </c>
      <c r="AN67">
        <f>SUMPRODUCT((M_BOM[Part Name]=$A67)*M_BOM[RM_Qty_Per_Batch]*IFERROR(INDEX(PP_Grid[#Data],M_BOM[PPGridRow],40),0))/69.45</f>
        <v/>
      </c>
      <c r="AO67">
        <f>SUMPRODUCT((M_BOM[Part Name]=$A67)*M_BOM[RM_Qty_Per_Batch]*IFERROR(INDEX(PP_Grid[#Data],M_BOM[PPGridRow],41),0))/69.45</f>
        <v/>
      </c>
      <c r="AP67">
        <f>SUMPRODUCT((M_BOM[Part Name]=$A67)*M_BOM[RM_Qty_Per_Batch]*IFERROR(INDEX(PP_Grid[#Data],M_BOM[PPGridRow],42),0))/69.45</f>
        <v/>
      </c>
      <c r="AQ67">
        <f>SUMPRODUCT((M_BOM[Part Name]=$A67)*M_BOM[RM_Qty_Per_Batch]*IFERROR(INDEX(PP_Grid[#Data],M_BOM[PPGridRow],43),0))/69.45</f>
        <v/>
      </c>
      <c r="AR67">
        <f>SUMPRODUCT((M_BOM[Part Name]=$A67)*M_BOM[RM_Qty_Per_Batch]*IFERROR(INDEX(PP_Grid[#Data],M_BOM[PPGridRow],44),0))/69.45</f>
        <v/>
      </c>
      <c r="AS67">
        <f>SUMPRODUCT((M_BOM[Part Name]=$A67)*M_BOM[RM_Qty_Per_Batch]*IFERROR(INDEX(PP_Grid[#Data],M_BOM[PPGridRow],45),0))/69.45</f>
        <v/>
      </c>
      <c r="AT67">
        <f>SUMPRODUCT((M_BOM[Part Name]=$A67)*M_BOM[RM_Qty_Per_Batch]*IFERROR(INDEX(PP_Grid[#Data],M_BOM[PPGridRow],46),0))/69.45</f>
        <v/>
      </c>
      <c r="AU67">
        <f>SUMPRODUCT((M_BOM[Part Name]=$A67)*M_BOM[RM_Qty_Per_Batch]*IFERROR(INDEX(PP_Grid[#Data],M_BOM[PPGridRow],47),0))/69.45</f>
        <v/>
      </c>
      <c r="AV67">
        <f>SUMPRODUCT((M_BOM[Part Name]=$A67)*M_BOM[RM_Qty_Per_Batch]*IFERROR(INDEX(PP_Grid[#Data],M_BOM[PPGridRow],48),0))/69.45</f>
        <v/>
      </c>
      <c r="AW67">
        <f>SUMPRODUCT((M_BOM[Part Name]=$A67)*M_BOM[RM_Qty_Per_Batch]*IFERROR(INDEX(PP_Grid[#Data],M_BOM[PPGridRow],49),0))/69.45</f>
        <v/>
      </c>
      <c r="AX67">
        <f>SUMPRODUCT((M_BOM[Part Name]=$A67)*M_BOM[RM_Qty_Per_Batch]*IFERROR(INDEX(PP_Grid[#Data],M_BOM[PPGridRow],50),0))/69.45</f>
        <v/>
      </c>
      <c r="AY67">
        <f>SUMPRODUCT((M_BOM[Part Name]=$A67)*M_BOM[RM_Qty_Per_Batch]*IFERROR(INDEX(PP_Grid[#Data],M_BOM[PPGridRow],51),0))/69.45</f>
        <v/>
      </c>
      <c r="AZ67">
        <f>SUMPRODUCT((M_BOM[Part Name]=$A67)*M_BOM[RM_Qty_Per_Batch]*IFERROR(INDEX(PP_Grid[#Data],M_BOM[PPGridRow],52),0))/69.45</f>
        <v/>
      </c>
      <c r="BA67">
        <f>SUMPRODUCT((M_BOM[Part Name]=$A67)*M_BOM[RM_Qty_Per_Batch]*IFERROR(INDEX(PP_Grid[#Data],M_BOM[PPGridRow],53),0))/69.45</f>
        <v/>
      </c>
      <c r="BB67">
        <f>SUMPRODUCT((M_BOM[Part Name]=$A67)*M_BOM[RM_Qty_Per_Batch]*IFERROR(INDEX(PP_Grid[#Data],M_BOM[PPGridRow],54),0))/69.45</f>
        <v/>
      </c>
      <c r="BC67">
        <f>SUMPRODUCT((M_BOM[Part Name]=$A67)*M_BOM[RM_Qty_Per_Batch]*IFERROR(INDEX(PP_Grid[#Data],M_BOM[PPGridRow],55),0))/69.45</f>
        <v/>
      </c>
      <c r="BD67">
        <f>SUMPRODUCT((M_BOM[Part Name]=$A67)*M_BOM[RM_Qty_Per_Batch]*IFERROR(INDEX(PP_Grid[#Data],M_BOM[PPGridRow],56),0))/69.45</f>
        <v/>
      </c>
      <c r="BE67">
        <f>SUMPRODUCT((M_BOM[Part Name]=$A67)*M_BOM[RM_Qty_Per_Batch]*IFERROR(INDEX(PP_Grid[#Data],M_BOM[PPGridRow],57),0))/69.45</f>
        <v/>
      </c>
      <c r="BF67">
        <f>SUMPRODUCT((M_BOM[Part Name]=$A67)*M_BOM[RM_Qty_Per_Batch]*IFERROR(INDEX(PP_Grid[#Data],M_BOM[PPGridRow],58),0))/69.45</f>
        <v/>
      </c>
      <c r="BG67">
        <f>SUMPRODUCT((M_BOM[Part Name]=$A67)*M_BOM[RM_Qty_Per_Batch]*IFERROR(INDEX(PP_Grid[#Data],M_BOM[PPGridRow],59),0))/69.45</f>
        <v/>
      </c>
      <c r="BH67">
        <f>SUMPRODUCT((M_BOM[Part Name]=$A67)*M_BOM[RM_Qty_Per_Batch]*IFERROR(INDEX(PP_Grid[#Data],M_BOM[PPGridRow],60),0))/69.45</f>
        <v/>
      </c>
      <c r="BI67">
        <f>SUMPRODUCT((M_BOM[Part Name]=$A67)*M_BOM[RM_Qty_Per_Batch]*IFERROR(INDEX(PP_Grid[#Data],M_BOM[PPGridRow],61),0))/69.45</f>
        <v/>
      </c>
      <c r="BJ67">
        <f>SUMPRODUCT((M_BOM[Part Name]=$A67)*M_BOM[RM_Qty_Per_Batch]*IFERROR(INDEX(PP_Grid[#Data],M_BOM[PPGridRow],62),0))/69.45</f>
        <v/>
      </c>
      <c r="BK67">
        <f>SUMPRODUCT((M_BOM[Part Name]=$A67)*M_BOM[RM_Qty_Per_Batch]*IFERROR(INDEX(PP_Grid[#Data],M_BOM[PPGridRow],63),0))/69.45</f>
        <v/>
      </c>
      <c r="BL67">
        <f>SUMPRODUCT((M_BOM[Part Name]=$A67)*M_BOM[RM_Qty_Per_Batch]*IFERROR(INDEX(PP_Grid[#Data],M_BOM[PPGridRow],64),0))/69.45</f>
        <v/>
      </c>
      <c r="BM67">
        <f>SUMPRODUCT((M_BOM[Part Name]=$A67)*M_BOM[RM_Qty_Per_Batch]*IFERROR(INDEX(PP_Grid[#Data],M_BOM[PPGridRow],65),0))/69.45</f>
        <v/>
      </c>
      <c r="BN67">
        <f>SUMPRODUCT((M_BOM[Part Name]=$A67)*M_BOM[RM_Qty_Per_Batch]*IFERROR(INDEX(PP_Grid[#Data],M_BOM[PPGridRow],66),0))/69.45</f>
        <v/>
      </c>
      <c r="BO67">
        <f>SUMPRODUCT((M_BOM[Part Name]=$A67)*M_BOM[RM_Qty_Per_Batch]*IFERROR(INDEX(PP_Grid[#Data],M_BOM[PPGridRow],67),0))/69.45</f>
        <v/>
      </c>
      <c r="BP67">
        <f>SUMPRODUCT((M_BOM[Part Name]=$A67)*M_BOM[RM_Qty_Per_Batch]*IFERROR(INDEX(PP_Grid[#Data],M_BOM[PPGridRow],68),0))/69.45</f>
        <v/>
      </c>
      <c r="BQ67">
        <f>SUMPRODUCT((M_BOM[Part Name]=$A67)*M_BOM[RM_Qty_Per_Batch]*IFERROR(INDEX(PP_Grid[#Data],M_BOM[PPGridRow],69),0))/69.45</f>
        <v/>
      </c>
      <c r="BR67">
        <f>SUMPRODUCT((M_BOM[Part Name]=$A67)*M_BOM[RM_Qty_Per_Batch]*IFERROR(INDEX(PP_Grid[#Data],M_BOM[PPGridRow],70),0))/69.45</f>
        <v/>
      </c>
      <c r="BS67">
        <f>SUMPRODUCT((M_BOM[Part Name]=$A67)*M_BOM[RM_Qty_Per_Batch]*IFERROR(INDEX(PP_Grid[#Data],M_BOM[PPGridRow],71),0))/69.45</f>
        <v/>
      </c>
      <c r="BT67">
        <f>SUMPRODUCT((M_BOM[Part Name]=$A67)*M_BOM[RM_Qty_Per_Batch]*IFERROR(INDEX(PP_Grid[#Data],M_BOM[PPGridRow],72),0))/69.45</f>
        <v/>
      </c>
      <c r="BU67">
        <f>SUMPRODUCT((M_BOM[Part Name]=$A67)*M_BOM[RM_Qty_Per_Batch]*IFERROR(INDEX(PP_Grid[#Data],M_BOM[PPGridRow],73),0))/69.45</f>
        <v/>
      </c>
      <c r="BV67">
        <f>SUMPRODUCT((M_BOM[Part Name]=$A67)*M_BOM[RM_Qty_Per_Batch]*IFERROR(INDEX(PP_Grid[#Data],M_BOM[PPGridRow],74),0))/69.45</f>
        <v/>
      </c>
      <c r="BW67">
        <f>SUMPRODUCT((M_BOM[Part Name]=$A67)*M_BOM[RM_Qty_Per_Batch]*IFERROR(INDEX(PP_Grid[#Data],M_BOM[PPGridRow],75),0))/69.45</f>
        <v/>
      </c>
      <c r="BX67">
        <f>SUMPRODUCT((M_BOM[Part Name]=$A67)*M_BOM[RM_Qty_Per_Batch]*IFERROR(INDEX(PP_Grid[#Data],M_BOM[PPGridRow],76),0))/69.45</f>
        <v/>
      </c>
      <c r="BY67">
        <f>SUMPRODUCT((M_BOM[Part Name]=$A67)*M_BOM[RM_Qty_Per_Batch]*IFERROR(INDEX(PP_Grid[#Data],M_BOM[PPGridRow],77),0))/69.45</f>
        <v/>
      </c>
      <c r="BZ67">
        <f>SUMPRODUCT((M_BOM[Part Name]=$A67)*M_BOM[RM_Qty_Per_Batch]*IFERROR(INDEX(PP_Grid[#Data],M_BOM[PPGridRow],78),0))/69.45</f>
        <v/>
      </c>
      <c r="CA67">
        <f>SUMPRODUCT((M_BOM[Part Name]=$A67)*M_BOM[RM_Qty_Per_Batch]*IFERROR(INDEX(PP_Grid[#Data],M_BOM[PPGridRow],79),0))/69.45</f>
        <v/>
      </c>
      <c r="CB67">
        <f>SUMPRODUCT((M_BOM[Part Name]=$A67)*M_BOM[RM_Qty_Per_Batch]*IFERROR(INDEX(PP_Grid[#Data],M_BOM[PPGridRow],80),0))/69.45</f>
        <v/>
      </c>
      <c r="CC67">
        <f>SUMPRODUCT((M_BOM[Part Name]=$A67)*M_BOM[RM_Qty_Per_Batch]*IFERROR(INDEX(PP_Grid[#Data],M_BOM[PPGridRow],81),0))/69.45</f>
        <v/>
      </c>
      <c r="CD67">
        <f>SUMPRODUCT((M_BOM[Part Name]=$A67)*M_BOM[RM_Qty_Per_Batch]*IFERROR(INDEX(PP_Grid[#Data],M_BOM[PPGridRow],82),0))/69.45</f>
        <v/>
      </c>
      <c r="CE67">
        <f>SUMPRODUCT((M_BOM[Part Name]=$A67)*M_BOM[RM_Qty_Per_Batch]*IFERROR(INDEX(PP_Grid[#Data],M_BOM[PPGridRow],83),0))/69.45</f>
        <v/>
      </c>
      <c r="CF67">
        <f>SUMPRODUCT((M_BOM[Part Name]=$A67)*M_BOM[RM_Qty_Per_Batch]*IFERROR(INDEX(PP_Grid[#Data],M_BOM[PPGridRow],84),0))/69.45</f>
        <v/>
      </c>
      <c r="CG67">
        <f>SUMPRODUCT((M_BOM[Part Name]=$A67)*M_BOM[RM_Qty_Per_Batch]*IFERROR(INDEX(PP_Grid[#Data],M_BOM[PPGridRow],85),0))/69.45</f>
        <v/>
      </c>
      <c r="CH67">
        <f>SUMPRODUCT((M_BOM[Part Name]=$A67)*M_BOM[RM_Qty_Per_Batch]*IFERROR(INDEX(PP_Grid[#Data],M_BOM[PPGridRow],86),0))/69.45</f>
        <v/>
      </c>
      <c r="CI67">
        <f>SUMPRODUCT((M_BOM[Part Name]=$A67)*M_BOM[RM_Qty_Per_Batch]*IFERROR(INDEX(PP_Grid[#Data],M_BOM[PPGridRow],87),0))/69.45</f>
        <v/>
      </c>
      <c r="CJ67">
        <f>SUMPRODUCT((M_BOM[Part Name]=$A67)*M_BOM[RM_Qty_Per_Batch]*IFERROR(INDEX(PP_Grid[#Data],M_BOM[PPGridRow],88),0))/69.45</f>
        <v/>
      </c>
      <c r="CK67">
        <f>SUMPRODUCT((M_BOM[Part Name]=$A67)*M_BOM[RM_Qty_Per_Batch]*IFERROR(INDEX(PP_Grid[#Data],M_BOM[PPGridRow],89),0))/69.45</f>
        <v/>
      </c>
      <c r="CL67">
        <f>SUMPRODUCT((M_BOM[Part Name]=$A67)*M_BOM[RM_Qty_Per_Batch]*IFERROR(INDEX(PP_Grid[#Data],M_BOM[PPGridRow],90),0))/69.45</f>
        <v/>
      </c>
      <c r="CM67">
        <f>SUMPRODUCT((M_BOM[Part Name]=$A67)*M_BOM[RM_Qty_Per_Batch]*IFERROR(INDEX(PP_Grid[#Data],M_BOM[PPGridRow],91),0))/69.45</f>
        <v/>
      </c>
      <c r="CN67">
        <f>SUMPRODUCT((M_BOM[Part Name]=$A67)*M_BOM[RM_Qty_Per_Batch]*IFERROR(INDEX(PP_Grid[#Data],M_BOM[PPGridRow],92),0))/69.45</f>
        <v/>
      </c>
      <c r="CO67">
        <f>SUMPRODUCT((M_BOM[Part Name]=$A67)*M_BOM[RM_Qty_Per_Batch]*IFERROR(INDEX(PP_Grid[#Data],M_BOM[PPGridRow],93),0))/69.45</f>
        <v/>
      </c>
      <c r="CP67">
        <f>SUMPRODUCT((M_BOM[Part Name]=$A67)*M_BOM[RM_Qty_Per_Batch]*IFERROR(INDEX(PP_Grid[#Data],M_BOM[PPGridRow],94),0))/69.45</f>
        <v/>
      </c>
      <c r="CQ67">
        <f>SUMPRODUCT((M_BOM[Part Name]=$A67)*M_BOM[RM_Qty_Per_Batch]*IFERROR(INDEX(PP_Grid[#Data],M_BOM[PPGridRow],95),0))/69.45</f>
        <v/>
      </c>
      <c r="CR67">
        <f>SUMPRODUCT((M_BOM[Part Name]=$A67)*M_BOM[RM_Qty_Per_Batch]*IFERROR(INDEX(PP_Grid[#Data],M_BOM[PPGridRow],96),0))/69.45</f>
        <v/>
      </c>
      <c r="CS67">
        <f>SUMPRODUCT((M_BOM[Part Name]=$A67)*M_BOM[RM_Qty_Per_Batch]*IFERROR(INDEX(PP_Grid[#Data],M_BOM[PPGridRow],97),0))/69.45</f>
        <v/>
      </c>
      <c r="CT67">
        <f>SUMPRODUCT((M_BOM[Part Name]=$A67)*M_BOM[RM_Qty_Per_Batch]*IFERROR(INDEX(PP_Grid[#Data],M_BOM[PPGridRow],98),0))/69.45</f>
        <v/>
      </c>
      <c r="CU67">
        <f>SUMPRODUCT((M_BOM[Part Name]=$A67)*M_BOM[RM_Qty_Per_Batch]*IFERROR(INDEX(PP_Grid[#Data],M_BOM[PPGridRow],99),0))/69.45</f>
        <v/>
      </c>
      <c r="CV67">
        <f>SUMPRODUCT((M_BOM[Part Name]=$A67)*M_BOM[RM_Qty_Per_Batch]*IFERROR(INDEX(PP_Grid[#Data],M_BOM[PPGridRow],100),0))/69.45</f>
        <v/>
      </c>
      <c r="CW67">
        <f>SUMPRODUCT((M_BOM[Part Name]=$A67)*M_BOM[RM_Qty_Per_Batch]*IFERROR(INDEX(PP_Grid[#Data],M_BOM[PPGridRow],101),0))/69.45</f>
        <v/>
      </c>
      <c r="CX67">
        <f>SUMPRODUCT((M_BOM[Part Name]=$A67)*M_BOM[RM_Qty_Per_Batch]*IFERROR(INDEX(PP_Grid[#Data],M_BOM[PPGridRow],102),0))/69.45</f>
        <v/>
      </c>
      <c r="CY67">
        <f>SUMPRODUCT((M_BOM[Part Name]=$A67)*M_BOM[RM_Qty_Per_Batch]*IFERROR(INDEX(PP_Grid[#Data],M_BOM[PPGridRow],103),0))/69.45</f>
        <v/>
      </c>
      <c r="CZ67">
        <f>SUMPRODUCT((M_BOM[Part Name]=$A67)*M_BOM[RM_Qty_Per_Batch]*IFERROR(INDEX(PP_Grid[#Data],M_BOM[PPGridRow],104),0))/69.45</f>
        <v/>
      </c>
      <c r="DA67">
        <f>SUMPRODUCT((M_BOM[Part Name]=$A67)*M_BOM[RM_Qty_Per_Batch]*IFERROR(INDEX(PP_Grid[#Data],M_BOM[PPGridRow],105),0))/69.45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Name]=$A68)*M_BOM[RM_Qty_Per_Batch]*IFERROR(INDEX(PP_Grid[#Data],M_BOM[PPGridRow],2),0))/26.54</f>
        <v/>
      </c>
      <c r="C68">
        <f>SUMPRODUCT((M_BOM[Part Name]=$A68)*M_BOM[RM_Qty_Per_Batch]*IFERROR(INDEX(PP_Grid[#Data],M_BOM[PPGridRow],3),0))/26.54</f>
        <v/>
      </c>
      <c r="D68">
        <f>SUMPRODUCT((M_BOM[Part Name]=$A68)*M_BOM[RM_Qty_Per_Batch]*IFERROR(INDEX(PP_Grid[#Data],M_BOM[PPGridRow],4),0))/26.54</f>
        <v/>
      </c>
      <c r="E68">
        <f>SUMPRODUCT((M_BOM[Part Name]=$A68)*M_BOM[RM_Qty_Per_Batch]*IFERROR(INDEX(PP_Grid[#Data],M_BOM[PPGridRow],5),0))/26.54</f>
        <v/>
      </c>
      <c r="F68">
        <f>SUMPRODUCT((M_BOM[Part Name]=$A68)*M_BOM[RM_Qty_Per_Batch]*IFERROR(INDEX(PP_Grid[#Data],M_BOM[PPGridRow],6),0))/26.54</f>
        <v/>
      </c>
      <c r="G68">
        <f>SUMPRODUCT((M_BOM[Part Name]=$A68)*M_BOM[RM_Qty_Per_Batch]*IFERROR(INDEX(PP_Grid[#Data],M_BOM[PPGridRow],7),0))/26.54</f>
        <v/>
      </c>
      <c r="H68">
        <f>SUMPRODUCT((M_BOM[Part Name]=$A68)*M_BOM[RM_Qty_Per_Batch]*IFERROR(INDEX(PP_Grid[#Data],M_BOM[PPGridRow],8),0))/26.54</f>
        <v/>
      </c>
      <c r="I68">
        <f>SUMPRODUCT((M_BOM[Part Name]=$A68)*M_BOM[RM_Qty_Per_Batch]*IFERROR(INDEX(PP_Grid[#Data],M_BOM[PPGridRow],9),0))/26.54</f>
        <v/>
      </c>
      <c r="J68">
        <f>SUMPRODUCT((M_BOM[Part Name]=$A68)*M_BOM[RM_Qty_Per_Batch]*IFERROR(INDEX(PP_Grid[#Data],M_BOM[PPGridRow],10),0))/26.54</f>
        <v/>
      </c>
      <c r="K68">
        <f>SUMPRODUCT((M_BOM[Part Name]=$A68)*M_BOM[RM_Qty_Per_Batch]*IFERROR(INDEX(PP_Grid[#Data],M_BOM[PPGridRow],11),0))/26.54</f>
        <v/>
      </c>
      <c r="L68">
        <f>SUMPRODUCT((M_BOM[Part Name]=$A68)*M_BOM[RM_Qty_Per_Batch]*IFERROR(INDEX(PP_Grid[#Data],M_BOM[PPGridRow],12),0))/26.54</f>
        <v/>
      </c>
      <c r="M68">
        <f>SUMPRODUCT((M_BOM[Part Name]=$A68)*M_BOM[RM_Qty_Per_Batch]*IFERROR(INDEX(PP_Grid[#Data],M_BOM[PPGridRow],13),0))/26.54</f>
        <v/>
      </c>
      <c r="N68">
        <f>SUMPRODUCT((M_BOM[Part Name]=$A68)*M_BOM[RM_Qty_Per_Batch]*IFERROR(INDEX(PP_Grid[#Data],M_BOM[PPGridRow],14),0))/26.54</f>
        <v/>
      </c>
      <c r="O68">
        <f>SUMPRODUCT((M_BOM[Part Name]=$A68)*M_BOM[RM_Qty_Per_Batch]*IFERROR(INDEX(PP_Grid[#Data],M_BOM[PPGridRow],15),0))/26.54</f>
        <v/>
      </c>
      <c r="P68">
        <f>SUMPRODUCT((M_BOM[Part Name]=$A68)*M_BOM[RM_Qty_Per_Batch]*IFERROR(INDEX(PP_Grid[#Data],M_BOM[PPGridRow],16),0))/26.54</f>
        <v/>
      </c>
      <c r="Q68">
        <f>SUMPRODUCT((M_BOM[Part Name]=$A68)*M_BOM[RM_Qty_Per_Batch]*IFERROR(INDEX(PP_Grid[#Data],M_BOM[PPGridRow],17),0))/26.54</f>
        <v/>
      </c>
      <c r="R68">
        <f>SUMPRODUCT((M_BOM[Part Name]=$A68)*M_BOM[RM_Qty_Per_Batch]*IFERROR(INDEX(PP_Grid[#Data],M_BOM[PPGridRow],18),0))/26.54</f>
        <v/>
      </c>
      <c r="S68">
        <f>SUMPRODUCT((M_BOM[Part Name]=$A68)*M_BOM[RM_Qty_Per_Batch]*IFERROR(INDEX(PP_Grid[#Data],M_BOM[PPGridRow],19),0))/26.54</f>
        <v/>
      </c>
      <c r="T68">
        <f>SUMPRODUCT((M_BOM[Part Name]=$A68)*M_BOM[RM_Qty_Per_Batch]*IFERROR(INDEX(PP_Grid[#Data],M_BOM[PPGridRow],20),0))/26.54</f>
        <v/>
      </c>
      <c r="U68">
        <f>SUMPRODUCT((M_BOM[Part Name]=$A68)*M_BOM[RM_Qty_Per_Batch]*IFERROR(INDEX(PP_Grid[#Data],M_BOM[PPGridRow],21),0))/26.54</f>
        <v/>
      </c>
      <c r="V68">
        <f>SUMPRODUCT((M_BOM[Part Name]=$A68)*M_BOM[RM_Qty_Per_Batch]*IFERROR(INDEX(PP_Grid[#Data],M_BOM[PPGridRow],22),0))/26.54</f>
        <v/>
      </c>
      <c r="W68">
        <f>SUMPRODUCT((M_BOM[Part Name]=$A68)*M_BOM[RM_Qty_Per_Batch]*IFERROR(INDEX(PP_Grid[#Data],M_BOM[PPGridRow],23),0))/26.54</f>
        <v/>
      </c>
      <c r="X68">
        <f>SUMPRODUCT((M_BOM[Part Name]=$A68)*M_BOM[RM_Qty_Per_Batch]*IFERROR(INDEX(PP_Grid[#Data],M_BOM[PPGridRow],24),0))/26.54</f>
        <v/>
      </c>
      <c r="Y68">
        <f>SUMPRODUCT((M_BOM[Part Name]=$A68)*M_BOM[RM_Qty_Per_Batch]*IFERROR(INDEX(PP_Grid[#Data],M_BOM[PPGridRow],25),0))/26.54</f>
        <v/>
      </c>
      <c r="Z68">
        <f>SUMPRODUCT((M_BOM[Part Name]=$A68)*M_BOM[RM_Qty_Per_Batch]*IFERROR(INDEX(PP_Grid[#Data],M_BOM[PPGridRow],26),0))/26.54</f>
        <v/>
      </c>
      <c r="AA68">
        <f>SUMPRODUCT((M_BOM[Part Name]=$A68)*M_BOM[RM_Qty_Per_Batch]*IFERROR(INDEX(PP_Grid[#Data],M_BOM[PPGridRow],27),0))/26.54</f>
        <v/>
      </c>
      <c r="AB68">
        <f>SUMPRODUCT((M_BOM[Part Name]=$A68)*M_BOM[RM_Qty_Per_Batch]*IFERROR(INDEX(PP_Grid[#Data],M_BOM[PPGridRow],28),0))/26.54</f>
        <v/>
      </c>
      <c r="AC68">
        <f>SUMPRODUCT((M_BOM[Part Name]=$A68)*M_BOM[RM_Qty_Per_Batch]*IFERROR(INDEX(PP_Grid[#Data],M_BOM[PPGridRow],29),0))/26.54</f>
        <v/>
      </c>
      <c r="AD68">
        <f>SUMPRODUCT((M_BOM[Part Name]=$A68)*M_BOM[RM_Qty_Per_Batch]*IFERROR(INDEX(PP_Grid[#Data],M_BOM[PPGridRow],30),0))/26.54</f>
        <v/>
      </c>
      <c r="AE68">
        <f>SUMPRODUCT((M_BOM[Part Name]=$A68)*M_BOM[RM_Qty_Per_Batch]*IFERROR(INDEX(PP_Grid[#Data],M_BOM[PPGridRow],31),0))/26.54</f>
        <v/>
      </c>
      <c r="AF68">
        <f>SUMPRODUCT((M_BOM[Part Name]=$A68)*M_BOM[RM_Qty_Per_Batch]*IFERROR(INDEX(PP_Grid[#Data],M_BOM[PPGridRow],32),0))/26.54</f>
        <v/>
      </c>
      <c r="AG68">
        <f>SUMPRODUCT((M_BOM[Part Name]=$A68)*M_BOM[RM_Qty_Per_Batch]*IFERROR(INDEX(PP_Grid[#Data],M_BOM[PPGridRow],33),0))/26.54</f>
        <v/>
      </c>
      <c r="AH68">
        <f>SUMPRODUCT((M_BOM[Part Name]=$A68)*M_BOM[RM_Qty_Per_Batch]*IFERROR(INDEX(PP_Grid[#Data],M_BOM[PPGridRow],34),0))/26.54</f>
        <v/>
      </c>
      <c r="AI68">
        <f>SUMPRODUCT((M_BOM[Part Name]=$A68)*M_BOM[RM_Qty_Per_Batch]*IFERROR(INDEX(PP_Grid[#Data],M_BOM[PPGridRow],35),0))/26.54</f>
        <v/>
      </c>
      <c r="AJ68">
        <f>SUMPRODUCT((M_BOM[Part Name]=$A68)*M_BOM[RM_Qty_Per_Batch]*IFERROR(INDEX(PP_Grid[#Data],M_BOM[PPGridRow],36),0))/26.54</f>
        <v/>
      </c>
      <c r="AK68">
        <f>SUMPRODUCT((M_BOM[Part Name]=$A68)*M_BOM[RM_Qty_Per_Batch]*IFERROR(INDEX(PP_Grid[#Data],M_BOM[PPGridRow],37),0))/26.54</f>
        <v/>
      </c>
      <c r="AL68">
        <f>SUMPRODUCT((M_BOM[Part Name]=$A68)*M_BOM[RM_Qty_Per_Batch]*IFERROR(INDEX(PP_Grid[#Data],M_BOM[PPGridRow],38),0))/26.54</f>
        <v/>
      </c>
      <c r="AM68">
        <f>SUMPRODUCT((M_BOM[Part Name]=$A68)*M_BOM[RM_Qty_Per_Batch]*IFERROR(INDEX(PP_Grid[#Data],M_BOM[PPGridRow],39),0))/26.54</f>
        <v/>
      </c>
      <c r="AN68">
        <f>SUMPRODUCT((M_BOM[Part Name]=$A68)*M_BOM[RM_Qty_Per_Batch]*IFERROR(INDEX(PP_Grid[#Data],M_BOM[PPGridRow],40),0))/26.54</f>
        <v/>
      </c>
      <c r="AO68">
        <f>SUMPRODUCT((M_BOM[Part Name]=$A68)*M_BOM[RM_Qty_Per_Batch]*IFERROR(INDEX(PP_Grid[#Data],M_BOM[PPGridRow],41),0))/26.54</f>
        <v/>
      </c>
      <c r="AP68">
        <f>SUMPRODUCT((M_BOM[Part Name]=$A68)*M_BOM[RM_Qty_Per_Batch]*IFERROR(INDEX(PP_Grid[#Data],M_BOM[PPGridRow],42),0))/26.54</f>
        <v/>
      </c>
      <c r="AQ68">
        <f>SUMPRODUCT((M_BOM[Part Name]=$A68)*M_BOM[RM_Qty_Per_Batch]*IFERROR(INDEX(PP_Grid[#Data],M_BOM[PPGridRow],43),0))/26.54</f>
        <v/>
      </c>
      <c r="AR68">
        <f>SUMPRODUCT((M_BOM[Part Name]=$A68)*M_BOM[RM_Qty_Per_Batch]*IFERROR(INDEX(PP_Grid[#Data],M_BOM[PPGridRow],44),0))/26.54</f>
        <v/>
      </c>
      <c r="AS68">
        <f>SUMPRODUCT((M_BOM[Part Name]=$A68)*M_BOM[RM_Qty_Per_Batch]*IFERROR(INDEX(PP_Grid[#Data],M_BOM[PPGridRow],45),0))/26.54</f>
        <v/>
      </c>
      <c r="AT68">
        <f>SUMPRODUCT((M_BOM[Part Name]=$A68)*M_BOM[RM_Qty_Per_Batch]*IFERROR(INDEX(PP_Grid[#Data],M_BOM[PPGridRow],46),0))/26.54</f>
        <v/>
      </c>
      <c r="AU68">
        <f>SUMPRODUCT((M_BOM[Part Name]=$A68)*M_BOM[RM_Qty_Per_Batch]*IFERROR(INDEX(PP_Grid[#Data],M_BOM[PPGridRow],47),0))/26.54</f>
        <v/>
      </c>
      <c r="AV68">
        <f>SUMPRODUCT((M_BOM[Part Name]=$A68)*M_BOM[RM_Qty_Per_Batch]*IFERROR(INDEX(PP_Grid[#Data],M_BOM[PPGridRow],48),0))/26.54</f>
        <v/>
      </c>
      <c r="AW68">
        <f>SUMPRODUCT((M_BOM[Part Name]=$A68)*M_BOM[RM_Qty_Per_Batch]*IFERROR(INDEX(PP_Grid[#Data],M_BOM[PPGridRow],49),0))/26.54</f>
        <v/>
      </c>
      <c r="AX68">
        <f>SUMPRODUCT((M_BOM[Part Name]=$A68)*M_BOM[RM_Qty_Per_Batch]*IFERROR(INDEX(PP_Grid[#Data],M_BOM[PPGridRow],50),0))/26.54</f>
        <v/>
      </c>
      <c r="AY68">
        <f>SUMPRODUCT((M_BOM[Part Name]=$A68)*M_BOM[RM_Qty_Per_Batch]*IFERROR(INDEX(PP_Grid[#Data],M_BOM[PPGridRow],51),0))/26.54</f>
        <v/>
      </c>
      <c r="AZ68">
        <f>SUMPRODUCT((M_BOM[Part Name]=$A68)*M_BOM[RM_Qty_Per_Batch]*IFERROR(INDEX(PP_Grid[#Data],M_BOM[PPGridRow],52),0))/26.54</f>
        <v/>
      </c>
      <c r="BA68">
        <f>SUMPRODUCT((M_BOM[Part Name]=$A68)*M_BOM[RM_Qty_Per_Batch]*IFERROR(INDEX(PP_Grid[#Data],M_BOM[PPGridRow],53),0))/26.54</f>
        <v/>
      </c>
      <c r="BB68">
        <f>SUMPRODUCT((M_BOM[Part Name]=$A68)*M_BOM[RM_Qty_Per_Batch]*IFERROR(INDEX(PP_Grid[#Data],M_BOM[PPGridRow],54),0))/26.54</f>
        <v/>
      </c>
      <c r="BC68">
        <f>SUMPRODUCT((M_BOM[Part Name]=$A68)*M_BOM[RM_Qty_Per_Batch]*IFERROR(INDEX(PP_Grid[#Data],M_BOM[PPGridRow],55),0))/26.54</f>
        <v/>
      </c>
      <c r="BD68">
        <f>SUMPRODUCT((M_BOM[Part Name]=$A68)*M_BOM[RM_Qty_Per_Batch]*IFERROR(INDEX(PP_Grid[#Data],M_BOM[PPGridRow],56),0))/26.54</f>
        <v/>
      </c>
      <c r="BE68">
        <f>SUMPRODUCT((M_BOM[Part Name]=$A68)*M_BOM[RM_Qty_Per_Batch]*IFERROR(INDEX(PP_Grid[#Data],M_BOM[PPGridRow],57),0))/26.54</f>
        <v/>
      </c>
      <c r="BF68">
        <f>SUMPRODUCT((M_BOM[Part Name]=$A68)*M_BOM[RM_Qty_Per_Batch]*IFERROR(INDEX(PP_Grid[#Data],M_BOM[PPGridRow],58),0))/26.54</f>
        <v/>
      </c>
      <c r="BG68">
        <f>SUMPRODUCT((M_BOM[Part Name]=$A68)*M_BOM[RM_Qty_Per_Batch]*IFERROR(INDEX(PP_Grid[#Data],M_BOM[PPGridRow],59),0))/26.54</f>
        <v/>
      </c>
      <c r="BH68">
        <f>SUMPRODUCT((M_BOM[Part Name]=$A68)*M_BOM[RM_Qty_Per_Batch]*IFERROR(INDEX(PP_Grid[#Data],M_BOM[PPGridRow],60),0))/26.54</f>
        <v/>
      </c>
      <c r="BI68">
        <f>SUMPRODUCT((M_BOM[Part Name]=$A68)*M_BOM[RM_Qty_Per_Batch]*IFERROR(INDEX(PP_Grid[#Data],M_BOM[PPGridRow],61),0))/26.54</f>
        <v/>
      </c>
      <c r="BJ68">
        <f>SUMPRODUCT((M_BOM[Part Name]=$A68)*M_BOM[RM_Qty_Per_Batch]*IFERROR(INDEX(PP_Grid[#Data],M_BOM[PPGridRow],62),0))/26.54</f>
        <v/>
      </c>
      <c r="BK68">
        <f>SUMPRODUCT((M_BOM[Part Name]=$A68)*M_BOM[RM_Qty_Per_Batch]*IFERROR(INDEX(PP_Grid[#Data],M_BOM[PPGridRow],63),0))/26.54</f>
        <v/>
      </c>
      <c r="BL68">
        <f>SUMPRODUCT((M_BOM[Part Name]=$A68)*M_BOM[RM_Qty_Per_Batch]*IFERROR(INDEX(PP_Grid[#Data],M_BOM[PPGridRow],64),0))/26.54</f>
        <v/>
      </c>
      <c r="BM68">
        <f>SUMPRODUCT((M_BOM[Part Name]=$A68)*M_BOM[RM_Qty_Per_Batch]*IFERROR(INDEX(PP_Grid[#Data],M_BOM[PPGridRow],65),0))/26.54</f>
        <v/>
      </c>
      <c r="BN68">
        <f>SUMPRODUCT((M_BOM[Part Name]=$A68)*M_BOM[RM_Qty_Per_Batch]*IFERROR(INDEX(PP_Grid[#Data],M_BOM[PPGridRow],66),0))/26.54</f>
        <v/>
      </c>
      <c r="BO68">
        <f>SUMPRODUCT((M_BOM[Part Name]=$A68)*M_BOM[RM_Qty_Per_Batch]*IFERROR(INDEX(PP_Grid[#Data],M_BOM[PPGridRow],67),0))/26.54</f>
        <v/>
      </c>
      <c r="BP68">
        <f>SUMPRODUCT((M_BOM[Part Name]=$A68)*M_BOM[RM_Qty_Per_Batch]*IFERROR(INDEX(PP_Grid[#Data],M_BOM[PPGridRow],68),0))/26.54</f>
        <v/>
      </c>
      <c r="BQ68">
        <f>SUMPRODUCT((M_BOM[Part Name]=$A68)*M_BOM[RM_Qty_Per_Batch]*IFERROR(INDEX(PP_Grid[#Data],M_BOM[PPGridRow],69),0))/26.54</f>
        <v/>
      </c>
      <c r="BR68">
        <f>SUMPRODUCT((M_BOM[Part Name]=$A68)*M_BOM[RM_Qty_Per_Batch]*IFERROR(INDEX(PP_Grid[#Data],M_BOM[PPGridRow],70),0))/26.54</f>
        <v/>
      </c>
      <c r="BS68">
        <f>SUMPRODUCT((M_BOM[Part Name]=$A68)*M_BOM[RM_Qty_Per_Batch]*IFERROR(INDEX(PP_Grid[#Data],M_BOM[PPGridRow],71),0))/26.54</f>
        <v/>
      </c>
      <c r="BT68">
        <f>SUMPRODUCT((M_BOM[Part Name]=$A68)*M_BOM[RM_Qty_Per_Batch]*IFERROR(INDEX(PP_Grid[#Data],M_BOM[PPGridRow],72),0))/26.54</f>
        <v/>
      </c>
      <c r="BU68">
        <f>SUMPRODUCT((M_BOM[Part Name]=$A68)*M_BOM[RM_Qty_Per_Batch]*IFERROR(INDEX(PP_Grid[#Data],M_BOM[PPGridRow],73),0))/26.54</f>
        <v/>
      </c>
      <c r="BV68">
        <f>SUMPRODUCT((M_BOM[Part Name]=$A68)*M_BOM[RM_Qty_Per_Batch]*IFERROR(INDEX(PP_Grid[#Data],M_BOM[PPGridRow],74),0))/26.54</f>
        <v/>
      </c>
      <c r="BW68">
        <f>SUMPRODUCT((M_BOM[Part Name]=$A68)*M_BOM[RM_Qty_Per_Batch]*IFERROR(INDEX(PP_Grid[#Data],M_BOM[PPGridRow],75),0))/26.54</f>
        <v/>
      </c>
      <c r="BX68">
        <f>SUMPRODUCT((M_BOM[Part Name]=$A68)*M_BOM[RM_Qty_Per_Batch]*IFERROR(INDEX(PP_Grid[#Data],M_BOM[PPGridRow],76),0))/26.54</f>
        <v/>
      </c>
      <c r="BY68">
        <f>SUMPRODUCT((M_BOM[Part Name]=$A68)*M_BOM[RM_Qty_Per_Batch]*IFERROR(INDEX(PP_Grid[#Data],M_BOM[PPGridRow],77),0))/26.54</f>
        <v/>
      </c>
      <c r="BZ68">
        <f>SUMPRODUCT((M_BOM[Part Name]=$A68)*M_BOM[RM_Qty_Per_Batch]*IFERROR(INDEX(PP_Grid[#Data],M_BOM[PPGridRow],78),0))/26.54</f>
        <v/>
      </c>
      <c r="CA68">
        <f>SUMPRODUCT((M_BOM[Part Name]=$A68)*M_BOM[RM_Qty_Per_Batch]*IFERROR(INDEX(PP_Grid[#Data],M_BOM[PPGridRow],79),0))/26.54</f>
        <v/>
      </c>
      <c r="CB68">
        <f>SUMPRODUCT((M_BOM[Part Name]=$A68)*M_BOM[RM_Qty_Per_Batch]*IFERROR(INDEX(PP_Grid[#Data],M_BOM[PPGridRow],80),0))/26.54</f>
        <v/>
      </c>
      <c r="CC68">
        <f>SUMPRODUCT((M_BOM[Part Name]=$A68)*M_BOM[RM_Qty_Per_Batch]*IFERROR(INDEX(PP_Grid[#Data],M_BOM[PPGridRow],81),0))/26.54</f>
        <v/>
      </c>
      <c r="CD68">
        <f>SUMPRODUCT((M_BOM[Part Name]=$A68)*M_BOM[RM_Qty_Per_Batch]*IFERROR(INDEX(PP_Grid[#Data],M_BOM[PPGridRow],82),0))/26.54</f>
        <v/>
      </c>
      <c r="CE68">
        <f>SUMPRODUCT((M_BOM[Part Name]=$A68)*M_BOM[RM_Qty_Per_Batch]*IFERROR(INDEX(PP_Grid[#Data],M_BOM[PPGridRow],83),0))/26.54</f>
        <v/>
      </c>
      <c r="CF68">
        <f>SUMPRODUCT((M_BOM[Part Name]=$A68)*M_BOM[RM_Qty_Per_Batch]*IFERROR(INDEX(PP_Grid[#Data],M_BOM[PPGridRow],84),0))/26.54</f>
        <v/>
      </c>
      <c r="CG68">
        <f>SUMPRODUCT((M_BOM[Part Name]=$A68)*M_BOM[RM_Qty_Per_Batch]*IFERROR(INDEX(PP_Grid[#Data],M_BOM[PPGridRow],85),0))/26.54</f>
        <v/>
      </c>
      <c r="CH68">
        <f>SUMPRODUCT((M_BOM[Part Name]=$A68)*M_BOM[RM_Qty_Per_Batch]*IFERROR(INDEX(PP_Grid[#Data],M_BOM[PPGridRow],86),0))/26.54</f>
        <v/>
      </c>
      <c r="CI68">
        <f>SUMPRODUCT((M_BOM[Part Name]=$A68)*M_BOM[RM_Qty_Per_Batch]*IFERROR(INDEX(PP_Grid[#Data],M_BOM[PPGridRow],87),0))/26.54</f>
        <v/>
      </c>
      <c r="CJ68">
        <f>SUMPRODUCT((M_BOM[Part Name]=$A68)*M_BOM[RM_Qty_Per_Batch]*IFERROR(INDEX(PP_Grid[#Data],M_BOM[PPGridRow],88),0))/26.54</f>
        <v/>
      </c>
      <c r="CK68">
        <f>SUMPRODUCT((M_BOM[Part Name]=$A68)*M_BOM[RM_Qty_Per_Batch]*IFERROR(INDEX(PP_Grid[#Data],M_BOM[PPGridRow],89),0))/26.54</f>
        <v/>
      </c>
      <c r="CL68">
        <f>SUMPRODUCT((M_BOM[Part Name]=$A68)*M_BOM[RM_Qty_Per_Batch]*IFERROR(INDEX(PP_Grid[#Data],M_BOM[PPGridRow],90),0))/26.54</f>
        <v/>
      </c>
      <c r="CM68">
        <f>SUMPRODUCT((M_BOM[Part Name]=$A68)*M_BOM[RM_Qty_Per_Batch]*IFERROR(INDEX(PP_Grid[#Data],M_BOM[PPGridRow],91),0))/26.54</f>
        <v/>
      </c>
      <c r="CN68">
        <f>SUMPRODUCT((M_BOM[Part Name]=$A68)*M_BOM[RM_Qty_Per_Batch]*IFERROR(INDEX(PP_Grid[#Data],M_BOM[PPGridRow],92),0))/26.54</f>
        <v/>
      </c>
      <c r="CO68">
        <f>SUMPRODUCT((M_BOM[Part Name]=$A68)*M_BOM[RM_Qty_Per_Batch]*IFERROR(INDEX(PP_Grid[#Data],M_BOM[PPGridRow],93),0))/26.54</f>
        <v/>
      </c>
      <c r="CP68">
        <f>SUMPRODUCT((M_BOM[Part Name]=$A68)*M_BOM[RM_Qty_Per_Batch]*IFERROR(INDEX(PP_Grid[#Data],M_BOM[PPGridRow],94),0))/26.54</f>
        <v/>
      </c>
      <c r="CQ68">
        <f>SUMPRODUCT((M_BOM[Part Name]=$A68)*M_BOM[RM_Qty_Per_Batch]*IFERROR(INDEX(PP_Grid[#Data],M_BOM[PPGridRow],95),0))/26.54</f>
        <v/>
      </c>
      <c r="CR68">
        <f>SUMPRODUCT((M_BOM[Part Name]=$A68)*M_BOM[RM_Qty_Per_Batch]*IFERROR(INDEX(PP_Grid[#Data],M_BOM[PPGridRow],96),0))/26.54</f>
        <v/>
      </c>
      <c r="CS68">
        <f>SUMPRODUCT((M_BOM[Part Name]=$A68)*M_BOM[RM_Qty_Per_Batch]*IFERROR(INDEX(PP_Grid[#Data],M_BOM[PPGridRow],97),0))/26.54</f>
        <v/>
      </c>
      <c r="CT68">
        <f>SUMPRODUCT((M_BOM[Part Name]=$A68)*M_BOM[RM_Qty_Per_Batch]*IFERROR(INDEX(PP_Grid[#Data],M_BOM[PPGridRow],98),0))/26.54</f>
        <v/>
      </c>
      <c r="CU68">
        <f>SUMPRODUCT((M_BOM[Part Name]=$A68)*M_BOM[RM_Qty_Per_Batch]*IFERROR(INDEX(PP_Grid[#Data],M_BOM[PPGridRow],99),0))/26.54</f>
        <v/>
      </c>
      <c r="CV68">
        <f>SUMPRODUCT((M_BOM[Part Name]=$A68)*M_BOM[RM_Qty_Per_Batch]*IFERROR(INDEX(PP_Grid[#Data],M_BOM[PPGridRow],100),0))/26.54</f>
        <v/>
      </c>
      <c r="CW68">
        <f>SUMPRODUCT((M_BOM[Part Name]=$A68)*M_BOM[RM_Qty_Per_Batch]*IFERROR(INDEX(PP_Grid[#Data],M_BOM[PPGridRow],101),0))/26.54</f>
        <v/>
      </c>
      <c r="CX68">
        <f>SUMPRODUCT((M_BOM[Part Name]=$A68)*M_BOM[RM_Qty_Per_Batch]*IFERROR(INDEX(PP_Grid[#Data],M_BOM[PPGridRow],102),0))/26.54</f>
        <v/>
      </c>
      <c r="CY68">
        <f>SUMPRODUCT((M_BOM[Part Name]=$A68)*M_BOM[RM_Qty_Per_Batch]*IFERROR(INDEX(PP_Grid[#Data],M_BOM[PPGridRow],103),0))/26.54</f>
        <v/>
      </c>
      <c r="CZ68">
        <f>SUMPRODUCT((M_BOM[Part Name]=$A68)*M_BOM[RM_Qty_Per_Batch]*IFERROR(INDEX(PP_Grid[#Data],M_BOM[PPGridRow],104),0))/26.54</f>
        <v/>
      </c>
      <c r="DA68">
        <f>SUMPRODUCT((M_BOM[Part Name]=$A68)*M_BOM[RM_Qty_Per_Batch]*IFERROR(INDEX(PP_Grid[#Data],M_BOM[PPGridRow],105),0))/26.54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Name]=$A69)*M_BOM[RM_Qty_Per_Batch]*IFERROR(INDEX(PP_Grid[#Data],M_BOM[PPGridRow],2),0))/27.79</f>
        <v/>
      </c>
      <c r="C69">
        <f>SUMPRODUCT((M_BOM[Part Name]=$A69)*M_BOM[RM_Qty_Per_Batch]*IFERROR(INDEX(PP_Grid[#Data],M_BOM[PPGridRow],3),0))/27.79</f>
        <v/>
      </c>
      <c r="D69">
        <f>SUMPRODUCT((M_BOM[Part Name]=$A69)*M_BOM[RM_Qty_Per_Batch]*IFERROR(INDEX(PP_Grid[#Data],M_BOM[PPGridRow],4),0))/27.79</f>
        <v/>
      </c>
      <c r="E69">
        <f>SUMPRODUCT((M_BOM[Part Name]=$A69)*M_BOM[RM_Qty_Per_Batch]*IFERROR(INDEX(PP_Grid[#Data],M_BOM[PPGridRow],5),0))/27.79</f>
        <v/>
      </c>
      <c r="F69">
        <f>SUMPRODUCT((M_BOM[Part Name]=$A69)*M_BOM[RM_Qty_Per_Batch]*IFERROR(INDEX(PP_Grid[#Data],M_BOM[PPGridRow],6),0))/27.79</f>
        <v/>
      </c>
      <c r="G69">
        <f>SUMPRODUCT((M_BOM[Part Name]=$A69)*M_BOM[RM_Qty_Per_Batch]*IFERROR(INDEX(PP_Grid[#Data],M_BOM[PPGridRow],7),0))/27.79</f>
        <v/>
      </c>
      <c r="H69">
        <f>SUMPRODUCT((M_BOM[Part Name]=$A69)*M_BOM[RM_Qty_Per_Batch]*IFERROR(INDEX(PP_Grid[#Data],M_BOM[PPGridRow],8),0))/27.79</f>
        <v/>
      </c>
      <c r="I69">
        <f>SUMPRODUCT((M_BOM[Part Name]=$A69)*M_BOM[RM_Qty_Per_Batch]*IFERROR(INDEX(PP_Grid[#Data],M_BOM[PPGridRow],9),0))/27.79</f>
        <v/>
      </c>
      <c r="J69">
        <f>SUMPRODUCT((M_BOM[Part Name]=$A69)*M_BOM[RM_Qty_Per_Batch]*IFERROR(INDEX(PP_Grid[#Data],M_BOM[PPGridRow],10),0))/27.79</f>
        <v/>
      </c>
      <c r="K69">
        <f>SUMPRODUCT((M_BOM[Part Name]=$A69)*M_BOM[RM_Qty_Per_Batch]*IFERROR(INDEX(PP_Grid[#Data],M_BOM[PPGridRow],11),0))/27.79</f>
        <v/>
      </c>
      <c r="L69">
        <f>SUMPRODUCT((M_BOM[Part Name]=$A69)*M_BOM[RM_Qty_Per_Batch]*IFERROR(INDEX(PP_Grid[#Data],M_BOM[PPGridRow],12),0))/27.79</f>
        <v/>
      </c>
      <c r="M69">
        <f>SUMPRODUCT((M_BOM[Part Name]=$A69)*M_BOM[RM_Qty_Per_Batch]*IFERROR(INDEX(PP_Grid[#Data],M_BOM[PPGridRow],13),0))/27.79</f>
        <v/>
      </c>
      <c r="N69">
        <f>SUMPRODUCT((M_BOM[Part Name]=$A69)*M_BOM[RM_Qty_Per_Batch]*IFERROR(INDEX(PP_Grid[#Data],M_BOM[PPGridRow],14),0))/27.79</f>
        <v/>
      </c>
      <c r="O69">
        <f>SUMPRODUCT((M_BOM[Part Name]=$A69)*M_BOM[RM_Qty_Per_Batch]*IFERROR(INDEX(PP_Grid[#Data],M_BOM[PPGridRow],15),0))/27.79</f>
        <v/>
      </c>
      <c r="P69">
        <f>SUMPRODUCT((M_BOM[Part Name]=$A69)*M_BOM[RM_Qty_Per_Batch]*IFERROR(INDEX(PP_Grid[#Data],M_BOM[PPGridRow],16),0))/27.79</f>
        <v/>
      </c>
      <c r="Q69">
        <f>SUMPRODUCT((M_BOM[Part Name]=$A69)*M_BOM[RM_Qty_Per_Batch]*IFERROR(INDEX(PP_Grid[#Data],M_BOM[PPGridRow],17),0))/27.79</f>
        <v/>
      </c>
      <c r="R69">
        <f>SUMPRODUCT((M_BOM[Part Name]=$A69)*M_BOM[RM_Qty_Per_Batch]*IFERROR(INDEX(PP_Grid[#Data],M_BOM[PPGridRow],18),0))/27.79</f>
        <v/>
      </c>
      <c r="S69">
        <f>SUMPRODUCT((M_BOM[Part Name]=$A69)*M_BOM[RM_Qty_Per_Batch]*IFERROR(INDEX(PP_Grid[#Data],M_BOM[PPGridRow],19),0))/27.79</f>
        <v/>
      </c>
      <c r="T69">
        <f>SUMPRODUCT((M_BOM[Part Name]=$A69)*M_BOM[RM_Qty_Per_Batch]*IFERROR(INDEX(PP_Grid[#Data],M_BOM[PPGridRow],20),0))/27.79</f>
        <v/>
      </c>
      <c r="U69">
        <f>SUMPRODUCT((M_BOM[Part Name]=$A69)*M_BOM[RM_Qty_Per_Batch]*IFERROR(INDEX(PP_Grid[#Data],M_BOM[PPGridRow],21),0))/27.79</f>
        <v/>
      </c>
      <c r="V69">
        <f>SUMPRODUCT((M_BOM[Part Name]=$A69)*M_BOM[RM_Qty_Per_Batch]*IFERROR(INDEX(PP_Grid[#Data],M_BOM[PPGridRow],22),0))/27.79</f>
        <v/>
      </c>
      <c r="W69">
        <f>SUMPRODUCT((M_BOM[Part Name]=$A69)*M_BOM[RM_Qty_Per_Batch]*IFERROR(INDEX(PP_Grid[#Data],M_BOM[PPGridRow],23),0))/27.79</f>
        <v/>
      </c>
      <c r="X69">
        <f>SUMPRODUCT((M_BOM[Part Name]=$A69)*M_BOM[RM_Qty_Per_Batch]*IFERROR(INDEX(PP_Grid[#Data],M_BOM[PPGridRow],24),0))/27.79</f>
        <v/>
      </c>
      <c r="Y69">
        <f>SUMPRODUCT((M_BOM[Part Name]=$A69)*M_BOM[RM_Qty_Per_Batch]*IFERROR(INDEX(PP_Grid[#Data],M_BOM[PPGridRow],25),0))/27.79</f>
        <v/>
      </c>
      <c r="Z69">
        <f>SUMPRODUCT((M_BOM[Part Name]=$A69)*M_BOM[RM_Qty_Per_Batch]*IFERROR(INDEX(PP_Grid[#Data],M_BOM[PPGridRow],26),0))/27.79</f>
        <v/>
      </c>
      <c r="AA69">
        <f>SUMPRODUCT((M_BOM[Part Name]=$A69)*M_BOM[RM_Qty_Per_Batch]*IFERROR(INDEX(PP_Grid[#Data],M_BOM[PPGridRow],27),0))/27.79</f>
        <v/>
      </c>
      <c r="AB69">
        <f>SUMPRODUCT((M_BOM[Part Name]=$A69)*M_BOM[RM_Qty_Per_Batch]*IFERROR(INDEX(PP_Grid[#Data],M_BOM[PPGridRow],28),0))/27.79</f>
        <v/>
      </c>
      <c r="AC69">
        <f>SUMPRODUCT((M_BOM[Part Name]=$A69)*M_BOM[RM_Qty_Per_Batch]*IFERROR(INDEX(PP_Grid[#Data],M_BOM[PPGridRow],29),0))/27.79</f>
        <v/>
      </c>
      <c r="AD69">
        <f>SUMPRODUCT((M_BOM[Part Name]=$A69)*M_BOM[RM_Qty_Per_Batch]*IFERROR(INDEX(PP_Grid[#Data],M_BOM[PPGridRow],30),0))/27.79</f>
        <v/>
      </c>
      <c r="AE69">
        <f>SUMPRODUCT((M_BOM[Part Name]=$A69)*M_BOM[RM_Qty_Per_Batch]*IFERROR(INDEX(PP_Grid[#Data],M_BOM[PPGridRow],31),0))/27.79</f>
        <v/>
      </c>
      <c r="AF69">
        <f>SUMPRODUCT((M_BOM[Part Name]=$A69)*M_BOM[RM_Qty_Per_Batch]*IFERROR(INDEX(PP_Grid[#Data],M_BOM[PPGridRow],32),0))/27.79</f>
        <v/>
      </c>
      <c r="AG69">
        <f>SUMPRODUCT((M_BOM[Part Name]=$A69)*M_BOM[RM_Qty_Per_Batch]*IFERROR(INDEX(PP_Grid[#Data],M_BOM[PPGridRow],33),0))/27.79</f>
        <v/>
      </c>
      <c r="AH69">
        <f>SUMPRODUCT((M_BOM[Part Name]=$A69)*M_BOM[RM_Qty_Per_Batch]*IFERROR(INDEX(PP_Grid[#Data],M_BOM[PPGridRow],34),0))/27.79</f>
        <v/>
      </c>
      <c r="AI69">
        <f>SUMPRODUCT((M_BOM[Part Name]=$A69)*M_BOM[RM_Qty_Per_Batch]*IFERROR(INDEX(PP_Grid[#Data],M_BOM[PPGridRow],35),0))/27.79</f>
        <v/>
      </c>
      <c r="AJ69">
        <f>SUMPRODUCT((M_BOM[Part Name]=$A69)*M_BOM[RM_Qty_Per_Batch]*IFERROR(INDEX(PP_Grid[#Data],M_BOM[PPGridRow],36),0))/27.79</f>
        <v/>
      </c>
      <c r="AK69">
        <f>SUMPRODUCT((M_BOM[Part Name]=$A69)*M_BOM[RM_Qty_Per_Batch]*IFERROR(INDEX(PP_Grid[#Data],M_BOM[PPGridRow],37),0))/27.79</f>
        <v/>
      </c>
      <c r="AL69">
        <f>SUMPRODUCT((M_BOM[Part Name]=$A69)*M_BOM[RM_Qty_Per_Batch]*IFERROR(INDEX(PP_Grid[#Data],M_BOM[PPGridRow],38),0))/27.79</f>
        <v/>
      </c>
      <c r="AM69">
        <f>SUMPRODUCT((M_BOM[Part Name]=$A69)*M_BOM[RM_Qty_Per_Batch]*IFERROR(INDEX(PP_Grid[#Data],M_BOM[PPGridRow],39),0))/27.79</f>
        <v/>
      </c>
      <c r="AN69">
        <f>SUMPRODUCT((M_BOM[Part Name]=$A69)*M_BOM[RM_Qty_Per_Batch]*IFERROR(INDEX(PP_Grid[#Data],M_BOM[PPGridRow],40),0))/27.79</f>
        <v/>
      </c>
      <c r="AO69">
        <f>SUMPRODUCT((M_BOM[Part Name]=$A69)*M_BOM[RM_Qty_Per_Batch]*IFERROR(INDEX(PP_Grid[#Data],M_BOM[PPGridRow],41),0))/27.79</f>
        <v/>
      </c>
      <c r="AP69">
        <f>SUMPRODUCT((M_BOM[Part Name]=$A69)*M_BOM[RM_Qty_Per_Batch]*IFERROR(INDEX(PP_Grid[#Data],M_BOM[PPGridRow],42),0))/27.79</f>
        <v/>
      </c>
      <c r="AQ69">
        <f>SUMPRODUCT((M_BOM[Part Name]=$A69)*M_BOM[RM_Qty_Per_Batch]*IFERROR(INDEX(PP_Grid[#Data],M_BOM[PPGridRow],43),0))/27.79</f>
        <v/>
      </c>
      <c r="AR69">
        <f>SUMPRODUCT((M_BOM[Part Name]=$A69)*M_BOM[RM_Qty_Per_Batch]*IFERROR(INDEX(PP_Grid[#Data],M_BOM[PPGridRow],44),0))/27.79</f>
        <v/>
      </c>
      <c r="AS69">
        <f>SUMPRODUCT((M_BOM[Part Name]=$A69)*M_BOM[RM_Qty_Per_Batch]*IFERROR(INDEX(PP_Grid[#Data],M_BOM[PPGridRow],45),0))/27.79</f>
        <v/>
      </c>
      <c r="AT69">
        <f>SUMPRODUCT((M_BOM[Part Name]=$A69)*M_BOM[RM_Qty_Per_Batch]*IFERROR(INDEX(PP_Grid[#Data],M_BOM[PPGridRow],46),0))/27.79</f>
        <v/>
      </c>
      <c r="AU69">
        <f>SUMPRODUCT((M_BOM[Part Name]=$A69)*M_BOM[RM_Qty_Per_Batch]*IFERROR(INDEX(PP_Grid[#Data],M_BOM[PPGridRow],47),0))/27.79</f>
        <v/>
      </c>
      <c r="AV69">
        <f>SUMPRODUCT((M_BOM[Part Name]=$A69)*M_BOM[RM_Qty_Per_Batch]*IFERROR(INDEX(PP_Grid[#Data],M_BOM[PPGridRow],48),0))/27.79</f>
        <v/>
      </c>
      <c r="AW69">
        <f>SUMPRODUCT((M_BOM[Part Name]=$A69)*M_BOM[RM_Qty_Per_Batch]*IFERROR(INDEX(PP_Grid[#Data],M_BOM[PPGridRow],49),0))/27.79</f>
        <v/>
      </c>
      <c r="AX69">
        <f>SUMPRODUCT((M_BOM[Part Name]=$A69)*M_BOM[RM_Qty_Per_Batch]*IFERROR(INDEX(PP_Grid[#Data],M_BOM[PPGridRow],50),0))/27.79</f>
        <v/>
      </c>
      <c r="AY69">
        <f>SUMPRODUCT((M_BOM[Part Name]=$A69)*M_BOM[RM_Qty_Per_Batch]*IFERROR(INDEX(PP_Grid[#Data],M_BOM[PPGridRow],51),0))/27.79</f>
        <v/>
      </c>
      <c r="AZ69">
        <f>SUMPRODUCT((M_BOM[Part Name]=$A69)*M_BOM[RM_Qty_Per_Batch]*IFERROR(INDEX(PP_Grid[#Data],M_BOM[PPGridRow],52),0))/27.79</f>
        <v/>
      </c>
      <c r="BA69">
        <f>SUMPRODUCT((M_BOM[Part Name]=$A69)*M_BOM[RM_Qty_Per_Batch]*IFERROR(INDEX(PP_Grid[#Data],M_BOM[PPGridRow],53),0))/27.79</f>
        <v/>
      </c>
      <c r="BB69">
        <f>SUMPRODUCT((M_BOM[Part Name]=$A69)*M_BOM[RM_Qty_Per_Batch]*IFERROR(INDEX(PP_Grid[#Data],M_BOM[PPGridRow],54),0))/27.79</f>
        <v/>
      </c>
      <c r="BC69">
        <f>SUMPRODUCT((M_BOM[Part Name]=$A69)*M_BOM[RM_Qty_Per_Batch]*IFERROR(INDEX(PP_Grid[#Data],M_BOM[PPGridRow],55),0))/27.79</f>
        <v/>
      </c>
      <c r="BD69">
        <f>SUMPRODUCT((M_BOM[Part Name]=$A69)*M_BOM[RM_Qty_Per_Batch]*IFERROR(INDEX(PP_Grid[#Data],M_BOM[PPGridRow],56),0))/27.79</f>
        <v/>
      </c>
      <c r="BE69">
        <f>SUMPRODUCT((M_BOM[Part Name]=$A69)*M_BOM[RM_Qty_Per_Batch]*IFERROR(INDEX(PP_Grid[#Data],M_BOM[PPGridRow],57),0))/27.79</f>
        <v/>
      </c>
      <c r="BF69">
        <f>SUMPRODUCT((M_BOM[Part Name]=$A69)*M_BOM[RM_Qty_Per_Batch]*IFERROR(INDEX(PP_Grid[#Data],M_BOM[PPGridRow],58),0))/27.79</f>
        <v/>
      </c>
      <c r="BG69">
        <f>SUMPRODUCT((M_BOM[Part Name]=$A69)*M_BOM[RM_Qty_Per_Batch]*IFERROR(INDEX(PP_Grid[#Data],M_BOM[PPGridRow],59),0))/27.79</f>
        <v/>
      </c>
      <c r="BH69">
        <f>SUMPRODUCT((M_BOM[Part Name]=$A69)*M_BOM[RM_Qty_Per_Batch]*IFERROR(INDEX(PP_Grid[#Data],M_BOM[PPGridRow],60),0))/27.79</f>
        <v/>
      </c>
      <c r="BI69">
        <f>SUMPRODUCT((M_BOM[Part Name]=$A69)*M_BOM[RM_Qty_Per_Batch]*IFERROR(INDEX(PP_Grid[#Data],M_BOM[PPGridRow],61),0))/27.79</f>
        <v/>
      </c>
      <c r="BJ69">
        <f>SUMPRODUCT((M_BOM[Part Name]=$A69)*M_BOM[RM_Qty_Per_Batch]*IFERROR(INDEX(PP_Grid[#Data],M_BOM[PPGridRow],62),0))/27.79</f>
        <v/>
      </c>
      <c r="BK69">
        <f>SUMPRODUCT((M_BOM[Part Name]=$A69)*M_BOM[RM_Qty_Per_Batch]*IFERROR(INDEX(PP_Grid[#Data],M_BOM[PPGridRow],63),0))/27.79</f>
        <v/>
      </c>
      <c r="BL69">
        <f>SUMPRODUCT((M_BOM[Part Name]=$A69)*M_BOM[RM_Qty_Per_Batch]*IFERROR(INDEX(PP_Grid[#Data],M_BOM[PPGridRow],64),0))/27.79</f>
        <v/>
      </c>
      <c r="BM69">
        <f>SUMPRODUCT((M_BOM[Part Name]=$A69)*M_BOM[RM_Qty_Per_Batch]*IFERROR(INDEX(PP_Grid[#Data],M_BOM[PPGridRow],65),0))/27.79</f>
        <v/>
      </c>
      <c r="BN69">
        <f>SUMPRODUCT((M_BOM[Part Name]=$A69)*M_BOM[RM_Qty_Per_Batch]*IFERROR(INDEX(PP_Grid[#Data],M_BOM[PPGridRow],66),0))/27.79</f>
        <v/>
      </c>
      <c r="BO69">
        <f>SUMPRODUCT((M_BOM[Part Name]=$A69)*M_BOM[RM_Qty_Per_Batch]*IFERROR(INDEX(PP_Grid[#Data],M_BOM[PPGridRow],67),0))/27.79</f>
        <v/>
      </c>
      <c r="BP69">
        <f>SUMPRODUCT((M_BOM[Part Name]=$A69)*M_BOM[RM_Qty_Per_Batch]*IFERROR(INDEX(PP_Grid[#Data],M_BOM[PPGridRow],68),0))/27.79</f>
        <v/>
      </c>
      <c r="BQ69">
        <f>SUMPRODUCT((M_BOM[Part Name]=$A69)*M_BOM[RM_Qty_Per_Batch]*IFERROR(INDEX(PP_Grid[#Data],M_BOM[PPGridRow],69),0))/27.79</f>
        <v/>
      </c>
      <c r="BR69">
        <f>SUMPRODUCT((M_BOM[Part Name]=$A69)*M_BOM[RM_Qty_Per_Batch]*IFERROR(INDEX(PP_Grid[#Data],M_BOM[PPGridRow],70),0))/27.79</f>
        <v/>
      </c>
      <c r="BS69">
        <f>SUMPRODUCT((M_BOM[Part Name]=$A69)*M_BOM[RM_Qty_Per_Batch]*IFERROR(INDEX(PP_Grid[#Data],M_BOM[PPGridRow],71),0))/27.79</f>
        <v/>
      </c>
      <c r="BT69">
        <f>SUMPRODUCT((M_BOM[Part Name]=$A69)*M_BOM[RM_Qty_Per_Batch]*IFERROR(INDEX(PP_Grid[#Data],M_BOM[PPGridRow],72),0))/27.79</f>
        <v/>
      </c>
      <c r="BU69">
        <f>SUMPRODUCT((M_BOM[Part Name]=$A69)*M_BOM[RM_Qty_Per_Batch]*IFERROR(INDEX(PP_Grid[#Data],M_BOM[PPGridRow],73),0))/27.79</f>
        <v/>
      </c>
      <c r="BV69">
        <f>SUMPRODUCT((M_BOM[Part Name]=$A69)*M_BOM[RM_Qty_Per_Batch]*IFERROR(INDEX(PP_Grid[#Data],M_BOM[PPGridRow],74),0))/27.79</f>
        <v/>
      </c>
      <c r="BW69">
        <f>SUMPRODUCT((M_BOM[Part Name]=$A69)*M_BOM[RM_Qty_Per_Batch]*IFERROR(INDEX(PP_Grid[#Data],M_BOM[PPGridRow],75),0))/27.79</f>
        <v/>
      </c>
      <c r="BX69">
        <f>SUMPRODUCT((M_BOM[Part Name]=$A69)*M_BOM[RM_Qty_Per_Batch]*IFERROR(INDEX(PP_Grid[#Data],M_BOM[PPGridRow],76),0))/27.79</f>
        <v/>
      </c>
      <c r="BY69">
        <f>SUMPRODUCT((M_BOM[Part Name]=$A69)*M_BOM[RM_Qty_Per_Batch]*IFERROR(INDEX(PP_Grid[#Data],M_BOM[PPGridRow],77),0))/27.79</f>
        <v/>
      </c>
      <c r="BZ69">
        <f>SUMPRODUCT((M_BOM[Part Name]=$A69)*M_BOM[RM_Qty_Per_Batch]*IFERROR(INDEX(PP_Grid[#Data],M_BOM[PPGridRow],78),0))/27.79</f>
        <v/>
      </c>
      <c r="CA69">
        <f>SUMPRODUCT((M_BOM[Part Name]=$A69)*M_BOM[RM_Qty_Per_Batch]*IFERROR(INDEX(PP_Grid[#Data],M_BOM[PPGridRow],79),0))/27.79</f>
        <v/>
      </c>
      <c r="CB69">
        <f>SUMPRODUCT((M_BOM[Part Name]=$A69)*M_BOM[RM_Qty_Per_Batch]*IFERROR(INDEX(PP_Grid[#Data],M_BOM[PPGridRow],80),0))/27.79</f>
        <v/>
      </c>
      <c r="CC69">
        <f>SUMPRODUCT((M_BOM[Part Name]=$A69)*M_BOM[RM_Qty_Per_Batch]*IFERROR(INDEX(PP_Grid[#Data],M_BOM[PPGridRow],81),0))/27.79</f>
        <v/>
      </c>
      <c r="CD69">
        <f>SUMPRODUCT((M_BOM[Part Name]=$A69)*M_BOM[RM_Qty_Per_Batch]*IFERROR(INDEX(PP_Grid[#Data],M_BOM[PPGridRow],82),0))/27.79</f>
        <v/>
      </c>
      <c r="CE69">
        <f>SUMPRODUCT((M_BOM[Part Name]=$A69)*M_BOM[RM_Qty_Per_Batch]*IFERROR(INDEX(PP_Grid[#Data],M_BOM[PPGridRow],83),0))/27.79</f>
        <v/>
      </c>
      <c r="CF69">
        <f>SUMPRODUCT((M_BOM[Part Name]=$A69)*M_BOM[RM_Qty_Per_Batch]*IFERROR(INDEX(PP_Grid[#Data],M_BOM[PPGridRow],84),0))/27.79</f>
        <v/>
      </c>
      <c r="CG69">
        <f>SUMPRODUCT((M_BOM[Part Name]=$A69)*M_BOM[RM_Qty_Per_Batch]*IFERROR(INDEX(PP_Grid[#Data],M_BOM[PPGridRow],85),0))/27.79</f>
        <v/>
      </c>
      <c r="CH69">
        <f>SUMPRODUCT((M_BOM[Part Name]=$A69)*M_BOM[RM_Qty_Per_Batch]*IFERROR(INDEX(PP_Grid[#Data],M_BOM[PPGridRow],86),0))/27.79</f>
        <v/>
      </c>
      <c r="CI69">
        <f>SUMPRODUCT((M_BOM[Part Name]=$A69)*M_BOM[RM_Qty_Per_Batch]*IFERROR(INDEX(PP_Grid[#Data],M_BOM[PPGridRow],87),0))/27.79</f>
        <v/>
      </c>
      <c r="CJ69">
        <f>SUMPRODUCT((M_BOM[Part Name]=$A69)*M_BOM[RM_Qty_Per_Batch]*IFERROR(INDEX(PP_Grid[#Data],M_BOM[PPGridRow],88),0))/27.79</f>
        <v/>
      </c>
      <c r="CK69">
        <f>SUMPRODUCT((M_BOM[Part Name]=$A69)*M_BOM[RM_Qty_Per_Batch]*IFERROR(INDEX(PP_Grid[#Data],M_BOM[PPGridRow],89),0))/27.79</f>
        <v/>
      </c>
      <c r="CL69">
        <f>SUMPRODUCT((M_BOM[Part Name]=$A69)*M_BOM[RM_Qty_Per_Batch]*IFERROR(INDEX(PP_Grid[#Data],M_BOM[PPGridRow],90),0))/27.79</f>
        <v/>
      </c>
      <c r="CM69">
        <f>SUMPRODUCT((M_BOM[Part Name]=$A69)*M_BOM[RM_Qty_Per_Batch]*IFERROR(INDEX(PP_Grid[#Data],M_BOM[PPGridRow],91),0))/27.79</f>
        <v/>
      </c>
      <c r="CN69">
        <f>SUMPRODUCT((M_BOM[Part Name]=$A69)*M_BOM[RM_Qty_Per_Batch]*IFERROR(INDEX(PP_Grid[#Data],M_BOM[PPGridRow],92),0))/27.79</f>
        <v/>
      </c>
      <c r="CO69">
        <f>SUMPRODUCT((M_BOM[Part Name]=$A69)*M_BOM[RM_Qty_Per_Batch]*IFERROR(INDEX(PP_Grid[#Data],M_BOM[PPGridRow],93),0))/27.79</f>
        <v/>
      </c>
      <c r="CP69">
        <f>SUMPRODUCT((M_BOM[Part Name]=$A69)*M_BOM[RM_Qty_Per_Batch]*IFERROR(INDEX(PP_Grid[#Data],M_BOM[PPGridRow],94),0))/27.79</f>
        <v/>
      </c>
      <c r="CQ69">
        <f>SUMPRODUCT((M_BOM[Part Name]=$A69)*M_BOM[RM_Qty_Per_Batch]*IFERROR(INDEX(PP_Grid[#Data],M_BOM[PPGridRow],95),0))/27.79</f>
        <v/>
      </c>
      <c r="CR69">
        <f>SUMPRODUCT((M_BOM[Part Name]=$A69)*M_BOM[RM_Qty_Per_Batch]*IFERROR(INDEX(PP_Grid[#Data],M_BOM[PPGridRow],96),0))/27.79</f>
        <v/>
      </c>
      <c r="CS69">
        <f>SUMPRODUCT((M_BOM[Part Name]=$A69)*M_BOM[RM_Qty_Per_Batch]*IFERROR(INDEX(PP_Grid[#Data],M_BOM[PPGridRow],97),0))/27.79</f>
        <v/>
      </c>
      <c r="CT69">
        <f>SUMPRODUCT((M_BOM[Part Name]=$A69)*M_BOM[RM_Qty_Per_Batch]*IFERROR(INDEX(PP_Grid[#Data],M_BOM[PPGridRow],98),0))/27.79</f>
        <v/>
      </c>
      <c r="CU69">
        <f>SUMPRODUCT((M_BOM[Part Name]=$A69)*M_BOM[RM_Qty_Per_Batch]*IFERROR(INDEX(PP_Grid[#Data],M_BOM[PPGridRow],99),0))/27.79</f>
        <v/>
      </c>
      <c r="CV69">
        <f>SUMPRODUCT((M_BOM[Part Name]=$A69)*M_BOM[RM_Qty_Per_Batch]*IFERROR(INDEX(PP_Grid[#Data],M_BOM[PPGridRow],100),0))/27.79</f>
        <v/>
      </c>
      <c r="CW69">
        <f>SUMPRODUCT((M_BOM[Part Name]=$A69)*M_BOM[RM_Qty_Per_Batch]*IFERROR(INDEX(PP_Grid[#Data],M_BOM[PPGridRow],101),0))/27.79</f>
        <v/>
      </c>
      <c r="CX69">
        <f>SUMPRODUCT((M_BOM[Part Name]=$A69)*M_BOM[RM_Qty_Per_Batch]*IFERROR(INDEX(PP_Grid[#Data],M_BOM[PPGridRow],102),0))/27.79</f>
        <v/>
      </c>
      <c r="CY69">
        <f>SUMPRODUCT((M_BOM[Part Name]=$A69)*M_BOM[RM_Qty_Per_Batch]*IFERROR(INDEX(PP_Grid[#Data],M_BOM[PPGridRow],103),0))/27.79</f>
        <v/>
      </c>
      <c r="CZ69">
        <f>SUMPRODUCT((M_BOM[Part Name]=$A69)*M_BOM[RM_Qty_Per_Batch]*IFERROR(INDEX(PP_Grid[#Data],M_BOM[PPGridRow],104),0))/27.79</f>
        <v/>
      </c>
      <c r="DA69">
        <f>SUMPRODUCT((M_BOM[Part Name]=$A69)*M_BOM[RM_Qty_Per_Batch]*IFERROR(INDEX(PP_Grid[#Data],M_BOM[PPGridRow],105),0))/27.79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Name]=$A70)*M_BOM[RM_Qty_Per_Batch]*IFERROR(INDEX(PP_Grid[#Data],M_BOM[PPGridRow],2),0))/30.72</f>
        <v/>
      </c>
      <c r="C70">
        <f>SUMPRODUCT((M_BOM[Part Name]=$A70)*M_BOM[RM_Qty_Per_Batch]*IFERROR(INDEX(PP_Grid[#Data],M_BOM[PPGridRow],3),0))/30.72</f>
        <v/>
      </c>
      <c r="D70">
        <f>SUMPRODUCT((M_BOM[Part Name]=$A70)*M_BOM[RM_Qty_Per_Batch]*IFERROR(INDEX(PP_Grid[#Data],M_BOM[PPGridRow],4),0))/30.72</f>
        <v/>
      </c>
      <c r="E70">
        <f>SUMPRODUCT((M_BOM[Part Name]=$A70)*M_BOM[RM_Qty_Per_Batch]*IFERROR(INDEX(PP_Grid[#Data],M_BOM[PPGridRow],5),0))/30.72</f>
        <v/>
      </c>
      <c r="F70">
        <f>SUMPRODUCT((M_BOM[Part Name]=$A70)*M_BOM[RM_Qty_Per_Batch]*IFERROR(INDEX(PP_Grid[#Data],M_BOM[PPGridRow],6),0))/30.72</f>
        <v/>
      </c>
      <c r="G70">
        <f>SUMPRODUCT((M_BOM[Part Name]=$A70)*M_BOM[RM_Qty_Per_Batch]*IFERROR(INDEX(PP_Grid[#Data],M_BOM[PPGridRow],7),0))/30.72</f>
        <v/>
      </c>
      <c r="H70">
        <f>SUMPRODUCT((M_BOM[Part Name]=$A70)*M_BOM[RM_Qty_Per_Batch]*IFERROR(INDEX(PP_Grid[#Data],M_BOM[PPGridRow],8),0))/30.72</f>
        <v/>
      </c>
      <c r="I70">
        <f>SUMPRODUCT((M_BOM[Part Name]=$A70)*M_BOM[RM_Qty_Per_Batch]*IFERROR(INDEX(PP_Grid[#Data],M_BOM[PPGridRow],9),0))/30.72</f>
        <v/>
      </c>
      <c r="J70">
        <f>SUMPRODUCT((M_BOM[Part Name]=$A70)*M_BOM[RM_Qty_Per_Batch]*IFERROR(INDEX(PP_Grid[#Data],M_BOM[PPGridRow],10),0))/30.72</f>
        <v/>
      </c>
      <c r="K70">
        <f>SUMPRODUCT((M_BOM[Part Name]=$A70)*M_BOM[RM_Qty_Per_Batch]*IFERROR(INDEX(PP_Grid[#Data],M_BOM[PPGridRow],11),0))/30.72</f>
        <v/>
      </c>
      <c r="L70">
        <f>SUMPRODUCT((M_BOM[Part Name]=$A70)*M_BOM[RM_Qty_Per_Batch]*IFERROR(INDEX(PP_Grid[#Data],M_BOM[PPGridRow],12),0))/30.72</f>
        <v/>
      </c>
      <c r="M70">
        <f>SUMPRODUCT((M_BOM[Part Name]=$A70)*M_BOM[RM_Qty_Per_Batch]*IFERROR(INDEX(PP_Grid[#Data],M_BOM[PPGridRow],13),0))/30.72</f>
        <v/>
      </c>
      <c r="N70">
        <f>SUMPRODUCT((M_BOM[Part Name]=$A70)*M_BOM[RM_Qty_Per_Batch]*IFERROR(INDEX(PP_Grid[#Data],M_BOM[PPGridRow],14),0))/30.72</f>
        <v/>
      </c>
      <c r="O70">
        <f>SUMPRODUCT((M_BOM[Part Name]=$A70)*M_BOM[RM_Qty_Per_Batch]*IFERROR(INDEX(PP_Grid[#Data],M_BOM[PPGridRow],15),0))/30.72</f>
        <v/>
      </c>
      <c r="P70">
        <f>SUMPRODUCT((M_BOM[Part Name]=$A70)*M_BOM[RM_Qty_Per_Batch]*IFERROR(INDEX(PP_Grid[#Data],M_BOM[PPGridRow],16),0))/30.72</f>
        <v/>
      </c>
      <c r="Q70">
        <f>SUMPRODUCT((M_BOM[Part Name]=$A70)*M_BOM[RM_Qty_Per_Batch]*IFERROR(INDEX(PP_Grid[#Data],M_BOM[PPGridRow],17),0))/30.72</f>
        <v/>
      </c>
      <c r="R70">
        <f>SUMPRODUCT((M_BOM[Part Name]=$A70)*M_BOM[RM_Qty_Per_Batch]*IFERROR(INDEX(PP_Grid[#Data],M_BOM[PPGridRow],18),0))/30.72</f>
        <v/>
      </c>
      <c r="S70">
        <f>SUMPRODUCT((M_BOM[Part Name]=$A70)*M_BOM[RM_Qty_Per_Batch]*IFERROR(INDEX(PP_Grid[#Data],M_BOM[PPGridRow],19),0))/30.72</f>
        <v/>
      </c>
      <c r="T70">
        <f>SUMPRODUCT((M_BOM[Part Name]=$A70)*M_BOM[RM_Qty_Per_Batch]*IFERROR(INDEX(PP_Grid[#Data],M_BOM[PPGridRow],20),0))/30.72</f>
        <v/>
      </c>
      <c r="U70">
        <f>SUMPRODUCT((M_BOM[Part Name]=$A70)*M_BOM[RM_Qty_Per_Batch]*IFERROR(INDEX(PP_Grid[#Data],M_BOM[PPGridRow],21),0))/30.72</f>
        <v/>
      </c>
      <c r="V70">
        <f>SUMPRODUCT((M_BOM[Part Name]=$A70)*M_BOM[RM_Qty_Per_Batch]*IFERROR(INDEX(PP_Grid[#Data],M_BOM[PPGridRow],22),0))/30.72</f>
        <v/>
      </c>
      <c r="W70">
        <f>SUMPRODUCT((M_BOM[Part Name]=$A70)*M_BOM[RM_Qty_Per_Batch]*IFERROR(INDEX(PP_Grid[#Data],M_BOM[PPGridRow],23),0))/30.72</f>
        <v/>
      </c>
      <c r="X70">
        <f>SUMPRODUCT((M_BOM[Part Name]=$A70)*M_BOM[RM_Qty_Per_Batch]*IFERROR(INDEX(PP_Grid[#Data],M_BOM[PPGridRow],24),0))/30.72</f>
        <v/>
      </c>
      <c r="Y70">
        <f>SUMPRODUCT((M_BOM[Part Name]=$A70)*M_BOM[RM_Qty_Per_Batch]*IFERROR(INDEX(PP_Grid[#Data],M_BOM[PPGridRow],25),0))/30.72</f>
        <v/>
      </c>
      <c r="Z70">
        <f>SUMPRODUCT((M_BOM[Part Name]=$A70)*M_BOM[RM_Qty_Per_Batch]*IFERROR(INDEX(PP_Grid[#Data],M_BOM[PPGridRow],26),0))/30.72</f>
        <v/>
      </c>
      <c r="AA70">
        <f>SUMPRODUCT((M_BOM[Part Name]=$A70)*M_BOM[RM_Qty_Per_Batch]*IFERROR(INDEX(PP_Grid[#Data],M_BOM[PPGridRow],27),0))/30.72</f>
        <v/>
      </c>
      <c r="AB70">
        <f>SUMPRODUCT((M_BOM[Part Name]=$A70)*M_BOM[RM_Qty_Per_Batch]*IFERROR(INDEX(PP_Grid[#Data],M_BOM[PPGridRow],28),0))/30.72</f>
        <v/>
      </c>
      <c r="AC70">
        <f>SUMPRODUCT((M_BOM[Part Name]=$A70)*M_BOM[RM_Qty_Per_Batch]*IFERROR(INDEX(PP_Grid[#Data],M_BOM[PPGridRow],29),0))/30.72</f>
        <v/>
      </c>
      <c r="AD70">
        <f>SUMPRODUCT((M_BOM[Part Name]=$A70)*M_BOM[RM_Qty_Per_Batch]*IFERROR(INDEX(PP_Grid[#Data],M_BOM[PPGridRow],30),0))/30.72</f>
        <v/>
      </c>
      <c r="AE70">
        <f>SUMPRODUCT((M_BOM[Part Name]=$A70)*M_BOM[RM_Qty_Per_Batch]*IFERROR(INDEX(PP_Grid[#Data],M_BOM[PPGridRow],31),0))/30.72</f>
        <v/>
      </c>
      <c r="AF70">
        <f>SUMPRODUCT((M_BOM[Part Name]=$A70)*M_BOM[RM_Qty_Per_Batch]*IFERROR(INDEX(PP_Grid[#Data],M_BOM[PPGridRow],32),0))/30.72</f>
        <v/>
      </c>
      <c r="AG70">
        <f>SUMPRODUCT((M_BOM[Part Name]=$A70)*M_BOM[RM_Qty_Per_Batch]*IFERROR(INDEX(PP_Grid[#Data],M_BOM[PPGridRow],33),0))/30.72</f>
        <v/>
      </c>
      <c r="AH70">
        <f>SUMPRODUCT((M_BOM[Part Name]=$A70)*M_BOM[RM_Qty_Per_Batch]*IFERROR(INDEX(PP_Grid[#Data],M_BOM[PPGridRow],34),0))/30.72</f>
        <v/>
      </c>
      <c r="AI70">
        <f>SUMPRODUCT((M_BOM[Part Name]=$A70)*M_BOM[RM_Qty_Per_Batch]*IFERROR(INDEX(PP_Grid[#Data],M_BOM[PPGridRow],35),0))/30.72</f>
        <v/>
      </c>
      <c r="AJ70">
        <f>SUMPRODUCT((M_BOM[Part Name]=$A70)*M_BOM[RM_Qty_Per_Batch]*IFERROR(INDEX(PP_Grid[#Data],M_BOM[PPGridRow],36),0))/30.72</f>
        <v/>
      </c>
      <c r="AK70">
        <f>SUMPRODUCT((M_BOM[Part Name]=$A70)*M_BOM[RM_Qty_Per_Batch]*IFERROR(INDEX(PP_Grid[#Data],M_BOM[PPGridRow],37),0))/30.72</f>
        <v/>
      </c>
      <c r="AL70">
        <f>SUMPRODUCT((M_BOM[Part Name]=$A70)*M_BOM[RM_Qty_Per_Batch]*IFERROR(INDEX(PP_Grid[#Data],M_BOM[PPGridRow],38),0))/30.72</f>
        <v/>
      </c>
      <c r="AM70">
        <f>SUMPRODUCT((M_BOM[Part Name]=$A70)*M_BOM[RM_Qty_Per_Batch]*IFERROR(INDEX(PP_Grid[#Data],M_BOM[PPGridRow],39),0))/30.72</f>
        <v/>
      </c>
      <c r="AN70">
        <f>SUMPRODUCT((M_BOM[Part Name]=$A70)*M_BOM[RM_Qty_Per_Batch]*IFERROR(INDEX(PP_Grid[#Data],M_BOM[PPGridRow],40),0))/30.72</f>
        <v/>
      </c>
      <c r="AO70">
        <f>SUMPRODUCT((M_BOM[Part Name]=$A70)*M_BOM[RM_Qty_Per_Batch]*IFERROR(INDEX(PP_Grid[#Data],M_BOM[PPGridRow],41),0))/30.72</f>
        <v/>
      </c>
      <c r="AP70">
        <f>SUMPRODUCT((M_BOM[Part Name]=$A70)*M_BOM[RM_Qty_Per_Batch]*IFERROR(INDEX(PP_Grid[#Data],M_BOM[PPGridRow],42),0))/30.72</f>
        <v/>
      </c>
      <c r="AQ70">
        <f>SUMPRODUCT((M_BOM[Part Name]=$A70)*M_BOM[RM_Qty_Per_Batch]*IFERROR(INDEX(PP_Grid[#Data],M_BOM[PPGridRow],43),0))/30.72</f>
        <v/>
      </c>
      <c r="AR70">
        <f>SUMPRODUCT((M_BOM[Part Name]=$A70)*M_BOM[RM_Qty_Per_Batch]*IFERROR(INDEX(PP_Grid[#Data],M_BOM[PPGridRow],44),0))/30.72</f>
        <v/>
      </c>
      <c r="AS70">
        <f>SUMPRODUCT((M_BOM[Part Name]=$A70)*M_BOM[RM_Qty_Per_Batch]*IFERROR(INDEX(PP_Grid[#Data],M_BOM[PPGridRow],45),0))/30.72</f>
        <v/>
      </c>
      <c r="AT70">
        <f>SUMPRODUCT((M_BOM[Part Name]=$A70)*M_BOM[RM_Qty_Per_Batch]*IFERROR(INDEX(PP_Grid[#Data],M_BOM[PPGridRow],46),0))/30.72</f>
        <v/>
      </c>
      <c r="AU70">
        <f>SUMPRODUCT((M_BOM[Part Name]=$A70)*M_BOM[RM_Qty_Per_Batch]*IFERROR(INDEX(PP_Grid[#Data],M_BOM[PPGridRow],47),0))/30.72</f>
        <v/>
      </c>
      <c r="AV70">
        <f>SUMPRODUCT((M_BOM[Part Name]=$A70)*M_BOM[RM_Qty_Per_Batch]*IFERROR(INDEX(PP_Grid[#Data],M_BOM[PPGridRow],48),0))/30.72</f>
        <v/>
      </c>
      <c r="AW70">
        <f>SUMPRODUCT((M_BOM[Part Name]=$A70)*M_BOM[RM_Qty_Per_Batch]*IFERROR(INDEX(PP_Grid[#Data],M_BOM[PPGridRow],49),0))/30.72</f>
        <v/>
      </c>
      <c r="AX70">
        <f>SUMPRODUCT((M_BOM[Part Name]=$A70)*M_BOM[RM_Qty_Per_Batch]*IFERROR(INDEX(PP_Grid[#Data],M_BOM[PPGridRow],50),0))/30.72</f>
        <v/>
      </c>
      <c r="AY70">
        <f>SUMPRODUCT((M_BOM[Part Name]=$A70)*M_BOM[RM_Qty_Per_Batch]*IFERROR(INDEX(PP_Grid[#Data],M_BOM[PPGridRow],51),0))/30.72</f>
        <v/>
      </c>
      <c r="AZ70">
        <f>SUMPRODUCT((M_BOM[Part Name]=$A70)*M_BOM[RM_Qty_Per_Batch]*IFERROR(INDEX(PP_Grid[#Data],M_BOM[PPGridRow],52),0))/30.72</f>
        <v/>
      </c>
      <c r="BA70">
        <f>SUMPRODUCT((M_BOM[Part Name]=$A70)*M_BOM[RM_Qty_Per_Batch]*IFERROR(INDEX(PP_Grid[#Data],M_BOM[PPGridRow],53),0))/30.72</f>
        <v/>
      </c>
      <c r="BB70">
        <f>SUMPRODUCT((M_BOM[Part Name]=$A70)*M_BOM[RM_Qty_Per_Batch]*IFERROR(INDEX(PP_Grid[#Data],M_BOM[PPGridRow],54),0))/30.72</f>
        <v/>
      </c>
      <c r="BC70">
        <f>SUMPRODUCT((M_BOM[Part Name]=$A70)*M_BOM[RM_Qty_Per_Batch]*IFERROR(INDEX(PP_Grid[#Data],M_BOM[PPGridRow],55),0))/30.72</f>
        <v/>
      </c>
      <c r="BD70">
        <f>SUMPRODUCT((M_BOM[Part Name]=$A70)*M_BOM[RM_Qty_Per_Batch]*IFERROR(INDEX(PP_Grid[#Data],M_BOM[PPGridRow],56),0))/30.72</f>
        <v/>
      </c>
      <c r="BE70">
        <f>SUMPRODUCT((M_BOM[Part Name]=$A70)*M_BOM[RM_Qty_Per_Batch]*IFERROR(INDEX(PP_Grid[#Data],M_BOM[PPGridRow],57),0))/30.72</f>
        <v/>
      </c>
      <c r="BF70">
        <f>SUMPRODUCT((M_BOM[Part Name]=$A70)*M_BOM[RM_Qty_Per_Batch]*IFERROR(INDEX(PP_Grid[#Data],M_BOM[PPGridRow],58),0))/30.72</f>
        <v/>
      </c>
      <c r="BG70">
        <f>SUMPRODUCT((M_BOM[Part Name]=$A70)*M_BOM[RM_Qty_Per_Batch]*IFERROR(INDEX(PP_Grid[#Data],M_BOM[PPGridRow],59),0))/30.72</f>
        <v/>
      </c>
      <c r="BH70">
        <f>SUMPRODUCT((M_BOM[Part Name]=$A70)*M_BOM[RM_Qty_Per_Batch]*IFERROR(INDEX(PP_Grid[#Data],M_BOM[PPGridRow],60),0))/30.72</f>
        <v/>
      </c>
      <c r="BI70">
        <f>SUMPRODUCT((M_BOM[Part Name]=$A70)*M_BOM[RM_Qty_Per_Batch]*IFERROR(INDEX(PP_Grid[#Data],M_BOM[PPGridRow],61),0))/30.72</f>
        <v/>
      </c>
      <c r="BJ70">
        <f>SUMPRODUCT((M_BOM[Part Name]=$A70)*M_BOM[RM_Qty_Per_Batch]*IFERROR(INDEX(PP_Grid[#Data],M_BOM[PPGridRow],62),0))/30.72</f>
        <v/>
      </c>
      <c r="BK70">
        <f>SUMPRODUCT((M_BOM[Part Name]=$A70)*M_BOM[RM_Qty_Per_Batch]*IFERROR(INDEX(PP_Grid[#Data],M_BOM[PPGridRow],63),0))/30.72</f>
        <v/>
      </c>
      <c r="BL70">
        <f>SUMPRODUCT((M_BOM[Part Name]=$A70)*M_BOM[RM_Qty_Per_Batch]*IFERROR(INDEX(PP_Grid[#Data],M_BOM[PPGridRow],64),0))/30.72</f>
        <v/>
      </c>
      <c r="BM70">
        <f>SUMPRODUCT((M_BOM[Part Name]=$A70)*M_BOM[RM_Qty_Per_Batch]*IFERROR(INDEX(PP_Grid[#Data],M_BOM[PPGridRow],65),0))/30.72</f>
        <v/>
      </c>
      <c r="BN70">
        <f>SUMPRODUCT((M_BOM[Part Name]=$A70)*M_BOM[RM_Qty_Per_Batch]*IFERROR(INDEX(PP_Grid[#Data],M_BOM[PPGridRow],66),0))/30.72</f>
        <v/>
      </c>
      <c r="BO70">
        <f>SUMPRODUCT((M_BOM[Part Name]=$A70)*M_BOM[RM_Qty_Per_Batch]*IFERROR(INDEX(PP_Grid[#Data],M_BOM[PPGridRow],67),0))/30.72</f>
        <v/>
      </c>
      <c r="BP70">
        <f>SUMPRODUCT((M_BOM[Part Name]=$A70)*M_BOM[RM_Qty_Per_Batch]*IFERROR(INDEX(PP_Grid[#Data],M_BOM[PPGridRow],68),0))/30.72</f>
        <v/>
      </c>
      <c r="BQ70">
        <f>SUMPRODUCT((M_BOM[Part Name]=$A70)*M_BOM[RM_Qty_Per_Batch]*IFERROR(INDEX(PP_Grid[#Data],M_BOM[PPGridRow],69),0))/30.72</f>
        <v/>
      </c>
      <c r="BR70">
        <f>SUMPRODUCT((M_BOM[Part Name]=$A70)*M_BOM[RM_Qty_Per_Batch]*IFERROR(INDEX(PP_Grid[#Data],M_BOM[PPGridRow],70),0))/30.72</f>
        <v/>
      </c>
      <c r="BS70">
        <f>SUMPRODUCT((M_BOM[Part Name]=$A70)*M_BOM[RM_Qty_Per_Batch]*IFERROR(INDEX(PP_Grid[#Data],M_BOM[PPGridRow],71),0))/30.72</f>
        <v/>
      </c>
      <c r="BT70">
        <f>SUMPRODUCT((M_BOM[Part Name]=$A70)*M_BOM[RM_Qty_Per_Batch]*IFERROR(INDEX(PP_Grid[#Data],M_BOM[PPGridRow],72),0))/30.72</f>
        <v/>
      </c>
      <c r="BU70">
        <f>SUMPRODUCT((M_BOM[Part Name]=$A70)*M_BOM[RM_Qty_Per_Batch]*IFERROR(INDEX(PP_Grid[#Data],M_BOM[PPGridRow],73),0))/30.72</f>
        <v/>
      </c>
      <c r="BV70">
        <f>SUMPRODUCT((M_BOM[Part Name]=$A70)*M_BOM[RM_Qty_Per_Batch]*IFERROR(INDEX(PP_Grid[#Data],M_BOM[PPGridRow],74),0))/30.72</f>
        <v/>
      </c>
      <c r="BW70">
        <f>SUMPRODUCT((M_BOM[Part Name]=$A70)*M_BOM[RM_Qty_Per_Batch]*IFERROR(INDEX(PP_Grid[#Data],M_BOM[PPGridRow],75),0))/30.72</f>
        <v/>
      </c>
      <c r="BX70">
        <f>SUMPRODUCT((M_BOM[Part Name]=$A70)*M_BOM[RM_Qty_Per_Batch]*IFERROR(INDEX(PP_Grid[#Data],M_BOM[PPGridRow],76),0))/30.72</f>
        <v/>
      </c>
      <c r="BY70">
        <f>SUMPRODUCT((M_BOM[Part Name]=$A70)*M_BOM[RM_Qty_Per_Batch]*IFERROR(INDEX(PP_Grid[#Data],M_BOM[PPGridRow],77),0))/30.72</f>
        <v/>
      </c>
      <c r="BZ70">
        <f>SUMPRODUCT((M_BOM[Part Name]=$A70)*M_BOM[RM_Qty_Per_Batch]*IFERROR(INDEX(PP_Grid[#Data],M_BOM[PPGridRow],78),0))/30.72</f>
        <v/>
      </c>
      <c r="CA70">
        <f>SUMPRODUCT((M_BOM[Part Name]=$A70)*M_BOM[RM_Qty_Per_Batch]*IFERROR(INDEX(PP_Grid[#Data],M_BOM[PPGridRow],79),0))/30.72</f>
        <v/>
      </c>
      <c r="CB70">
        <f>SUMPRODUCT((M_BOM[Part Name]=$A70)*M_BOM[RM_Qty_Per_Batch]*IFERROR(INDEX(PP_Grid[#Data],M_BOM[PPGridRow],80),0))/30.72</f>
        <v/>
      </c>
      <c r="CC70">
        <f>SUMPRODUCT((M_BOM[Part Name]=$A70)*M_BOM[RM_Qty_Per_Batch]*IFERROR(INDEX(PP_Grid[#Data],M_BOM[PPGridRow],81),0))/30.72</f>
        <v/>
      </c>
      <c r="CD70">
        <f>SUMPRODUCT((M_BOM[Part Name]=$A70)*M_BOM[RM_Qty_Per_Batch]*IFERROR(INDEX(PP_Grid[#Data],M_BOM[PPGridRow],82),0))/30.72</f>
        <v/>
      </c>
      <c r="CE70">
        <f>SUMPRODUCT((M_BOM[Part Name]=$A70)*M_BOM[RM_Qty_Per_Batch]*IFERROR(INDEX(PP_Grid[#Data],M_BOM[PPGridRow],83),0))/30.72</f>
        <v/>
      </c>
      <c r="CF70">
        <f>SUMPRODUCT((M_BOM[Part Name]=$A70)*M_BOM[RM_Qty_Per_Batch]*IFERROR(INDEX(PP_Grid[#Data],M_BOM[PPGridRow],84),0))/30.72</f>
        <v/>
      </c>
      <c r="CG70">
        <f>SUMPRODUCT((M_BOM[Part Name]=$A70)*M_BOM[RM_Qty_Per_Batch]*IFERROR(INDEX(PP_Grid[#Data],M_BOM[PPGridRow],85),0))/30.72</f>
        <v/>
      </c>
      <c r="CH70">
        <f>SUMPRODUCT((M_BOM[Part Name]=$A70)*M_BOM[RM_Qty_Per_Batch]*IFERROR(INDEX(PP_Grid[#Data],M_BOM[PPGridRow],86),0))/30.72</f>
        <v/>
      </c>
      <c r="CI70">
        <f>SUMPRODUCT((M_BOM[Part Name]=$A70)*M_BOM[RM_Qty_Per_Batch]*IFERROR(INDEX(PP_Grid[#Data],M_BOM[PPGridRow],87),0))/30.72</f>
        <v/>
      </c>
      <c r="CJ70">
        <f>SUMPRODUCT((M_BOM[Part Name]=$A70)*M_BOM[RM_Qty_Per_Batch]*IFERROR(INDEX(PP_Grid[#Data],M_BOM[PPGridRow],88),0))/30.72</f>
        <v/>
      </c>
      <c r="CK70">
        <f>SUMPRODUCT((M_BOM[Part Name]=$A70)*M_BOM[RM_Qty_Per_Batch]*IFERROR(INDEX(PP_Grid[#Data],M_BOM[PPGridRow],89),0))/30.72</f>
        <v/>
      </c>
      <c r="CL70">
        <f>SUMPRODUCT((M_BOM[Part Name]=$A70)*M_BOM[RM_Qty_Per_Batch]*IFERROR(INDEX(PP_Grid[#Data],M_BOM[PPGridRow],90),0))/30.72</f>
        <v/>
      </c>
      <c r="CM70">
        <f>SUMPRODUCT((M_BOM[Part Name]=$A70)*M_BOM[RM_Qty_Per_Batch]*IFERROR(INDEX(PP_Grid[#Data],M_BOM[PPGridRow],91),0))/30.72</f>
        <v/>
      </c>
      <c r="CN70">
        <f>SUMPRODUCT((M_BOM[Part Name]=$A70)*M_BOM[RM_Qty_Per_Batch]*IFERROR(INDEX(PP_Grid[#Data],M_BOM[PPGridRow],92),0))/30.72</f>
        <v/>
      </c>
      <c r="CO70">
        <f>SUMPRODUCT((M_BOM[Part Name]=$A70)*M_BOM[RM_Qty_Per_Batch]*IFERROR(INDEX(PP_Grid[#Data],M_BOM[PPGridRow],93),0))/30.72</f>
        <v/>
      </c>
      <c r="CP70">
        <f>SUMPRODUCT((M_BOM[Part Name]=$A70)*M_BOM[RM_Qty_Per_Batch]*IFERROR(INDEX(PP_Grid[#Data],M_BOM[PPGridRow],94),0))/30.72</f>
        <v/>
      </c>
      <c r="CQ70">
        <f>SUMPRODUCT((M_BOM[Part Name]=$A70)*M_BOM[RM_Qty_Per_Batch]*IFERROR(INDEX(PP_Grid[#Data],M_BOM[PPGridRow],95),0))/30.72</f>
        <v/>
      </c>
      <c r="CR70">
        <f>SUMPRODUCT((M_BOM[Part Name]=$A70)*M_BOM[RM_Qty_Per_Batch]*IFERROR(INDEX(PP_Grid[#Data],M_BOM[PPGridRow],96),0))/30.72</f>
        <v/>
      </c>
      <c r="CS70">
        <f>SUMPRODUCT((M_BOM[Part Name]=$A70)*M_BOM[RM_Qty_Per_Batch]*IFERROR(INDEX(PP_Grid[#Data],M_BOM[PPGridRow],97),0))/30.72</f>
        <v/>
      </c>
      <c r="CT70">
        <f>SUMPRODUCT((M_BOM[Part Name]=$A70)*M_BOM[RM_Qty_Per_Batch]*IFERROR(INDEX(PP_Grid[#Data],M_BOM[PPGridRow],98),0))/30.72</f>
        <v/>
      </c>
      <c r="CU70">
        <f>SUMPRODUCT((M_BOM[Part Name]=$A70)*M_BOM[RM_Qty_Per_Batch]*IFERROR(INDEX(PP_Grid[#Data],M_BOM[PPGridRow],99),0))/30.72</f>
        <v/>
      </c>
      <c r="CV70">
        <f>SUMPRODUCT((M_BOM[Part Name]=$A70)*M_BOM[RM_Qty_Per_Batch]*IFERROR(INDEX(PP_Grid[#Data],M_BOM[PPGridRow],100),0))/30.72</f>
        <v/>
      </c>
      <c r="CW70">
        <f>SUMPRODUCT((M_BOM[Part Name]=$A70)*M_BOM[RM_Qty_Per_Batch]*IFERROR(INDEX(PP_Grid[#Data],M_BOM[PPGridRow],101),0))/30.72</f>
        <v/>
      </c>
      <c r="CX70">
        <f>SUMPRODUCT((M_BOM[Part Name]=$A70)*M_BOM[RM_Qty_Per_Batch]*IFERROR(INDEX(PP_Grid[#Data],M_BOM[PPGridRow],102),0))/30.72</f>
        <v/>
      </c>
      <c r="CY70">
        <f>SUMPRODUCT((M_BOM[Part Name]=$A70)*M_BOM[RM_Qty_Per_Batch]*IFERROR(INDEX(PP_Grid[#Data],M_BOM[PPGridRow],103),0))/30.72</f>
        <v/>
      </c>
      <c r="CZ70">
        <f>SUMPRODUCT((M_BOM[Part Name]=$A70)*M_BOM[RM_Qty_Per_Batch]*IFERROR(INDEX(PP_Grid[#Data],M_BOM[PPGridRow],104),0))/30.72</f>
        <v/>
      </c>
      <c r="DA70">
        <f>SUMPRODUCT((M_BOM[Part Name]=$A70)*M_BOM[RM_Qty_Per_Batch]*IFERROR(INDEX(PP_Grid[#Data],M_BOM[PPGridRow],105),0))/30.72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Name]=$A71)*M_BOM[RM_Qty_Per_Batch]*IFERROR(INDEX(PP_Grid[#Data],M_BOM[PPGridRow],2),0))/19.22</f>
        <v/>
      </c>
      <c r="C71">
        <f>SUMPRODUCT((M_BOM[Part Name]=$A71)*M_BOM[RM_Qty_Per_Batch]*IFERROR(INDEX(PP_Grid[#Data],M_BOM[PPGridRow],3),0))/19.22</f>
        <v/>
      </c>
      <c r="D71">
        <f>SUMPRODUCT((M_BOM[Part Name]=$A71)*M_BOM[RM_Qty_Per_Batch]*IFERROR(INDEX(PP_Grid[#Data],M_BOM[PPGridRow],4),0))/19.22</f>
        <v/>
      </c>
      <c r="E71">
        <f>SUMPRODUCT((M_BOM[Part Name]=$A71)*M_BOM[RM_Qty_Per_Batch]*IFERROR(INDEX(PP_Grid[#Data],M_BOM[PPGridRow],5),0))/19.22</f>
        <v/>
      </c>
      <c r="F71">
        <f>SUMPRODUCT((M_BOM[Part Name]=$A71)*M_BOM[RM_Qty_Per_Batch]*IFERROR(INDEX(PP_Grid[#Data],M_BOM[PPGridRow],6),0))/19.22</f>
        <v/>
      </c>
      <c r="G71">
        <f>SUMPRODUCT((M_BOM[Part Name]=$A71)*M_BOM[RM_Qty_Per_Batch]*IFERROR(INDEX(PP_Grid[#Data],M_BOM[PPGridRow],7),0))/19.22</f>
        <v/>
      </c>
      <c r="H71">
        <f>SUMPRODUCT((M_BOM[Part Name]=$A71)*M_BOM[RM_Qty_Per_Batch]*IFERROR(INDEX(PP_Grid[#Data],M_BOM[PPGridRow],8),0))/19.22</f>
        <v/>
      </c>
      <c r="I71">
        <f>SUMPRODUCT((M_BOM[Part Name]=$A71)*M_BOM[RM_Qty_Per_Batch]*IFERROR(INDEX(PP_Grid[#Data],M_BOM[PPGridRow],9),0))/19.22</f>
        <v/>
      </c>
      <c r="J71">
        <f>SUMPRODUCT((M_BOM[Part Name]=$A71)*M_BOM[RM_Qty_Per_Batch]*IFERROR(INDEX(PP_Grid[#Data],M_BOM[PPGridRow],10),0))/19.22</f>
        <v/>
      </c>
      <c r="K71">
        <f>SUMPRODUCT((M_BOM[Part Name]=$A71)*M_BOM[RM_Qty_Per_Batch]*IFERROR(INDEX(PP_Grid[#Data],M_BOM[PPGridRow],11),0))/19.22</f>
        <v/>
      </c>
      <c r="L71">
        <f>SUMPRODUCT((M_BOM[Part Name]=$A71)*M_BOM[RM_Qty_Per_Batch]*IFERROR(INDEX(PP_Grid[#Data],M_BOM[PPGridRow],12),0))/19.22</f>
        <v/>
      </c>
      <c r="M71">
        <f>SUMPRODUCT((M_BOM[Part Name]=$A71)*M_BOM[RM_Qty_Per_Batch]*IFERROR(INDEX(PP_Grid[#Data],M_BOM[PPGridRow],13),0))/19.22</f>
        <v/>
      </c>
      <c r="N71">
        <f>SUMPRODUCT((M_BOM[Part Name]=$A71)*M_BOM[RM_Qty_Per_Batch]*IFERROR(INDEX(PP_Grid[#Data],M_BOM[PPGridRow],14),0))/19.22</f>
        <v/>
      </c>
      <c r="O71">
        <f>SUMPRODUCT((M_BOM[Part Name]=$A71)*M_BOM[RM_Qty_Per_Batch]*IFERROR(INDEX(PP_Grid[#Data],M_BOM[PPGridRow],15),0))/19.22</f>
        <v/>
      </c>
      <c r="P71">
        <f>SUMPRODUCT((M_BOM[Part Name]=$A71)*M_BOM[RM_Qty_Per_Batch]*IFERROR(INDEX(PP_Grid[#Data],M_BOM[PPGridRow],16),0))/19.22</f>
        <v/>
      </c>
      <c r="Q71">
        <f>SUMPRODUCT((M_BOM[Part Name]=$A71)*M_BOM[RM_Qty_Per_Batch]*IFERROR(INDEX(PP_Grid[#Data],M_BOM[PPGridRow],17),0))/19.22</f>
        <v/>
      </c>
      <c r="R71">
        <f>SUMPRODUCT((M_BOM[Part Name]=$A71)*M_BOM[RM_Qty_Per_Batch]*IFERROR(INDEX(PP_Grid[#Data],M_BOM[PPGridRow],18),0))/19.22</f>
        <v/>
      </c>
      <c r="S71">
        <f>SUMPRODUCT((M_BOM[Part Name]=$A71)*M_BOM[RM_Qty_Per_Batch]*IFERROR(INDEX(PP_Grid[#Data],M_BOM[PPGridRow],19),0))/19.22</f>
        <v/>
      </c>
      <c r="T71">
        <f>SUMPRODUCT((M_BOM[Part Name]=$A71)*M_BOM[RM_Qty_Per_Batch]*IFERROR(INDEX(PP_Grid[#Data],M_BOM[PPGridRow],20),0))/19.22</f>
        <v/>
      </c>
      <c r="U71">
        <f>SUMPRODUCT((M_BOM[Part Name]=$A71)*M_BOM[RM_Qty_Per_Batch]*IFERROR(INDEX(PP_Grid[#Data],M_BOM[PPGridRow],21),0))/19.22</f>
        <v/>
      </c>
      <c r="V71">
        <f>SUMPRODUCT((M_BOM[Part Name]=$A71)*M_BOM[RM_Qty_Per_Batch]*IFERROR(INDEX(PP_Grid[#Data],M_BOM[PPGridRow],22),0))/19.22</f>
        <v/>
      </c>
      <c r="W71">
        <f>SUMPRODUCT((M_BOM[Part Name]=$A71)*M_BOM[RM_Qty_Per_Batch]*IFERROR(INDEX(PP_Grid[#Data],M_BOM[PPGridRow],23),0))/19.22</f>
        <v/>
      </c>
      <c r="X71">
        <f>SUMPRODUCT((M_BOM[Part Name]=$A71)*M_BOM[RM_Qty_Per_Batch]*IFERROR(INDEX(PP_Grid[#Data],M_BOM[PPGridRow],24),0))/19.22</f>
        <v/>
      </c>
      <c r="Y71">
        <f>SUMPRODUCT((M_BOM[Part Name]=$A71)*M_BOM[RM_Qty_Per_Batch]*IFERROR(INDEX(PP_Grid[#Data],M_BOM[PPGridRow],25),0))/19.22</f>
        <v/>
      </c>
      <c r="Z71">
        <f>SUMPRODUCT((M_BOM[Part Name]=$A71)*M_BOM[RM_Qty_Per_Batch]*IFERROR(INDEX(PP_Grid[#Data],M_BOM[PPGridRow],26),0))/19.22</f>
        <v/>
      </c>
      <c r="AA71">
        <f>SUMPRODUCT((M_BOM[Part Name]=$A71)*M_BOM[RM_Qty_Per_Batch]*IFERROR(INDEX(PP_Grid[#Data],M_BOM[PPGridRow],27),0))/19.22</f>
        <v/>
      </c>
      <c r="AB71">
        <f>SUMPRODUCT((M_BOM[Part Name]=$A71)*M_BOM[RM_Qty_Per_Batch]*IFERROR(INDEX(PP_Grid[#Data],M_BOM[PPGridRow],28),0))/19.22</f>
        <v/>
      </c>
      <c r="AC71">
        <f>SUMPRODUCT((M_BOM[Part Name]=$A71)*M_BOM[RM_Qty_Per_Batch]*IFERROR(INDEX(PP_Grid[#Data],M_BOM[PPGridRow],29),0))/19.22</f>
        <v/>
      </c>
      <c r="AD71">
        <f>SUMPRODUCT((M_BOM[Part Name]=$A71)*M_BOM[RM_Qty_Per_Batch]*IFERROR(INDEX(PP_Grid[#Data],M_BOM[PPGridRow],30),0))/19.22</f>
        <v/>
      </c>
      <c r="AE71">
        <f>SUMPRODUCT((M_BOM[Part Name]=$A71)*M_BOM[RM_Qty_Per_Batch]*IFERROR(INDEX(PP_Grid[#Data],M_BOM[PPGridRow],31),0))/19.22</f>
        <v/>
      </c>
      <c r="AF71">
        <f>SUMPRODUCT((M_BOM[Part Name]=$A71)*M_BOM[RM_Qty_Per_Batch]*IFERROR(INDEX(PP_Grid[#Data],M_BOM[PPGridRow],32),0))/19.22</f>
        <v/>
      </c>
      <c r="AG71">
        <f>SUMPRODUCT((M_BOM[Part Name]=$A71)*M_BOM[RM_Qty_Per_Batch]*IFERROR(INDEX(PP_Grid[#Data],M_BOM[PPGridRow],33),0))/19.22</f>
        <v/>
      </c>
      <c r="AH71">
        <f>SUMPRODUCT((M_BOM[Part Name]=$A71)*M_BOM[RM_Qty_Per_Batch]*IFERROR(INDEX(PP_Grid[#Data],M_BOM[PPGridRow],34),0))/19.22</f>
        <v/>
      </c>
      <c r="AI71">
        <f>SUMPRODUCT((M_BOM[Part Name]=$A71)*M_BOM[RM_Qty_Per_Batch]*IFERROR(INDEX(PP_Grid[#Data],M_BOM[PPGridRow],35),0))/19.22</f>
        <v/>
      </c>
      <c r="AJ71">
        <f>SUMPRODUCT((M_BOM[Part Name]=$A71)*M_BOM[RM_Qty_Per_Batch]*IFERROR(INDEX(PP_Grid[#Data],M_BOM[PPGridRow],36),0))/19.22</f>
        <v/>
      </c>
      <c r="AK71">
        <f>SUMPRODUCT((M_BOM[Part Name]=$A71)*M_BOM[RM_Qty_Per_Batch]*IFERROR(INDEX(PP_Grid[#Data],M_BOM[PPGridRow],37),0))/19.22</f>
        <v/>
      </c>
      <c r="AL71">
        <f>SUMPRODUCT((M_BOM[Part Name]=$A71)*M_BOM[RM_Qty_Per_Batch]*IFERROR(INDEX(PP_Grid[#Data],M_BOM[PPGridRow],38),0))/19.22</f>
        <v/>
      </c>
      <c r="AM71">
        <f>SUMPRODUCT((M_BOM[Part Name]=$A71)*M_BOM[RM_Qty_Per_Batch]*IFERROR(INDEX(PP_Grid[#Data],M_BOM[PPGridRow],39),0))/19.22</f>
        <v/>
      </c>
      <c r="AN71">
        <f>SUMPRODUCT((M_BOM[Part Name]=$A71)*M_BOM[RM_Qty_Per_Batch]*IFERROR(INDEX(PP_Grid[#Data],M_BOM[PPGridRow],40),0))/19.22</f>
        <v/>
      </c>
      <c r="AO71">
        <f>SUMPRODUCT((M_BOM[Part Name]=$A71)*M_BOM[RM_Qty_Per_Batch]*IFERROR(INDEX(PP_Grid[#Data],M_BOM[PPGridRow],41),0))/19.22</f>
        <v/>
      </c>
      <c r="AP71">
        <f>SUMPRODUCT((M_BOM[Part Name]=$A71)*M_BOM[RM_Qty_Per_Batch]*IFERROR(INDEX(PP_Grid[#Data],M_BOM[PPGridRow],42),0))/19.22</f>
        <v/>
      </c>
      <c r="AQ71">
        <f>SUMPRODUCT((M_BOM[Part Name]=$A71)*M_BOM[RM_Qty_Per_Batch]*IFERROR(INDEX(PP_Grid[#Data],M_BOM[PPGridRow],43),0))/19.22</f>
        <v/>
      </c>
      <c r="AR71">
        <f>SUMPRODUCT((M_BOM[Part Name]=$A71)*M_BOM[RM_Qty_Per_Batch]*IFERROR(INDEX(PP_Grid[#Data],M_BOM[PPGridRow],44),0))/19.22</f>
        <v/>
      </c>
      <c r="AS71">
        <f>SUMPRODUCT((M_BOM[Part Name]=$A71)*M_BOM[RM_Qty_Per_Batch]*IFERROR(INDEX(PP_Grid[#Data],M_BOM[PPGridRow],45),0))/19.22</f>
        <v/>
      </c>
      <c r="AT71">
        <f>SUMPRODUCT((M_BOM[Part Name]=$A71)*M_BOM[RM_Qty_Per_Batch]*IFERROR(INDEX(PP_Grid[#Data],M_BOM[PPGridRow],46),0))/19.22</f>
        <v/>
      </c>
      <c r="AU71">
        <f>SUMPRODUCT((M_BOM[Part Name]=$A71)*M_BOM[RM_Qty_Per_Batch]*IFERROR(INDEX(PP_Grid[#Data],M_BOM[PPGridRow],47),0))/19.22</f>
        <v/>
      </c>
      <c r="AV71">
        <f>SUMPRODUCT((M_BOM[Part Name]=$A71)*M_BOM[RM_Qty_Per_Batch]*IFERROR(INDEX(PP_Grid[#Data],M_BOM[PPGridRow],48),0))/19.22</f>
        <v/>
      </c>
      <c r="AW71">
        <f>SUMPRODUCT((M_BOM[Part Name]=$A71)*M_BOM[RM_Qty_Per_Batch]*IFERROR(INDEX(PP_Grid[#Data],M_BOM[PPGridRow],49),0))/19.22</f>
        <v/>
      </c>
      <c r="AX71">
        <f>SUMPRODUCT((M_BOM[Part Name]=$A71)*M_BOM[RM_Qty_Per_Batch]*IFERROR(INDEX(PP_Grid[#Data],M_BOM[PPGridRow],50),0))/19.22</f>
        <v/>
      </c>
      <c r="AY71">
        <f>SUMPRODUCT((M_BOM[Part Name]=$A71)*M_BOM[RM_Qty_Per_Batch]*IFERROR(INDEX(PP_Grid[#Data],M_BOM[PPGridRow],51),0))/19.22</f>
        <v/>
      </c>
      <c r="AZ71">
        <f>SUMPRODUCT((M_BOM[Part Name]=$A71)*M_BOM[RM_Qty_Per_Batch]*IFERROR(INDEX(PP_Grid[#Data],M_BOM[PPGridRow],52),0))/19.22</f>
        <v/>
      </c>
      <c r="BA71">
        <f>SUMPRODUCT((M_BOM[Part Name]=$A71)*M_BOM[RM_Qty_Per_Batch]*IFERROR(INDEX(PP_Grid[#Data],M_BOM[PPGridRow],53),0))/19.22</f>
        <v/>
      </c>
      <c r="BB71">
        <f>SUMPRODUCT((M_BOM[Part Name]=$A71)*M_BOM[RM_Qty_Per_Batch]*IFERROR(INDEX(PP_Grid[#Data],M_BOM[PPGridRow],54),0))/19.22</f>
        <v/>
      </c>
      <c r="BC71">
        <f>SUMPRODUCT((M_BOM[Part Name]=$A71)*M_BOM[RM_Qty_Per_Batch]*IFERROR(INDEX(PP_Grid[#Data],M_BOM[PPGridRow],55),0))/19.22</f>
        <v/>
      </c>
      <c r="BD71">
        <f>SUMPRODUCT((M_BOM[Part Name]=$A71)*M_BOM[RM_Qty_Per_Batch]*IFERROR(INDEX(PP_Grid[#Data],M_BOM[PPGridRow],56),0))/19.22</f>
        <v/>
      </c>
      <c r="BE71">
        <f>SUMPRODUCT((M_BOM[Part Name]=$A71)*M_BOM[RM_Qty_Per_Batch]*IFERROR(INDEX(PP_Grid[#Data],M_BOM[PPGridRow],57),0))/19.22</f>
        <v/>
      </c>
      <c r="BF71">
        <f>SUMPRODUCT((M_BOM[Part Name]=$A71)*M_BOM[RM_Qty_Per_Batch]*IFERROR(INDEX(PP_Grid[#Data],M_BOM[PPGridRow],58),0))/19.22</f>
        <v/>
      </c>
      <c r="BG71">
        <f>SUMPRODUCT((M_BOM[Part Name]=$A71)*M_BOM[RM_Qty_Per_Batch]*IFERROR(INDEX(PP_Grid[#Data],M_BOM[PPGridRow],59),0))/19.22</f>
        <v/>
      </c>
      <c r="BH71">
        <f>SUMPRODUCT((M_BOM[Part Name]=$A71)*M_BOM[RM_Qty_Per_Batch]*IFERROR(INDEX(PP_Grid[#Data],M_BOM[PPGridRow],60),0))/19.22</f>
        <v/>
      </c>
      <c r="BI71">
        <f>SUMPRODUCT((M_BOM[Part Name]=$A71)*M_BOM[RM_Qty_Per_Batch]*IFERROR(INDEX(PP_Grid[#Data],M_BOM[PPGridRow],61),0))/19.22</f>
        <v/>
      </c>
      <c r="BJ71">
        <f>SUMPRODUCT((M_BOM[Part Name]=$A71)*M_BOM[RM_Qty_Per_Batch]*IFERROR(INDEX(PP_Grid[#Data],M_BOM[PPGridRow],62),0))/19.22</f>
        <v/>
      </c>
      <c r="BK71">
        <f>SUMPRODUCT((M_BOM[Part Name]=$A71)*M_BOM[RM_Qty_Per_Batch]*IFERROR(INDEX(PP_Grid[#Data],M_BOM[PPGridRow],63),0))/19.22</f>
        <v/>
      </c>
      <c r="BL71">
        <f>SUMPRODUCT((M_BOM[Part Name]=$A71)*M_BOM[RM_Qty_Per_Batch]*IFERROR(INDEX(PP_Grid[#Data],M_BOM[PPGridRow],64),0))/19.22</f>
        <v/>
      </c>
      <c r="BM71">
        <f>SUMPRODUCT((M_BOM[Part Name]=$A71)*M_BOM[RM_Qty_Per_Batch]*IFERROR(INDEX(PP_Grid[#Data],M_BOM[PPGridRow],65),0))/19.22</f>
        <v/>
      </c>
      <c r="BN71">
        <f>SUMPRODUCT((M_BOM[Part Name]=$A71)*M_BOM[RM_Qty_Per_Batch]*IFERROR(INDEX(PP_Grid[#Data],M_BOM[PPGridRow],66),0))/19.22</f>
        <v/>
      </c>
      <c r="BO71">
        <f>SUMPRODUCT((M_BOM[Part Name]=$A71)*M_BOM[RM_Qty_Per_Batch]*IFERROR(INDEX(PP_Grid[#Data],M_BOM[PPGridRow],67),0))/19.22</f>
        <v/>
      </c>
      <c r="BP71">
        <f>SUMPRODUCT((M_BOM[Part Name]=$A71)*M_BOM[RM_Qty_Per_Batch]*IFERROR(INDEX(PP_Grid[#Data],M_BOM[PPGridRow],68),0))/19.22</f>
        <v/>
      </c>
      <c r="BQ71">
        <f>SUMPRODUCT((M_BOM[Part Name]=$A71)*M_BOM[RM_Qty_Per_Batch]*IFERROR(INDEX(PP_Grid[#Data],M_BOM[PPGridRow],69),0))/19.22</f>
        <v/>
      </c>
      <c r="BR71">
        <f>SUMPRODUCT((M_BOM[Part Name]=$A71)*M_BOM[RM_Qty_Per_Batch]*IFERROR(INDEX(PP_Grid[#Data],M_BOM[PPGridRow],70),0))/19.22</f>
        <v/>
      </c>
      <c r="BS71">
        <f>SUMPRODUCT((M_BOM[Part Name]=$A71)*M_BOM[RM_Qty_Per_Batch]*IFERROR(INDEX(PP_Grid[#Data],M_BOM[PPGridRow],71),0))/19.22</f>
        <v/>
      </c>
      <c r="BT71">
        <f>SUMPRODUCT((M_BOM[Part Name]=$A71)*M_BOM[RM_Qty_Per_Batch]*IFERROR(INDEX(PP_Grid[#Data],M_BOM[PPGridRow],72),0))/19.22</f>
        <v/>
      </c>
      <c r="BU71">
        <f>SUMPRODUCT((M_BOM[Part Name]=$A71)*M_BOM[RM_Qty_Per_Batch]*IFERROR(INDEX(PP_Grid[#Data],M_BOM[PPGridRow],73),0))/19.22</f>
        <v/>
      </c>
      <c r="BV71">
        <f>SUMPRODUCT((M_BOM[Part Name]=$A71)*M_BOM[RM_Qty_Per_Batch]*IFERROR(INDEX(PP_Grid[#Data],M_BOM[PPGridRow],74),0))/19.22</f>
        <v/>
      </c>
      <c r="BW71">
        <f>SUMPRODUCT((M_BOM[Part Name]=$A71)*M_BOM[RM_Qty_Per_Batch]*IFERROR(INDEX(PP_Grid[#Data],M_BOM[PPGridRow],75),0))/19.22</f>
        <v/>
      </c>
      <c r="BX71">
        <f>SUMPRODUCT((M_BOM[Part Name]=$A71)*M_BOM[RM_Qty_Per_Batch]*IFERROR(INDEX(PP_Grid[#Data],M_BOM[PPGridRow],76),0))/19.22</f>
        <v/>
      </c>
      <c r="BY71">
        <f>SUMPRODUCT((M_BOM[Part Name]=$A71)*M_BOM[RM_Qty_Per_Batch]*IFERROR(INDEX(PP_Grid[#Data],M_BOM[PPGridRow],77),0))/19.22</f>
        <v/>
      </c>
      <c r="BZ71">
        <f>SUMPRODUCT((M_BOM[Part Name]=$A71)*M_BOM[RM_Qty_Per_Batch]*IFERROR(INDEX(PP_Grid[#Data],M_BOM[PPGridRow],78),0))/19.22</f>
        <v/>
      </c>
      <c r="CA71">
        <f>SUMPRODUCT((M_BOM[Part Name]=$A71)*M_BOM[RM_Qty_Per_Batch]*IFERROR(INDEX(PP_Grid[#Data],M_BOM[PPGridRow],79),0))/19.22</f>
        <v/>
      </c>
      <c r="CB71">
        <f>SUMPRODUCT((M_BOM[Part Name]=$A71)*M_BOM[RM_Qty_Per_Batch]*IFERROR(INDEX(PP_Grid[#Data],M_BOM[PPGridRow],80),0))/19.22</f>
        <v/>
      </c>
      <c r="CC71">
        <f>SUMPRODUCT((M_BOM[Part Name]=$A71)*M_BOM[RM_Qty_Per_Batch]*IFERROR(INDEX(PP_Grid[#Data],M_BOM[PPGridRow],81),0))/19.22</f>
        <v/>
      </c>
      <c r="CD71">
        <f>SUMPRODUCT((M_BOM[Part Name]=$A71)*M_BOM[RM_Qty_Per_Batch]*IFERROR(INDEX(PP_Grid[#Data],M_BOM[PPGridRow],82),0))/19.22</f>
        <v/>
      </c>
      <c r="CE71">
        <f>SUMPRODUCT((M_BOM[Part Name]=$A71)*M_BOM[RM_Qty_Per_Batch]*IFERROR(INDEX(PP_Grid[#Data],M_BOM[PPGridRow],83),0))/19.22</f>
        <v/>
      </c>
      <c r="CF71">
        <f>SUMPRODUCT((M_BOM[Part Name]=$A71)*M_BOM[RM_Qty_Per_Batch]*IFERROR(INDEX(PP_Grid[#Data],M_BOM[PPGridRow],84),0))/19.22</f>
        <v/>
      </c>
      <c r="CG71">
        <f>SUMPRODUCT((M_BOM[Part Name]=$A71)*M_BOM[RM_Qty_Per_Batch]*IFERROR(INDEX(PP_Grid[#Data],M_BOM[PPGridRow],85),0))/19.22</f>
        <v/>
      </c>
      <c r="CH71">
        <f>SUMPRODUCT((M_BOM[Part Name]=$A71)*M_BOM[RM_Qty_Per_Batch]*IFERROR(INDEX(PP_Grid[#Data],M_BOM[PPGridRow],86),0))/19.22</f>
        <v/>
      </c>
      <c r="CI71">
        <f>SUMPRODUCT((M_BOM[Part Name]=$A71)*M_BOM[RM_Qty_Per_Batch]*IFERROR(INDEX(PP_Grid[#Data],M_BOM[PPGridRow],87),0))/19.22</f>
        <v/>
      </c>
      <c r="CJ71">
        <f>SUMPRODUCT((M_BOM[Part Name]=$A71)*M_BOM[RM_Qty_Per_Batch]*IFERROR(INDEX(PP_Grid[#Data],M_BOM[PPGridRow],88),0))/19.22</f>
        <v/>
      </c>
      <c r="CK71">
        <f>SUMPRODUCT((M_BOM[Part Name]=$A71)*M_BOM[RM_Qty_Per_Batch]*IFERROR(INDEX(PP_Grid[#Data],M_BOM[PPGridRow],89),0))/19.22</f>
        <v/>
      </c>
      <c r="CL71">
        <f>SUMPRODUCT((M_BOM[Part Name]=$A71)*M_BOM[RM_Qty_Per_Batch]*IFERROR(INDEX(PP_Grid[#Data],M_BOM[PPGridRow],90),0))/19.22</f>
        <v/>
      </c>
      <c r="CM71">
        <f>SUMPRODUCT((M_BOM[Part Name]=$A71)*M_BOM[RM_Qty_Per_Batch]*IFERROR(INDEX(PP_Grid[#Data],M_BOM[PPGridRow],91),0))/19.22</f>
        <v/>
      </c>
      <c r="CN71">
        <f>SUMPRODUCT((M_BOM[Part Name]=$A71)*M_BOM[RM_Qty_Per_Batch]*IFERROR(INDEX(PP_Grid[#Data],M_BOM[PPGridRow],92),0))/19.22</f>
        <v/>
      </c>
      <c r="CO71">
        <f>SUMPRODUCT((M_BOM[Part Name]=$A71)*M_BOM[RM_Qty_Per_Batch]*IFERROR(INDEX(PP_Grid[#Data],M_BOM[PPGridRow],93),0))/19.22</f>
        <v/>
      </c>
      <c r="CP71">
        <f>SUMPRODUCT((M_BOM[Part Name]=$A71)*M_BOM[RM_Qty_Per_Batch]*IFERROR(INDEX(PP_Grid[#Data],M_BOM[PPGridRow],94),0))/19.22</f>
        <v/>
      </c>
      <c r="CQ71">
        <f>SUMPRODUCT((M_BOM[Part Name]=$A71)*M_BOM[RM_Qty_Per_Batch]*IFERROR(INDEX(PP_Grid[#Data],M_BOM[PPGridRow],95),0))/19.22</f>
        <v/>
      </c>
      <c r="CR71">
        <f>SUMPRODUCT((M_BOM[Part Name]=$A71)*M_BOM[RM_Qty_Per_Batch]*IFERROR(INDEX(PP_Grid[#Data],M_BOM[PPGridRow],96),0))/19.22</f>
        <v/>
      </c>
      <c r="CS71">
        <f>SUMPRODUCT((M_BOM[Part Name]=$A71)*M_BOM[RM_Qty_Per_Batch]*IFERROR(INDEX(PP_Grid[#Data],M_BOM[PPGridRow],97),0))/19.22</f>
        <v/>
      </c>
      <c r="CT71">
        <f>SUMPRODUCT((M_BOM[Part Name]=$A71)*M_BOM[RM_Qty_Per_Batch]*IFERROR(INDEX(PP_Grid[#Data],M_BOM[PPGridRow],98),0))/19.22</f>
        <v/>
      </c>
      <c r="CU71">
        <f>SUMPRODUCT((M_BOM[Part Name]=$A71)*M_BOM[RM_Qty_Per_Batch]*IFERROR(INDEX(PP_Grid[#Data],M_BOM[PPGridRow],99),0))/19.22</f>
        <v/>
      </c>
      <c r="CV71">
        <f>SUMPRODUCT((M_BOM[Part Name]=$A71)*M_BOM[RM_Qty_Per_Batch]*IFERROR(INDEX(PP_Grid[#Data],M_BOM[PPGridRow],100),0))/19.22</f>
        <v/>
      </c>
      <c r="CW71">
        <f>SUMPRODUCT((M_BOM[Part Name]=$A71)*M_BOM[RM_Qty_Per_Batch]*IFERROR(INDEX(PP_Grid[#Data],M_BOM[PPGridRow],101),0))/19.22</f>
        <v/>
      </c>
      <c r="CX71">
        <f>SUMPRODUCT((M_BOM[Part Name]=$A71)*M_BOM[RM_Qty_Per_Batch]*IFERROR(INDEX(PP_Grid[#Data],M_BOM[PPGridRow],102),0))/19.22</f>
        <v/>
      </c>
      <c r="CY71">
        <f>SUMPRODUCT((M_BOM[Part Name]=$A71)*M_BOM[RM_Qty_Per_Batch]*IFERROR(INDEX(PP_Grid[#Data],M_BOM[PPGridRow],103),0))/19.22</f>
        <v/>
      </c>
      <c r="CZ71">
        <f>SUMPRODUCT((M_BOM[Part Name]=$A71)*M_BOM[RM_Qty_Per_Batch]*IFERROR(INDEX(PP_Grid[#Data],M_BOM[PPGridRow],104),0))/19.22</f>
        <v/>
      </c>
      <c r="DA71">
        <f>SUMPRODUCT((M_BOM[Part Name]=$A71)*M_BOM[RM_Qty_Per_Batch]*IFERROR(INDEX(PP_Grid[#Data],M_BOM[PPGridRow],105),0))/19.22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Name]=$A72)*M_BOM[RM_Qty_Per_Batch]*IFERROR(INDEX(PP_Grid[#Data],M_BOM[PPGridRow],2),0))/19.63</f>
        <v/>
      </c>
      <c r="C72">
        <f>SUMPRODUCT((M_BOM[Part Name]=$A72)*M_BOM[RM_Qty_Per_Batch]*IFERROR(INDEX(PP_Grid[#Data],M_BOM[PPGridRow],3),0))/19.63</f>
        <v/>
      </c>
      <c r="D72">
        <f>SUMPRODUCT((M_BOM[Part Name]=$A72)*M_BOM[RM_Qty_Per_Batch]*IFERROR(INDEX(PP_Grid[#Data],M_BOM[PPGridRow],4),0))/19.63</f>
        <v/>
      </c>
      <c r="E72">
        <f>SUMPRODUCT((M_BOM[Part Name]=$A72)*M_BOM[RM_Qty_Per_Batch]*IFERROR(INDEX(PP_Grid[#Data],M_BOM[PPGridRow],5),0))/19.63</f>
        <v/>
      </c>
      <c r="F72">
        <f>SUMPRODUCT((M_BOM[Part Name]=$A72)*M_BOM[RM_Qty_Per_Batch]*IFERROR(INDEX(PP_Grid[#Data],M_BOM[PPGridRow],6),0))/19.63</f>
        <v/>
      </c>
      <c r="G72">
        <f>SUMPRODUCT((M_BOM[Part Name]=$A72)*M_BOM[RM_Qty_Per_Batch]*IFERROR(INDEX(PP_Grid[#Data],M_BOM[PPGridRow],7),0))/19.63</f>
        <v/>
      </c>
      <c r="H72">
        <f>SUMPRODUCT((M_BOM[Part Name]=$A72)*M_BOM[RM_Qty_Per_Batch]*IFERROR(INDEX(PP_Grid[#Data],M_BOM[PPGridRow],8),0))/19.63</f>
        <v/>
      </c>
      <c r="I72">
        <f>SUMPRODUCT((M_BOM[Part Name]=$A72)*M_BOM[RM_Qty_Per_Batch]*IFERROR(INDEX(PP_Grid[#Data],M_BOM[PPGridRow],9),0))/19.63</f>
        <v/>
      </c>
      <c r="J72">
        <f>SUMPRODUCT((M_BOM[Part Name]=$A72)*M_BOM[RM_Qty_Per_Batch]*IFERROR(INDEX(PP_Grid[#Data],M_BOM[PPGridRow],10),0))/19.63</f>
        <v/>
      </c>
      <c r="K72">
        <f>SUMPRODUCT((M_BOM[Part Name]=$A72)*M_BOM[RM_Qty_Per_Batch]*IFERROR(INDEX(PP_Grid[#Data],M_BOM[PPGridRow],11),0))/19.63</f>
        <v/>
      </c>
      <c r="L72">
        <f>SUMPRODUCT((M_BOM[Part Name]=$A72)*M_BOM[RM_Qty_Per_Batch]*IFERROR(INDEX(PP_Grid[#Data],M_BOM[PPGridRow],12),0))/19.63</f>
        <v/>
      </c>
      <c r="M72">
        <f>SUMPRODUCT((M_BOM[Part Name]=$A72)*M_BOM[RM_Qty_Per_Batch]*IFERROR(INDEX(PP_Grid[#Data],M_BOM[PPGridRow],13),0))/19.63</f>
        <v/>
      </c>
      <c r="N72">
        <f>SUMPRODUCT((M_BOM[Part Name]=$A72)*M_BOM[RM_Qty_Per_Batch]*IFERROR(INDEX(PP_Grid[#Data],M_BOM[PPGridRow],14),0))/19.63</f>
        <v/>
      </c>
      <c r="O72">
        <f>SUMPRODUCT((M_BOM[Part Name]=$A72)*M_BOM[RM_Qty_Per_Batch]*IFERROR(INDEX(PP_Grid[#Data],M_BOM[PPGridRow],15),0))/19.63</f>
        <v/>
      </c>
      <c r="P72">
        <f>SUMPRODUCT((M_BOM[Part Name]=$A72)*M_BOM[RM_Qty_Per_Batch]*IFERROR(INDEX(PP_Grid[#Data],M_BOM[PPGridRow],16),0))/19.63</f>
        <v/>
      </c>
      <c r="Q72">
        <f>SUMPRODUCT((M_BOM[Part Name]=$A72)*M_BOM[RM_Qty_Per_Batch]*IFERROR(INDEX(PP_Grid[#Data],M_BOM[PPGridRow],17),0))/19.63</f>
        <v/>
      </c>
      <c r="R72">
        <f>SUMPRODUCT((M_BOM[Part Name]=$A72)*M_BOM[RM_Qty_Per_Batch]*IFERROR(INDEX(PP_Grid[#Data],M_BOM[PPGridRow],18),0))/19.63</f>
        <v/>
      </c>
      <c r="S72">
        <f>SUMPRODUCT((M_BOM[Part Name]=$A72)*M_BOM[RM_Qty_Per_Batch]*IFERROR(INDEX(PP_Grid[#Data],M_BOM[PPGridRow],19),0))/19.63</f>
        <v/>
      </c>
      <c r="T72">
        <f>SUMPRODUCT((M_BOM[Part Name]=$A72)*M_BOM[RM_Qty_Per_Batch]*IFERROR(INDEX(PP_Grid[#Data],M_BOM[PPGridRow],20),0))/19.63</f>
        <v/>
      </c>
      <c r="U72">
        <f>SUMPRODUCT((M_BOM[Part Name]=$A72)*M_BOM[RM_Qty_Per_Batch]*IFERROR(INDEX(PP_Grid[#Data],M_BOM[PPGridRow],21),0))/19.63</f>
        <v/>
      </c>
      <c r="V72">
        <f>SUMPRODUCT((M_BOM[Part Name]=$A72)*M_BOM[RM_Qty_Per_Batch]*IFERROR(INDEX(PP_Grid[#Data],M_BOM[PPGridRow],22),0))/19.63</f>
        <v/>
      </c>
      <c r="W72">
        <f>SUMPRODUCT((M_BOM[Part Name]=$A72)*M_BOM[RM_Qty_Per_Batch]*IFERROR(INDEX(PP_Grid[#Data],M_BOM[PPGridRow],23),0))/19.63</f>
        <v/>
      </c>
      <c r="X72">
        <f>SUMPRODUCT((M_BOM[Part Name]=$A72)*M_BOM[RM_Qty_Per_Batch]*IFERROR(INDEX(PP_Grid[#Data],M_BOM[PPGridRow],24),0))/19.63</f>
        <v/>
      </c>
      <c r="Y72">
        <f>SUMPRODUCT((M_BOM[Part Name]=$A72)*M_BOM[RM_Qty_Per_Batch]*IFERROR(INDEX(PP_Grid[#Data],M_BOM[PPGridRow],25),0))/19.63</f>
        <v/>
      </c>
      <c r="Z72">
        <f>SUMPRODUCT((M_BOM[Part Name]=$A72)*M_BOM[RM_Qty_Per_Batch]*IFERROR(INDEX(PP_Grid[#Data],M_BOM[PPGridRow],26),0))/19.63</f>
        <v/>
      </c>
      <c r="AA72">
        <f>SUMPRODUCT((M_BOM[Part Name]=$A72)*M_BOM[RM_Qty_Per_Batch]*IFERROR(INDEX(PP_Grid[#Data],M_BOM[PPGridRow],27),0))/19.63</f>
        <v/>
      </c>
      <c r="AB72">
        <f>SUMPRODUCT((M_BOM[Part Name]=$A72)*M_BOM[RM_Qty_Per_Batch]*IFERROR(INDEX(PP_Grid[#Data],M_BOM[PPGridRow],28),0))/19.63</f>
        <v/>
      </c>
      <c r="AC72">
        <f>SUMPRODUCT((M_BOM[Part Name]=$A72)*M_BOM[RM_Qty_Per_Batch]*IFERROR(INDEX(PP_Grid[#Data],M_BOM[PPGridRow],29),0))/19.63</f>
        <v/>
      </c>
      <c r="AD72">
        <f>SUMPRODUCT((M_BOM[Part Name]=$A72)*M_BOM[RM_Qty_Per_Batch]*IFERROR(INDEX(PP_Grid[#Data],M_BOM[PPGridRow],30),0))/19.63</f>
        <v/>
      </c>
      <c r="AE72">
        <f>SUMPRODUCT((M_BOM[Part Name]=$A72)*M_BOM[RM_Qty_Per_Batch]*IFERROR(INDEX(PP_Grid[#Data],M_BOM[PPGridRow],31),0))/19.63</f>
        <v/>
      </c>
      <c r="AF72">
        <f>SUMPRODUCT((M_BOM[Part Name]=$A72)*M_BOM[RM_Qty_Per_Batch]*IFERROR(INDEX(PP_Grid[#Data],M_BOM[PPGridRow],32),0))/19.63</f>
        <v/>
      </c>
      <c r="AG72">
        <f>SUMPRODUCT((M_BOM[Part Name]=$A72)*M_BOM[RM_Qty_Per_Batch]*IFERROR(INDEX(PP_Grid[#Data],M_BOM[PPGridRow],33),0))/19.63</f>
        <v/>
      </c>
      <c r="AH72">
        <f>SUMPRODUCT((M_BOM[Part Name]=$A72)*M_BOM[RM_Qty_Per_Batch]*IFERROR(INDEX(PP_Grid[#Data],M_BOM[PPGridRow],34),0))/19.63</f>
        <v/>
      </c>
      <c r="AI72">
        <f>SUMPRODUCT((M_BOM[Part Name]=$A72)*M_BOM[RM_Qty_Per_Batch]*IFERROR(INDEX(PP_Grid[#Data],M_BOM[PPGridRow],35),0))/19.63</f>
        <v/>
      </c>
      <c r="AJ72">
        <f>SUMPRODUCT((M_BOM[Part Name]=$A72)*M_BOM[RM_Qty_Per_Batch]*IFERROR(INDEX(PP_Grid[#Data],M_BOM[PPGridRow],36),0))/19.63</f>
        <v/>
      </c>
      <c r="AK72">
        <f>SUMPRODUCT((M_BOM[Part Name]=$A72)*M_BOM[RM_Qty_Per_Batch]*IFERROR(INDEX(PP_Grid[#Data],M_BOM[PPGridRow],37),0))/19.63</f>
        <v/>
      </c>
      <c r="AL72">
        <f>SUMPRODUCT((M_BOM[Part Name]=$A72)*M_BOM[RM_Qty_Per_Batch]*IFERROR(INDEX(PP_Grid[#Data],M_BOM[PPGridRow],38),0))/19.63</f>
        <v/>
      </c>
      <c r="AM72">
        <f>SUMPRODUCT((M_BOM[Part Name]=$A72)*M_BOM[RM_Qty_Per_Batch]*IFERROR(INDEX(PP_Grid[#Data],M_BOM[PPGridRow],39),0))/19.63</f>
        <v/>
      </c>
      <c r="AN72">
        <f>SUMPRODUCT((M_BOM[Part Name]=$A72)*M_BOM[RM_Qty_Per_Batch]*IFERROR(INDEX(PP_Grid[#Data],M_BOM[PPGridRow],40),0))/19.63</f>
        <v/>
      </c>
      <c r="AO72">
        <f>SUMPRODUCT((M_BOM[Part Name]=$A72)*M_BOM[RM_Qty_Per_Batch]*IFERROR(INDEX(PP_Grid[#Data],M_BOM[PPGridRow],41),0))/19.63</f>
        <v/>
      </c>
      <c r="AP72">
        <f>SUMPRODUCT((M_BOM[Part Name]=$A72)*M_BOM[RM_Qty_Per_Batch]*IFERROR(INDEX(PP_Grid[#Data],M_BOM[PPGridRow],42),0))/19.63</f>
        <v/>
      </c>
      <c r="AQ72">
        <f>SUMPRODUCT((M_BOM[Part Name]=$A72)*M_BOM[RM_Qty_Per_Batch]*IFERROR(INDEX(PP_Grid[#Data],M_BOM[PPGridRow],43),0))/19.63</f>
        <v/>
      </c>
      <c r="AR72">
        <f>SUMPRODUCT((M_BOM[Part Name]=$A72)*M_BOM[RM_Qty_Per_Batch]*IFERROR(INDEX(PP_Grid[#Data],M_BOM[PPGridRow],44),0))/19.63</f>
        <v/>
      </c>
      <c r="AS72">
        <f>SUMPRODUCT((M_BOM[Part Name]=$A72)*M_BOM[RM_Qty_Per_Batch]*IFERROR(INDEX(PP_Grid[#Data],M_BOM[PPGridRow],45),0))/19.63</f>
        <v/>
      </c>
      <c r="AT72">
        <f>SUMPRODUCT((M_BOM[Part Name]=$A72)*M_BOM[RM_Qty_Per_Batch]*IFERROR(INDEX(PP_Grid[#Data],M_BOM[PPGridRow],46),0))/19.63</f>
        <v/>
      </c>
      <c r="AU72">
        <f>SUMPRODUCT((M_BOM[Part Name]=$A72)*M_BOM[RM_Qty_Per_Batch]*IFERROR(INDEX(PP_Grid[#Data],M_BOM[PPGridRow],47),0))/19.63</f>
        <v/>
      </c>
      <c r="AV72">
        <f>SUMPRODUCT((M_BOM[Part Name]=$A72)*M_BOM[RM_Qty_Per_Batch]*IFERROR(INDEX(PP_Grid[#Data],M_BOM[PPGridRow],48),0))/19.63</f>
        <v/>
      </c>
      <c r="AW72">
        <f>SUMPRODUCT((M_BOM[Part Name]=$A72)*M_BOM[RM_Qty_Per_Batch]*IFERROR(INDEX(PP_Grid[#Data],M_BOM[PPGridRow],49),0))/19.63</f>
        <v/>
      </c>
      <c r="AX72">
        <f>SUMPRODUCT((M_BOM[Part Name]=$A72)*M_BOM[RM_Qty_Per_Batch]*IFERROR(INDEX(PP_Grid[#Data],M_BOM[PPGridRow],50),0))/19.63</f>
        <v/>
      </c>
      <c r="AY72">
        <f>SUMPRODUCT((M_BOM[Part Name]=$A72)*M_BOM[RM_Qty_Per_Batch]*IFERROR(INDEX(PP_Grid[#Data],M_BOM[PPGridRow],51),0))/19.63</f>
        <v/>
      </c>
      <c r="AZ72">
        <f>SUMPRODUCT((M_BOM[Part Name]=$A72)*M_BOM[RM_Qty_Per_Batch]*IFERROR(INDEX(PP_Grid[#Data],M_BOM[PPGridRow],52),0))/19.63</f>
        <v/>
      </c>
      <c r="BA72">
        <f>SUMPRODUCT((M_BOM[Part Name]=$A72)*M_BOM[RM_Qty_Per_Batch]*IFERROR(INDEX(PP_Grid[#Data],M_BOM[PPGridRow],53),0))/19.63</f>
        <v/>
      </c>
      <c r="BB72">
        <f>SUMPRODUCT((M_BOM[Part Name]=$A72)*M_BOM[RM_Qty_Per_Batch]*IFERROR(INDEX(PP_Grid[#Data],M_BOM[PPGridRow],54),0))/19.63</f>
        <v/>
      </c>
      <c r="BC72">
        <f>SUMPRODUCT((M_BOM[Part Name]=$A72)*M_BOM[RM_Qty_Per_Batch]*IFERROR(INDEX(PP_Grid[#Data],M_BOM[PPGridRow],55),0))/19.63</f>
        <v/>
      </c>
      <c r="BD72">
        <f>SUMPRODUCT((M_BOM[Part Name]=$A72)*M_BOM[RM_Qty_Per_Batch]*IFERROR(INDEX(PP_Grid[#Data],M_BOM[PPGridRow],56),0))/19.63</f>
        <v/>
      </c>
      <c r="BE72">
        <f>SUMPRODUCT((M_BOM[Part Name]=$A72)*M_BOM[RM_Qty_Per_Batch]*IFERROR(INDEX(PP_Grid[#Data],M_BOM[PPGridRow],57),0))/19.63</f>
        <v/>
      </c>
      <c r="BF72">
        <f>SUMPRODUCT((M_BOM[Part Name]=$A72)*M_BOM[RM_Qty_Per_Batch]*IFERROR(INDEX(PP_Grid[#Data],M_BOM[PPGridRow],58),0))/19.63</f>
        <v/>
      </c>
      <c r="BG72">
        <f>SUMPRODUCT((M_BOM[Part Name]=$A72)*M_BOM[RM_Qty_Per_Batch]*IFERROR(INDEX(PP_Grid[#Data],M_BOM[PPGridRow],59),0))/19.63</f>
        <v/>
      </c>
      <c r="BH72">
        <f>SUMPRODUCT((M_BOM[Part Name]=$A72)*M_BOM[RM_Qty_Per_Batch]*IFERROR(INDEX(PP_Grid[#Data],M_BOM[PPGridRow],60),0))/19.63</f>
        <v/>
      </c>
      <c r="BI72">
        <f>SUMPRODUCT((M_BOM[Part Name]=$A72)*M_BOM[RM_Qty_Per_Batch]*IFERROR(INDEX(PP_Grid[#Data],M_BOM[PPGridRow],61),0))/19.63</f>
        <v/>
      </c>
      <c r="BJ72">
        <f>SUMPRODUCT((M_BOM[Part Name]=$A72)*M_BOM[RM_Qty_Per_Batch]*IFERROR(INDEX(PP_Grid[#Data],M_BOM[PPGridRow],62),0))/19.63</f>
        <v/>
      </c>
      <c r="BK72">
        <f>SUMPRODUCT((M_BOM[Part Name]=$A72)*M_BOM[RM_Qty_Per_Batch]*IFERROR(INDEX(PP_Grid[#Data],M_BOM[PPGridRow],63),0))/19.63</f>
        <v/>
      </c>
      <c r="BL72">
        <f>SUMPRODUCT((M_BOM[Part Name]=$A72)*M_BOM[RM_Qty_Per_Batch]*IFERROR(INDEX(PP_Grid[#Data],M_BOM[PPGridRow],64),0))/19.63</f>
        <v/>
      </c>
      <c r="BM72">
        <f>SUMPRODUCT((M_BOM[Part Name]=$A72)*M_BOM[RM_Qty_Per_Batch]*IFERROR(INDEX(PP_Grid[#Data],M_BOM[PPGridRow],65),0))/19.63</f>
        <v/>
      </c>
      <c r="BN72">
        <f>SUMPRODUCT((M_BOM[Part Name]=$A72)*M_BOM[RM_Qty_Per_Batch]*IFERROR(INDEX(PP_Grid[#Data],M_BOM[PPGridRow],66),0))/19.63</f>
        <v/>
      </c>
      <c r="BO72">
        <f>SUMPRODUCT((M_BOM[Part Name]=$A72)*M_BOM[RM_Qty_Per_Batch]*IFERROR(INDEX(PP_Grid[#Data],M_BOM[PPGridRow],67),0))/19.63</f>
        <v/>
      </c>
      <c r="BP72">
        <f>SUMPRODUCT((M_BOM[Part Name]=$A72)*M_BOM[RM_Qty_Per_Batch]*IFERROR(INDEX(PP_Grid[#Data],M_BOM[PPGridRow],68),0))/19.63</f>
        <v/>
      </c>
      <c r="BQ72">
        <f>SUMPRODUCT((M_BOM[Part Name]=$A72)*M_BOM[RM_Qty_Per_Batch]*IFERROR(INDEX(PP_Grid[#Data],M_BOM[PPGridRow],69),0))/19.63</f>
        <v/>
      </c>
      <c r="BR72">
        <f>SUMPRODUCT((M_BOM[Part Name]=$A72)*M_BOM[RM_Qty_Per_Batch]*IFERROR(INDEX(PP_Grid[#Data],M_BOM[PPGridRow],70),0))/19.63</f>
        <v/>
      </c>
      <c r="BS72">
        <f>SUMPRODUCT((M_BOM[Part Name]=$A72)*M_BOM[RM_Qty_Per_Batch]*IFERROR(INDEX(PP_Grid[#Data],M_BOM[PPGridRow],71),0))/19.63</f>
        <v/>
      </c>
      <c r="BT72">
        <f>SUMPRODUCT((M_BOM[Part Name]=$A72)*M_BOM[RM_Qty_Per_Batch]*IFERROR(INDEX(PP_Grid[#Data],M_BOM[PPGridRow],72),0))/19.63</f>
        <v/>
      </c>
      <c r="BU72">
        <f>SUMPRODUCT((M_BOM[Part Name]=$A72)*M_BOM[RM_Qty_Per_Batch]*IFERROR(INDEX(PP_Grid[#Data],M_BOM[PPGridRow],73),0))/19.63</f>
        <v/>
      </c>
      <c r="BV72">
        <f>SUMPRODUCT((M_BOM[Part Name]=$A72)*M_BOM[RM_Qty_Per_Batch]*IFERROR(INDEX(PP_Grid[#Data],M_BOM[PPGridRow],74),0))/19.63</f>
        <v/>
      </c>
      <c r="BW72">
        <f>SUMPRODUCT((M_BOM[Part Name]=$A72)*M_BOM[RM_Qty_Per_Batch]*IFERROR(INDEX(PP_Grid[#Data],M_BOM[PPGridRow],75),0))/19.63</f>
        <v/>
      </c>
      <c r="BX72">
        <f>SUMPRODUCT((M_BOM[Part Name]=$A72)*M_BOM[RM_Qty_Per_Batch]*IFERROR(INDEX(PP_Grid[#Data],M_BOM[PPGridRow],76),0))/19.63</f>
        <v/>
      </c>
      <c r="BY72">
        <f>SUMPRODUCT((M_BOM[Part Name]=$A72)*M_BOM[RM_Qty_Per_Batch]*IFERROR(INDEX(PP_Grid[#Data],M_BOM[PPGridRow],77),0))/19.63</f>
        <v/>
      </c>
      <c r="BZ72">
        <f>SUMPRODUCT((M_BOM[Part Name]=$A72)*M_BOM[RM_Qty_Per_Batch]*IFERROR(INDEX(PP_Grid[#Data],M_BOM[PPGridRow],78),0))/19.63</f>
        <v/>
      </c>
      <c r="CA72">
        <f>SUMPRODUCT((M_BOM[Part Name]=$A72)*M_BOM[RM_Qty_Per_Batch]*IFERROR(INDEX(PP_Grid[#Data],M_BOM[PPGridRow],79),0))/19.63</f>
        <v/>
      </c>
      <c r="CB72">
        <f>SUMPRODUCT((M_BOM[Part Name]=$A72)*M_BOM[RM_Qty_Per_Batch]*IFERROR(INDEX(PP_Grid[#Data],M_BOM[PPGridRow],80),0))/19.63</f>
        <v/>
      </c>
      <c r="CC72">
        <f>SUMPRODUCT((M_BOM[Part Name]=$A72)*M_BOM[RM_Qty_Per_Batch]*IFERROR(INDEX(PP_Grid[#Data],M_BOM[PPGridRow],81),0))/19.63</f>
        <v/>
      </c>
      <c r="CD72">
        <f>SUMPRODUCT((M_BOM[Part Name]=$A72)*M_BOM[RM_Qty_Per_Batch]*IFERROR(INDEX(PP_Grid[#Data],M_BOM[PPGridRow],82),0))/19.63</f>
        <v/>
      </c>
      <c r="CE72">
        <f>SUMPRODUCT((M_BOM[Part Name]=$A72)*M_BOM[RM_Qty_Per_Batch]*IFERROR(INDEX(PP_Grid[#Data],M_BOM[PPGridRow],83),0))/19.63</f>
        <v/>
      </c>
      <c r="CF72">
        <f>SUMPRODUCT((M_BOM[Part Name]=$A72)*M_BOM[RM_Qty_Per_Batch]*IFERROR(INDEX(PP_Grid[#Data],M_BOM[PPGridRow],84),0))/19.63</f>
        <v/>
      </c>
      <c r="CG72">
        <f>SUMPRODUCT((M_BOM[Part Name]=$A72)*M_BOM[RM_Qty_Per_Batch]*IFERROR(INDEX(PP_Grid[#Data],M_BOM[PPGridRow],85),0))/19.63</f>
        <v/>
      </c>
      <c r="CH72">
        <f>SUMPRODUCT((M_BOM[Part Name]=$A72)*M_BOM[RM_Qty_Per_Batch]*IFERROR(INDEX(PP_Grid[#Data],M_BOM[PPGridRow],86),0))/19.63</f>
        <v/>
      </c>
      <c r="CI72">
        <f>SUMPRODUCT((M_BOM[Part Name]=$A72)*M_BOM[RM_Qty_Per_Batch]*IFERROR(INDEX(PP_Grid[#Data],M_BOM[PPGridRow],87),0))/19.63</f>
        <v/>
      </c>
      <c r="CJ72">
        <f>SUMPRODUCT((M_BOM[Part Name]=$A72)*M_BOM[RM_Qty_Per_Batch]*IFERROR(INDEX(PP_Grid[#Data],M_BOM[PPGridRow],88),0))/19.63</f>
        <v/>
      </c>
      <c r="CK72">
        <f>SUMPRODUCT((M_BOM[Part Name]=$A72)*M_BOM[RM_Qty_Per_Batch]*IFERROR(INDEX(PP_Grid[#Data],M_BOM[PPGridRow],89),0))/19.63</f>
        <v/>
      </c>
      <c r="CL72">
        <f>SUMPRODUCT((M_BOM[Part Name]=$A72)*M_BOM[RM_Qty_Per_Batch]*IFERROR(INDEX(PP_Grid[#Data],M_BOM[PPGridRow],90),0))/19.63</f>
        <v/>
      </c>
      <c r="CM72">
        <f>SUMPRODUCT((M_BOM[Part Name]=$A72)*M_BOM[RM_Qty_Per_Batch]*IFERROR(INDEX(PP_Grid[#Data],M_BOM[PPGridRow],91),0))/19.63</f>
        <v/>
      </c>
      <c r="CN72">
        <f>SUMPRODUCT((M_BOM[Part Name]=$A72)*M_BOM[RM_Qty_Per_Batch]*IFERROR(INDEX(PP_Grid[#Data],M_BOM[PPGridRow],92),0))/19.63</f>
        <v/>
      </c>
      <c r="CO72">
        <f>SUMPRODUCT((M_BOM[Part Name]=$A72)*M_BOM[RM_Qty_Per_Batch]*IFERROR(INDEX(PP_Grid[#Data],M_BOM[PPGridRow],93),0))/19.63</f>
        <v/>
      </c>
      <c r="CP72">
        <f>SUMPRODUCT((M_BOM[Part Name]=$A72)*M_BOM[RM_Qty_Per_Batch]*IFERROR(INDEX(PP_Grid[#Data],M_BOM[PPGridRow],94),0))/19.63</f>
        <v/>
      </c>
      <c r="CQ72">
        <f>SUMPRODUCT((M_BOM[Part Name]=$A72)*M_BOM[RM_Qty_Per_Batch]*IFERROR(INDEX(PP_Grid[#Data],M_BOM[PPGridRow],95),0))/19.63</f>
        <v/>
      </c>
      <c r="CR72">
        <f>SUMPRODUCT((M_BOM[Part Name]=$A72)*M_BOM[RM_Qty_Per_Batch]*IFERROR(INDEX(PP_Grid[#Data],M_BOM[PPGridRow],96),0))/19.63</f>
        <v/>
      </c>
      <c r="CS72">
        <f>SUMPRODUCT((M_BOM[Part Name]=$A72)*M_BOM[RM_Qty_Per_Batch]*IFERROR(INDEX(PP_Grid[#Data],M_BOM[PPGridRow],97),0))/19.63</f>
        <v/>
      </c>
      <c r="CT72">
        <f>SUMPRODUCT((M_BOM[Part Name]=$A72)*M_BOM[RM_Qty_Per_Batch]*IFERROR(INDEX(PP_Grid[#Data],M_BOM[PPGridRow],98),0))/19.63</f>
        <v/>
      </c>
      <c r="CU72">
        <f>SUMPRODUCT((M_BOM[Part Name]=$A72)*M_BOM[RM_Qty_Per_Batch]*IFERROR(INDEX(PP_Grid[#Data],M_BOM[PPGridRow],99),0))/19.63</f>
        <v/>
      </c>
      <c r="CV72">
        <f>SUMPRODUCT((M_BOM[Part Name]=$A72)*M_BOM[RM_Qty_Per_Batch]*IFERROR(INDEX(PP_Grid[#Data],M_BOM[PPGridRow],100),0))/19.63</f>
        <v/>
      </c>
      <c r="CW72">
        <f>SUMPRODUCT((M_BOM[Part Name]=$A72)*M_BOM[RM_Qty_Per_Batch]*IFERROR(INDEX(PP_Grid[#Data],M_BOM[PPGridRow],101),0))/19.63</f>
        <v/>
      </c>
      <c r="CX72">
        <f>SUMPRODUCT((M_BOM[Part Name]=$A72)*M_BOM[RM_Qty_Per_Batch]*IFERROR(INDEX(PP_Grid[#Data],M_BOM[PPGridRow],102),0))/19.63</f>
        <v/>
      </c>
      <c r="CY72">
        <f>SUMPRODUCT((M_BOM[Part Name]=$A72)*M_BOM[RM_Qty_Per_Batch]*IFERROR(INDEX(PP_Grid[#Data],M_BOM[PPGridRow],103),0))/19.63</f>
        <v/>
      </c>
      <c r="CZ72">
        <f>SUMPRODUCT((M_BOM[Part Name]=$A72)*M_BOM[RM_Qty_Per_Batch]*IFERROR(INDEX(PP_Grid[#Data],M_BOM[PPGridRow],104),0))/19.63</f>
        <v/>
      </c>
      <c r="DA72">
        <f>SUMPRODUCT((M_BOM[Part Name]=$A72)*M_BOM[RM_Qty_Per_Batch]*IFERROR(INDEX(PP_Grid[#Data],M_BOM[PPGridRow],105),0))/19.63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Name]=$A73)*M_BOM[RM_Qty_Per_Batch]*IFERROR(INDEX(PP_Grid[#Data],M_BOM[PPGridRow],2),0))/64.4</f>
        <v/>
      </c>
      <c r="C73">
        <f>SUMPRODUCT((M_BOM[Part Name]=$A73)*M_BOM[RM_Qty_Per_Batch]*IFERROR(INDEX(PP_Grid[#Data],M_BOM[PPGridRow],3),0))/64.4</f>
        <v/>
      </c>
      <c r="D73">
        <f>SUMPRODUCT((M_BOM[Part Name]=$A73)*M_BOM[RM_Qty_Per_Batch]*IFERROR(INDEX(PP_Grid[#Data],M_BOM[PPGridRow],4),0))/64.4</f>
        <v/>
      </c>
      <c r="E73">
        <f>SUMPRODUCT((M_BOM[Part Name]=$A73)*M_BOM[RM_Qty_Per_Batch]*IFERROR(INDEX(PP_Grid[#Data],M_BOM[PPGridRow],5),0))/64.4</f>
        <v/>
      </c>
      <c r="F73">
        <f>SUMPRODUCT((M_BOM[Part Name]=$A73)*M_BOM[RM_Qty_Per_Batch]*IFERROR(INDEX(PP_Grid[#Data],M_BOM[PPGridRow],6),0))/64.4</f>
        <v/>
      </c>
      <c r="G73">
        <f>SUMPRODUCT((M_BOM[Part Name]=$A73)*M_BOM[RM_Qty_Per_Batch]*IFERROR(INDEX(PP_Grid[#Data],M_BOM[PPGridRow],7),0))/64.4</f>
        <v/>
      </c>
      <c r="H73">
        <f>SUMPRODUCT((M_BOM[Part Name]=$A73)*M_BOM[RM_Qty_Per_Batch]*IFERROR(INDEX(PP_Grid[#Data],M_BOM[PPGridRow],8),0))/64.4</f>
        <v/>
      </c>
      <c r="I73">
        <f>SUMPRODUCT((M_BOM[Part Name]=$A73)*M_BOM[RM_Qty_Per_Batch]*IFERROR(INDEX(PP_Grid[#Data],M_BOM[PPGridRow],9),0))/64.4</f>
        <v/>
      </c>
      <c r="J73">
        <f>SUMPRODUCT((M_BOM[Part Name]=$A73)*M_BOM[RM_Qty_Per_Batch]*IFERROR(INDEX(PP_Grid[#Data],M_BOM[PPGridRow],10),0))/64.4</f>
        <v/>
      </c>
      <c r="K73">
        <f>SUMPRODUCT((M_BOM[Part Name]=$A73)*M_BOM[RM_Qty_Per_Batch]*IFERROR(INDEX(PP_Grid[#Data],M_BOM[PPGridRow],11),0))/64.4</f>
        <v/>
      </c>
      <c r="L73">
        <f>SUMPRODUCT((M_BOM[Part Name]=$A73)*M_BOM[RM_Qty_Per_Batch]*IFERROR(INDEX(PP_Grid[#Data],M_BOM[PPGridRow],12),0))/64.4</f>
        <v/>
      </c>
      <c r="M73">
        <f>SUMPRODUCT((M_BOM[Part Name]=$A73)*M_BOM[RM_Qty_Per_Batch]*IFERROR(INDEX(PP_Grid[#Data],M_BOM[PPGridRow],13),0))/64.4</f>
        <v/>
      </c>
      <c r="N73">
        <f>SUMPRODUCT((M_BOM[Part Name]=$A73)*M_BOM[RM_Qty_Per_Batch]*IFERROR(INDEX(PP_Grid[#Data],M_BOM[PPGridRow],14),0))/64.4</f>
        <v/>
      </c>
      <c r="O73">
        <f>SUMPRODUCT((M_BOM[Part Name]=$A73)*M_BOM[RM_Qty_Per_Batch]*IFERROR(INDEX(PP_Grid[#Data],M_BOM[PPGridRow],15),0))/64.4</f>
        <v/>
      </c>
      <c r="P73">
        <f>SUMPRODUCT((M_BOM[Part Name]=$A73)*M_BOM[RM_Qty_Per_Batch]*IFERROR(INDEX(PP_Grid[#Data],M_BOM[PPGridRow],16),0))/64.4</f>
        <v/>
      </c>
      <c r="Q73">
        <f>SUMPRODUCT((M_BOM[Part Name]=$A73)*M_BOM[RM_Qty_Per_Batch]*IFERROR(INDEX(PP_Grid[#Data],M_BOM[PPGridRow],17),0))/64.4</f>
        <v/>
      </c>
      <c r="R73">
        <f>SUMPRODUCT((M_BOM[Part Name]=$A73)*M_BOM[RM_Qty_Per_Batch]*IFERROR(INDEX(PP_Grid[#Data],M_BOM[PPGridRow],18),0))/64.4</f>
        <v/>
      </c>
      <c r="S73">
        <f>SUMPRODUCT((M_BOM[Part Name]=$A73)*M_BOM[RM_Qty_Per_Batch]*IFERROR(INDEX(PP_Grid[#Data],M_BOM[PPGridRow],19),0))/64.4</f>
        <v/>
      </c>
      <c r="T73">
        <f>SUMPRODUCT((M_BOM[Part Name]=$A73)*M_BOM[RM_Qty_Per_Batch]*IFERROR(INDEX(PP_Grid[#Data],M_BOM[PPGridRow],20),0))/64.4</f>
        <v/>
      </c>
      <c r="U73">
        <f>SUMPRODUCT((M_BOM[Part Name]=$A73)*M_BOM[RM_Qty_Per_Batch]*IFERROR(INDEX(PP_Grid[#Data],M_BOM[PPGridRow],21),0))/64.4</f>
        <v/>
      </c>
      <c r="V73">
        <f>SUMPRODUCT((M_BOM[Part Name]=$A73)*M_BOM[RM_Qty_Per_Batch]*IFERROR(INDEX(PP_Grid[#Data],M_BOM[PPGridRow],22),0))/64.4</f>
        <v/>
      </c>
      <c r="W73">
        <f>SUMPRODUCT((M_BOM[Part Name]=$A73)*M_BOM[RM_Qty_Per_Batch]*IFERROR(INDEX(PP_Grid[#Data],M_BOM[PPGridRow],23),0))/64.4</f>
        <v/>
      </c>
      <c r="X73">
        <f>SUMPRODUCT((M_BOM[Part Name]=$A73)*M_BOM[RM_Qty_Per_Batch]*IFERROR(INDEX(PP_Grid[#Data],M_BOM[PPGridRow],24),0))/64.4</f>
        <v/>
      </c>
      <c r="Y73">
        <f>SUMPRODUCT((M_BOM[Part Name]=$A73)*M_BOM[RM_Qty_Per_Batch]*IFERROR(INDEX(PP_Grid[#Data],M_BOM[PPGridRow],25),0))/64.4</f>
        <v/>
      </c>
      <c r="Z73">
        <f>SUMPRODUCT((M_BOM[Part Name]=$A73)*M_BOM[RM_Qty_Per_Batch]*IFERROR(INDEX(PP_Grid[#Data],M_BOM[PPGridRow],26),0))/64.4</f>
        <v/>
      </c>
      <c r="AA73">
        <f>SUMPRODUCT((M_BOM[Part Name]=$A73)*M_BOM[RM_Qty_Per_Batch]*IFERROR(INDEX(PP_Grid[#Data],M_BOM[PPGridRow],27),0))/64.4</f>
        <v/>
      </c>
      <c r="AB73">
        <f>SUMPRODUCT((M_BOM[Part Name]=$A73)*M_BOM[RM_Qty_Per_Batch]*IFERROR(INDEX(PP_Grid[#Data],M_BOM[PPGridRow],28),0))/64.4</f>
        <v/>
      </c>
      <c r="AC73">
        <f>SUMPRODUCT((M_BOM[Part Name]=$A73)*M_BOM[RM_Qty_Per_Batch]*IFERROR(INDEX(PP_Grid[#Data],M_BOM[PPGridRow],29),0))/64.4</f>
        <v/>
      </c>
      <c r="AD73">
        <f>SUMPRODUCT((M_BOM[Part Name]=$A73)*M_BOM[RM_Qty_Per_Batch]*IFERROR(INDEX(PP_Grid[#Data],M_BOM[PPGridRow],30),0))/64.4</f>
        <v/>
      </c>
      <c r="AE73">
        <f>SUMPRODUCT((M_BOM[Part Name]=$A73)*M_BOM[RM_Qty_Per_Batch]*IFERROR(INDEX(PP_Grid[#Data],M_BOM[PPGridRow],31),0))/64.4</f>
        <v/>
      </c>
      <c r="AF73">
        <f>SUMPRODUCT((M_BOM[Part Name]=$A73)*M_BOM[RM_Qty_Per_Batch]*IFERROR(INDEX(PP_Grid[#Data],M_BOM[PPGridRow],32),0))/64.4</f>
        <v/>
      </c>
      <c r="AG73">
        <f>SUMPRODUCT((M_BOM[Part Name]=$A73)*M_BOM[RM_Qty_Per_Batch]*IFERROR(INDEX(PP_Grid[#Data],M_BOM[PPGridRow],33),0))/64.4</f>
        <v/>
      </c>
      <c r="AH73">
        <f>SUMPRODUCT((M_BOM[Part Name]=$A73)*M_BOM[RM_Qty_Per_Batch]*IFERROR(INDEX(PP_Grid[#Data],M_BOM[PPGridRow],34),0))/64.4</f>
        <v/>
      </c>
      <c r="AI73">
        <f>SUMPRODUCT((M_BOM[Part Name]=$A73)*M_BOM[RM_Qty_Per_Batch]*IFERROR(INDEX(PP_Grid[#Data],M_BOM[PPGridRow],35),0))/64.4</f>
        <v/>
      </c>
      <c r="AJ73">
        <f>SUMPRODUCT((M_BOM[Part Name]=$A73)*M_BOM[RM_Qty_Per_Batch]*IFERROR(INDEX(PP_Grid[#Data],M_BOM[PPGridRow],36),0))/64.4</f>
        <v/>
      </c>
      <c r="AK73">
        <f>SUMPRODUCT((M_BOM[Part Name]=$A73)*M_BOM[RM_Qty_Per_Batch]*IFERROR(INDEX(PP_Grid[#Data],M_BOM[PPGridRow],37),0))/64.4</f>
        <v/>
      </c>
      <c r="AL73">
        <f>SUMPRODUCT((M_BOM[Part Name]=$A73)*M_BOM[RM_Qty_Per_Batch]*IFERROR(INDEX(PP_Grid[#Data],M_BOM[PPGridRow],38),0))/64.4</f>
        <v/>
      </c>
      <c r="AM73">
        <f>SUMPRODUCT((M_BOM[Part Name]=$A73)*M_BOM[RM_Qty_Per_Batch]*IFERROR(INDEX(PP_Grid[#Data],M_BOM[PPGridRow],39),0))/64.4</f>
        <v/>
      </c>
      <c r="AN73">
        <f>SUMPRODUCT((M_BOM[Part Name]=$A73)*M_BOM[RM_Qty_Per_Batch]*IFERROR(INDEX(PP_Grid[#Data],M_BOM[PPGridRow],40),0))/64.4</f>
        <v/>
      </c>
      <c r="AO73">
        <f>SUMPRODUCT((M_BOM[Part Name]=$A73)*M_BOM[RM_Qty_Per_Batch]*IFERROR(INDEX(PP_Grid[#Data],M_BOM[PPGridRow],41),0))/64.4</f>
        <v/>
      </c>
      <c r="AP73">
        <f>SUMPRODUCT((M_BOM[Part Name]=$A73)*M_BOM[RM_Qty_Per_Batch]*IFERROR(INDEX(PP_Grid[#Data],M_BOM[PPGridRow],42),0))/64.4</f>
        <v/>
      </c>
      <c r="AQ73">
        <f>SUMPRODUCT((M_BOM[Part Name]=$A73)*M_BOM[RM_Qty_Per_Batch]*IFERROR(INDEX(PP_Grid[#Data],M_BOM[PPGridRow],43),0))/64.4</f>
        <v/>
      </c>
      <c r="AR73">
        <f>SUMPRODUCT((M_BOM[Part Name]=$A73)*M_BOM[RM_Qty_Per_Batch]*IFERROR(INDEX(PP_Grid[#Data],M_BOM[PPGridRow],44),0))/64.4</f>
        <v/>
      </c>
      <c r="AS73">
        <f>SUMPRODUCT((M_BOM[Part Name]=$A73)*M_BOM[RM_Qty_Per_Batch]*IFERROR(INDEX(PP_Grid[#Data],M_BOM[PPGridRow],45),0))/64.4</f>
        <v/>
      </c>
      <c r="AT73">
        <f>SUMPRODUCT((M_BOM[Part Name]=$A73)*M_BOM[RM_Qty_Per_Batch]*IFERROR(INDEX(PP_Grid[#Data],M_BOM[PPGridRow],46),0))/64.4</f>
        <v/>
      </c>
      <c r="AU73">
        <f>SUMPRODUCT((M_BOM[Part Name]=$A73)*M_BOM[RM_Qty_Per_Batch]*IFERROR(INDEX(PP_Grid[#Data],M_BOM[PPGridRow],47),0))/64.4</f>
        <v/>
      </c>
      <c r="AV73">
        <f>SUMPRODUCT((M_BOM[Part Name]=$A73)*M_BOM[RM_Qty_Per_Batch]*IFERROR(INDEX(PP_Grid[#Data],M_BOM[PPGridRow],48),0))/64.4</f>
        <v/>
      </c>
      <c r="AW73">
        <f>SUMPRODUCT((M_BOM[Part Name]=$A73)*M_BOM[RM_Qty_Per_Batch]*IFERROR(INDEX(PP_Grid[#Data],M_BOM[PPGridRow],49),0))/64.4</f>
        <v/>
      </c>
      <c r="AX73">
        <f>SUMPRODUCT((M_BOM[Part Name]=$A73)*M_BOM[RM_Qty_Per_Batch]*IFERROR(INDEX(PP_Grid[#Data],M_BOM[PPGridRow],50),0))/64.4</f>
        <v/>
      </c>
      <c r="AY73">
        <f>SUMPRODUCT((M_BOM[Part Name]=$A73)*M_BOM[RM_Qty_Per_Batch]*IFERROR(INDEX(PP_Grid[#Data],M_BOM[PPGridRow],51),0))/64.4</f>
        <v/>
      </c>
      <c r="AZ73">
        <f>SUMPRODUCT((M_BOM[Part Name]=$A73)*M_BOM[RM_Qty_Per_Batch]*IFERROR(INDEX(PP_Grid[#Data],M_BOM[PPGridRow],52),0))/64.4</f>
        <v/>
      </c>
      <c r="BA73">
        <f>SUMPRODUCT((M_BOM[Part Name]=$A73)*M_BOM[RM_Qty_Per_Batch]*IFERROR(INDEX(PP_Grid[#Data],M_BOM[PPGridRow],53),0))/64.4</f>
        <v/>
      </c>
      <c r="BB73">
        <f>SUMPRODUCT((M_BOM[Part Name]=$A73)*M_BOM[RM_Qty_Per_Batch]*IFERROR(INDEX(PP_Grid[#Data],M_BOM[PPGridRow],54),0))/64.4</f>
        <v/>
      </c>
      <c r="BC73">
        <f>SUMPRODUCT((M_BOM[Part Name]=$A73)*M_BOM[RM_Qty_Per_Batch]*IFERROR(INDEX(PP_Grid[#Data],M_BOM[PPGridRow],55),0))/64.4</f>
        <v/>
      </c>
      <c r="BD73">
        <f>SUMPRODUCT((M_BOM[Part Name]=$A73)*M_BOM[RM_Qty_Per_Batch]*IFERROR(INDEX(PP_Grid[#Data],M_BOM[PPGridRow],56),0))/64.4</f>
        <v/>
      </c>
      <c r="BE73">
        <f>SUMPRODUCT((M_BOM[Part Name]=$A73)*M_BOM[RM_Qty_Per_Batch]*IFERROR(INDEX(PP_Grid[#Data],M_BOM[PPGridRow],57),0))/64.4</f>
        <v/>
      </c>
      <c r="BF73">
        <f>SUMPRODUCT((M_BOM[Part Name]=$A73)*M_BOM[RM_Qty_Per_Batch]*IFERROR(INDEX(PP_Grid[#Data],M_BOM[PPGridRow],58),0))/64.4</f>
        <v/>
      </c>
      <c r="BG73">
        <f>SUMPRODUCT((M_BOM[Part Name]=$A73)*M_BOM[RM_Qty_Per_Batch]*IFERROR(INDEX(PP_Grid[#Data],M_BOM[PPGridRow],59),0))/64.4</f>
        <v/>
      </c>
      <c r="BH73">
        <f>SUMPRODUCT((M_BOM[Part Name]=$A73)*M_BOM[RM_Qty_Per_Batch]*IFERROR(INDEX(PP_Grid[#Data],M_BOM[PPGridRow],60),0))/64.4</f>
        <v/>
      </c>
      <c r="BI73">
        <f>SUMPRODUCT((M_BOM[Part Name]=$A73)*M_BOM[RM_Qty_Per_Batch]*IFERROR(INDEX(PP_Grid[#Data],M_BOM[PPGridRow],61),0))/64.4</f>
        <v/>
      </c>
      <c r="BJ73">
        <f>SUMPRODUCT((M_BOM[Part Name]=$A73)*M_BOM[RM_Qty_Per_Batch]*IFERROR(INDEX(PP_Grid[#Data],M_BOM[PPGridRow],62),0))/64.4</f>
        <v/>
      </c>
      <c r="BK73">
        <f>SUMPRODUCT((M_BOM[Part Name]=$A73)*M_BOM[RM_Qty_Per_Batch]*IFERROR(INDEX(PP_Grid[#Data],M_BOM[PPGridRow],63),0))/64.4</f>
        <v/>
      </c>
      <c r="BL73">
        <f>SUMPRODUCT((M_BOM[Part Name]=$A73)*M_BOM[RM_Qty_Per_Batch]*IFERROR(INDEX(PP_Grid[#Data],M_BOM[PPGridRow],64),0))/64.4</f>
        <v/>
      </c>
      <c r="BM73">
        <f>SUMPRODUCT((M_BOM[Part Name]=$A73)*M_BOM[RM_Qty_Per_Batch]*IFERROR(INDEX(PP_Grid[#Data],M_BOM[PPGridRow],65),0))/64.4</f>
        <v/>
      </c>
      <c r="BN73">
        <f>SUMPRODUCT((M_BOM[Part Name]=$A73)*M_BOM[RM_Qty_Per_Batch]*IFERROR(INDEX(PP_Grid[#Data],M_BOM[PPGridRow],66),0))/64.4</f>
        <v/>
      </c>
      <c r="BO73">
        <f>SUMPRODUCT((M_BOM[Part Name]=$A73)*M_BOM[RM_Qty_Per_Batch]*IFERROR(INDEX(PP_Grid[#Data],M_BOM[PPGridRow],67),0))/64.4</f>
        <v/>
      </c>
      <c r="BP73">
        <f>SUMPRODUCT((M_BOM[Part Name]=$A73)*M_BOM[RM_Qty_Per_Batch]*IFERROR(INDEX(PP_Grid[#Data],M_BOM[PPGridRow],68),0))/64.4</f>
        <v/>
      </c>
      <c r="BQ73">
        <f>SUMPRODUCT((M_BOM[Part Name]=$A73)*M_BOM[RM_Qty_Per_Batch]*IFERROR(INDEX(PP_Grid[#Data],M_BOM[PPGridRow],69),0))/64.4</f>
        <v/>
      </c>
      <c r="BR73">
        <f>SUMPRODUCT((M_BOM[Part Name]=$A73)*M_BOM[RM_Qty_Per_Batch]*IFERROR(INDEX(PP_Grid[#Data],M_BOM[PPGridRow],70),0))/64.4</f>
        <v/>
      </c>
      <c r="BS73">
        <f>SUMPRODUCT((M_BOM[Part Name]=$A73)*M_BOM[RM_Qty_Per_Batch]*IFERROR(INDEX(PP_Grid[#Data],M_BOM[PPGridRow],71),0))/64.4</f>
        <v/>
      </c>
      <c r="BT73">
        <f>SUMPRODUCT((M_BOM[Part Name]=$A73)*M_BOM[RM_Qty_Per_Batch]*IFERROR(INDEX(PP_Grid[#Data],M_BOM[PPGridRow],72),0))/64.4</f>
        <v/>
      </c>
      <c r="BU73">
        <f>SUMPRODUCT((M_BOM[Part Name]=$A73)*M_BOM[RM_Qty_Per_Batch]*IFERROR(INDEX(PP_Grid[#Data],M_BOM[PPGridRow],73),0))/64.4</f>
        <v/>
      </c>
      <c r="BV73">
        <f>SUMPRODUCT((M_BOM[Part Name]=$A73)*M_BOM[RM_Qty_Per_Batch]*IFERROR(INDEX(PP_Grid[#Data],M_BOM[PPGridRow],74),0))/64.4</f>
        <v/>
      </c>
      <c r="BW73">
        <f>SUMPRODUCT((M_BOM[Part Name]=$A73)*M_BOM[RM_Qty_Per_Batch]*IFERROR(INDEX(PP_Grid[#Data],M_BOM[PPGridRow],75),0))/64.4</f>
        <v/>
      </c>
      <c r="BX73">
        <f>SUMPRODUCT((M_BOM[Part Name]=$A73)*M_BOM[RM_Qty_Per_Batch]*IFERROR(INDEX(PP_Grid[#Data],M_BOM[PPGridRow],76),0))/64.4</f>
        <v/>
      </c>
      <c r="BY73">
        <f>SUMPRODUCT((M_BOM[Part Name]=$A73)*M_BOM[RM_Qty_Per_Batch]*IFERROR(INDEX(PP_Grid[#Data],M_BOM[PPGridRow],77),0))/64.4</f>
        <v/>
      </c>
      <c r="BZ73">
        <f>SUMPRODUCT((M_BOM[Part Name]=$A73)*M_BOM[RM_Qty_Per_Batch]*IFERROR(INDEX(PP_Grid[#Data],M_BOM[PPGridRow],78),0))/64.4</f>
        <v/>
      </c>
      <c r="CA73">
        <f>SUMPRODUCT((M_BOM[Part Name]=$A73)*M_BOM[RM_Qty_Per_Batch]*IFERROR(INDEX(PP_Grid[#Data],M_BOM[PPGridRow],79),0))/64.4</f>
        <v/>
      </c>
      <c r="CB73">
        <f>SUMPRODUCT((M_BOM[Part Name]=$A73)*M_BOM[RM_Qty_Per_Batch]*IFERROR(INDEX(PP_Grid[#Data],M_BOM[PPGridRow],80),0))/64.4</f>
        <v/>
      </c>
      <c r="CC73">
        <f>SUMPRODUCT((M_BOM[Part Name]=$A73)*M_BOM[RM_Qty_Per_Batch]*IFERROR(INDEX(PP_Grid[#Data],M_BOM[PPGridRow],81),0))/64.4</f>
        <v/>
      </c>
      <c r="CD73">
        <f>SUMPRODUCT((M_BOM[Part Name]=$A73)*M_BOM[RM_Qty_Per_Batch]*IFERROR(INDEX(PP_Grid[#Data],M_BOM[PPGridRow],82),0))/64.4</f>
        <v/>
      </c>
      <c r="CE73">
        <f>SUMPRODUCT((M_BOM[Part Name]=$A73)*M_BOM[RM_Qty_Per_Batch]*IFERROR(INDEX(PP_Grid[#Data],M_BOM[PPGridRow],83),0))/64.4</f>
        <v/>
      </c>
      <c r="CF73">
        <f>SUMPRODUCT((M_BOM[Part Name]=$A73)*M_BOM[RM_Qty_Per_Batch]*IFERROR(INDEX(PP_Grid[#Data],M_BOM[PPGridRow],84),0))/64.4</f>
        <v/>
      </c>
      <c r="CG73">
        <f>SUMPRODUCT((M_BOM[Part Name]=$A73)*M_BOM[RM_Qty_Per_Batch]*IFERROR(INDEX(PP_Grid[#Data],M_BOM[PPGridRow],85),0))/64.4</f>
        <v/>
      </c>
      <c r="CH73">
        <f>SUMPRODUCT((M_BOM[Part Name]=$A73)*M_BOM[RM_Qty_Per_Batch]*IFERROR(INDEX(PP_Grid[#Data],M_BOM[PPGridRow],86),0))/64.4</f>
        <v/>
      </c>
      <c r="CI73">
        <f>SUMPRODUCT((M_BOM[Part Name]=$A73)*M_BOM[RM_Qty_Per_Batch]*IFERROR(INDEX(PP_Grid[#Data],M_BOM[PPGridRow],87),0))/64.4</f>
        <v/>
      </c>
      <c r="CJ73">
        <f>SUMPRODUCT((M_BOM[Part Name]=$A73)*M_BOM[RM_Qty_Per_Batch]*IFERROR(INDEX(PP_Grid[#Data],M_BOM[PPGridRow],88),0))/64.4</f>
        <v/>
      </c>
      <c r="CK73">
        <f>SUMPRODUCT((M_BOM[Part Name]=$A73)*M_BOM[RM_Qty_Per_Batch]*IFERROR(INDEX(PP_Grid[#Data],M_BOM[PPGridRow],89),0))/64.4</f>
        <v/>
      </c>
      <c r="CL73">
        <f>SUMPRODUCT((M_BOM[Part Name]=$A73)*M_BOM[RM_Qty_Per_Batch]*IFERROR(INDEX(PP_Grid[#Data],M_BOM[PPGridRow],90),0))/64.4</f>
        <v/>
      </c>
      <c r="CM73">
        <f>SUMPRODUCT((M_BOM[Part Name]=$A73)*M_BOM[RM_Qty_Per_Batch]*IFERROR(INDEX(PP_Grid[#Data],M_BOM[PPGridRow],91),0))/64.4</f>
        <v/>
      </c>
      <c r="CN73">
        <f>SUMPRODUCT((M_BOM[Part Name]=$A73)*M_BOM[RM_Qty_Per_Batch]*IFERROR(INDEX(PP_Grid[#Data],M_BOM[PPGridRow],92),0))/64.4</f>
        <v/>
      </c>
      <c r="CO73">
        <f>SUMPRODUCT((M_BOM[Part Name]=$A73)*M_BOM[RM_Qty_Per_Batch]*IFERROR(INDEX(PP_Grid[#Data],M_BOM[PPGridRow],93),0))/64.4</f>
        <v/>
      </c>
      <c r="CP73">
        <f>SUMPRODUCT((M_BOM[Part Name]=$A73)*M_BOM[RM_Qty_Per_Batch]*IFERROR(INDEX(PP_Grid[#Data],M_BOM[PPGridRow],94),0))/64.4</f>
        <v/>
      </c>
      <c r="CQ73">
        <f>SUMPRODUCT((M_BOM[Part Name]=$A73)*M_BOM[RM_Qty_Per_Batch]*IFERROR(INDEX(PP_Grid[#Data],M_BOM[PPGridRow],95),0))/64.4</f>
        <v/>
      </c>
      <c r="CR73">
        <f>SUMPRODUCT((M_BOM[Part Name]=$A73)*M_BOM[RM_Qty_Per_Batch]*IFERROR(INDEX(PP_Grid[#Data],M_BOM[PPGridRow],96),0))/64.4</f>
        <v/>
      </c>
      <c r="CS73">
        <f>SUMPRODUCT((M_BOM[Part Name]=$A73)*M_BOM[RM_Qty_Per_Batch]*IFERROR(INDEX(PP_Grid[#Data],M_BOM[PPGridRow],97),0))/64.4</f>
        <v/>
      </c>
      <c r="CT73">
        <f>SUMPRODUCT((M_BOM[Part Name]=$A73)*M_BOM[RM_Qty_Per_Batch]*IFERROR(INDEX(PP_Grid[#Data],M_BOM[PPGridRow],98),0))/64.4</f>
        <v/>
      </c>
      <c r="CU73">
        <f>SUMPRODUCT((M_BOM[Part Name]=$A73)*M_BOM[RM_Qty_Per_Batch]*IFERROR(INDEX(PP_Grid[#Data],M_BOM[PPGridRow],99),0))/64.4</f>
        <v/>
      </c>
      <c r="CV73">
        <f>SUMPRODUCT((M_BOM[Part Name]=$A73)*M_BOM[RM_Qty_Per_Batch]*IFERROR(INDEX(PP_Grid[#Data],M_BOM[PPGridRow],100),0))/64.4</f>
        <v/>
      </c>
      <c r="CW73">
        <f>SUMPRODUCT((M_BOM[Part Name]=$A73)*M_BOM[RM_Qty_Per_Batch]*IFERROR(INDEX(PP_Grid[#Data],M_BOM[PPGridRow],101),0))/64.4</f>
        <v/>
      </c>
      <c r="CX73">
        <f>SUMPRODUCT((M_BOM[Part Name]=$A73)*M_BOM[RM_Qty_Per_Batch]*IFERROR(INDEX(PP_Grid[#Data],M_BOM[PPGridRow],102),0))/64.4</f>
        <v/>
      </c>
      <c r="CY73">
        <f>SUMPRODUCT((M_BOM[Part Name]=$A73)*M_BOM[RM_Qty_Per_Batch]*IFERROR(INDEX(PP_Grid[#Data],M_BOM[PPGridRow],103),0))/64.4</f>
        <v/>
      </c>
      <c r="CZ73">
        <f>SUMPRODUCT((M_BOM[Part Name]=$A73)*M_BOM[RM_Qty_Per_Batch]*IFERROR(INDEX(PP_Grid[#Data],M_BOM[PPGridRow],104),0))/64.4</f>
        <v/>
      </c>
      <c r="DA73">
        <f>SUMPRODUCT((M_BOM[Part Name]=$A73)*M_BOM[RM_Qty_Per_Batch]*IFERROR(INDEX(PP_Grid[#Data],M_BOM[PPGridRow],105),0))/64.4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Name]=$A74)*M_BOM[RM_Qty_Per_Batch]*IFERROR(INDEX(PP_Grid[#Data],M_BOM[PPGridRow],2),0))/58.6938775510204</f>
        <v/>
      </c>
      <c r="C74">
        <f>SUMPRODUCT((M_BOM[Part Name]=$A74)*M_BOM[RM_Qty_Per_Batch]*IFERROR(INDEX(PP_Grid[#Data],M_BOM[PPGridRow],3),0))/58.6938775510204</f>
        <v/>
      </c>
      <c r="D74">
        <f>SUMPRODUCT((M_BOM[Part Name]=$A74)*M_BOM[RM_Qty_Per_Batch]*IFERROR(INDEX(PP_Grid[#Data],M_BOM[PPGridRow],4),0))/58.6938775510204</f>
        <v/>
      </c>
      <c r="E74">
        <f>SUMPRODUCT((M_BOM[Part Name]=$A74)*M_BOM[RM_Qty_Per_Batch]*IFERROR(INDEX(PP_Grid[#Data],M_BOM[PPGridRow],5),0))/58.6938775510204</f>
        <v/>
      </c>
      <c r="F74">
        <f>SUMPRODUCT((M_BOM[Part Name]=$A74)*M_BOM[RM_Qty_Per_Batch]*IFERROR(INDEX(PP_Grid[#Data],M_BOM[PPGridRow],6),0))/58.6938775510204</f>
        <v/>
      </c>
      <c r="G74">
        <f>SUMPRODUCT((M_BOM[Part Name]=$A74)*M_BOM[RM_Qty_Per_Batch]*IFERROR(INDEX(PP_Grid[#Data],M_BOM[PPGridRow],7),0))/58.6938775510204</f>
        <v/>
      </c>
      <c r="H74">
        <f>SUMPRODUCT((M_BOM[Part Name]=$A74)*M_BOM[RM_Qty_Per_Batch]*IFERROR(INDEX(PP_Grid[#Data],M_BOM[PPGridRow],8),0))/58.6938775510204</f>
        <v/>
      </c>
      <c r="I74">
        <f>SUMPRODUCT((M_BOM[Part Name]=$A74)*M_BOM[RM_Qty_Per_Batch]*IFERROR(INDEX(PP_Grid[#Data],M_BOM[PPGridRow],9),0))/58.6938775510204</f>
        <v/>
      </c>
      <c r="J74">
        <f>SUMPRODUCT((M_BOM[Part Name]=$A74)*M_BOM[RM_Qty_Per_Batch]*IFERROR(INDEX(PP_Grid[#Data],M_BOM[PPGridRow],10),0))/58.6938775510204</f>
        <v/>
      </c>
      <c r="K74">
        <f>SUMPRODUCT((M_BOM[Part Name]=$A74)*M_BOM[RM_Qty_Per_Batch]*IFERROR(INDEX(PP_Grid[#Data],M_BOM[PPGridRow],11),0))/58.6938775510204</f>
        <v/>
      </c>
      <c r="L74">
        <f>SUMPRODUCT((M_BOM[Part Name]=$A74)*M_BOM[RM_Qty_Per_Batch]*IFERROR(INDEX(PP_Grid[#Data],M_BOM[PPGridRow],12),0))/58.6938775510204</f>
        <v/>
      </c>
      <c r="M74">
        <f>SUMPRODUCT((M_BOM[Part Name]=$A74)*M_BOM[RM_Qty_Per_Batch]*IFERROR(INDEX(PP_Grid[#Data],M_BOM[PPGridRow],13),0))/58.6938775510204</f>
        <v/>
      </c>
      <c r="N74">
        <f>SUMPRODUCT((M_BOM[Part Name]=$A74)*M_BOM[RM_Qty_Per_Batch]*IFERROR(INDEX(PP_Grid[#Data],M_BOM[PPGridRow],14),0))/58.6938775510204</f>
        <v/>
      </c>
      <c r="O74">
        <f>SUMPRODUCT((M_BOM[Part Name]=$A74)*M_BOM[RM_Qty_Per_Batch]*IFERROR(INDEX(PP_Grid[#Data],M_BOM[PPGridRow],15),0))/58.6938775510204</f>
        <v/>
      </c>
      <c r="P74">
        <f>SUMPRODUCT((M_BOM[Part Name]=$A74)*M_BOM[RM_Qty_Per_Batch]*IFERROR(INDEX(PP_Grid[#Data],M_BOM[PPGridRow],16),0))/58.6938775510204</f>
        <v/>
      </c>
      <c r="Q74">
        <f>SUMPRODUCT((M_BOM[Part Name]=$A74)*M_BOM[RM_Qty_Per_Batch]*IFERROR(INDEX(PP_Grid[#Data],M_BOM[PPGridRow],17),0))/58.6938775510204</f>
        <v/>
      </c>
      <c r="R74">
        <f>SUMPRODUCT((M_BOM[Part Name]=$A74)*M_BOM[RM_Qty_Per_Batch]*IFERROR(INDEX(PP_Grid[#Data],M_BOM[PPGridRow],18),0))/58.6938775510204</f>
        <v/>
      </c>
      <c r="S74">
        <f>SUMPRODUCT((M_BOM[Part Name]=$A74)*M_BOM[RM_Qty_Per_Batch]*IFERROR(INDEX(PP_Grid[#Data],M_BOM[PPGridRow],19),0))/58.6938775510204</f>
        <v/>
      </c>
      <c r="T74">
        <f>SUMPRODUCT((M_BOM[Part Name]=$A74)*M_BOM[RM_Qty_Per_Batch]*IFERROR(INDEX(PP_Grid[#Data],M_BOM[PPGridRow],20),0))/58.6938775510204</f>
        <v/>
      </c>
      <c r="U74">
        <f>SUMPRODUCT((M_BOM[Part Name]=$A74)*M_BOM[RM_Qty_Per_Batch]*IFERROR(INDEX(PP_Grid[#Data],M_BOM[PPGridRow],21),0))/58.6938775510204</f>
        <v/>
      </c>
      <c r="V74">
        <f>SUMPRODUCT((M_BOM[Part Name]=$A74)*M_BOM[RM_Qty_Per_Batch]*IFERROR(INDEX(PP_Grid[#Data],M_BOM[PPGridRow],22),0))/58.6938775510204</f>
        <v/>
      </c>
      <c r="W74">
        <f>SUMPRODUCT((M_BOM[Part Name]=$A74)*M_BOM[RM_Qty_Per_Batch]*IFERROR(INDEX(PP_Grid[#Data],M_BOM[PPGridRow],23),0))/58.6938775510204</f>
        <v/>
      </c>
      <c r="X74">
        <f>SUMPRODUCT((M_BOM[Part Name]=$A74)*M_BOM[RM_Qty_Per_Batch]*IFERROR(INDEX(PP_Grid[#Data],M_BOM[PPGridRow],24),0))/58.6938775510204</f>
        <v/>
      </c>
      <c r="Y74">
        <f>SUMPRODUCT((M_BOM[Part Name]=$A74)*M_BOM[RM_Qty_Per_Batch]*IFERROR(INDEX(PP_Grid[#Data],M_BOM[PPGridRow],25),0))/58.6938775510204</f>
        <v/>
      </c>
      <c r="Z74">
        <f>SUMPRODUCT((M_BOM[Part Name]=$A74)*M_BOM[RM_Qty_Per_Batch]*IFERROR(INDEX(PP_Grid[#Data],M_BOM[PPGridRow],26),0))/58.6938775510204</f>
        <v/>
      </c>
      <c r="AA74">
        <f>SUMPRODUCT((M_BOM[Part Name]=$A74)*M_BOM[RM_Qty_Per_Batch]*IFERROR(INDEX(PP_Grid[#Data],M_BOM[PPGridRow],27),0))/58.6938775510204</f>
        <v/>
      </c>
      <c r="AB74">
        <f>SUMPRODUCT((M_BOM[Part Name]=$A74)*M_BOM[RM_Qty_Per_Batch]*IFERROR(INDEX(PP_Grid[#Data],M_BOM[PPGridRow],28),0))/58.6938775510204</f>
        <v/>
      </c>
      <c r="AC74">
        <f>SUMPRODUCT((M_BOM[Part Name]=$A74)*M_BOM[RM_Qty_Per_Batch]*IFERROR(INDEX(PP_Grid[#Data],M_BOM[PPGridRow],29),0))/58.6938775510204</f>
        <v/>
      </c>
      <c r="AD74">
        <f>SUMPRODUCT((M_BOM[Part Name]=$A74)*M_BOM[RM_Qty_Per_Batch]*IFERROR(INDEX(PP_Grid[#Data],M_BOM[PPGridRow],30),0))/58.6938775510204</f>
        <v/>
      </c>
      <c r="AE74">
        <f>SUMPRODUCT((M_BOM[Part Name]=$A74)*M_BOM[RM_Qty_Per_Batch]*IFERROR(INDEX(PP_Grid[#Data],M_BOM[PPGridRow],31),0))/58.6938775510204</f>
        <v/>
      </c>
      <c r="AF74">
        <f>SUMPRODUCT((M_BOM[Part Name]=$A74)*M_BOM[RM_Qty_Per_Batch]*IFERROR(INDEX(PP_Grid[#Data],M_BOM[PPGridRow],32),0))/58.6938775510204</f>
        <v/>
      </c>
      <c r="AG74">
        <f>SUMPRODUCT((M_BOM[Part Name]=$A74)*M_BOM[RM_Qty_Per_Batch]*IFERROR(INDEX(PP_Grid[#Data],M_BOM[PPGridRow],33),0))/58.6938775510204</f>
        <v/>
      </c>
      <c r="AH74">
        <f>SUMPRODUCT((M_BOM[Part Name]=$A74)*M_BOM[RM_Qty_Per_Batch]*IFERROR(INDEX(PP_Grid[#Data],M_BOM[PPGridRow],34),0))/58.6938775510204</f>
        <v/>
      </c>
      <c r="AI74">
        <f>SUMPRODUCT((M_BOM[Part Name]=$A74)*M_BOM[RM_Qty_Per_Batch]*IFERROR(INDEX(PP_Grid[#Data],M_BOM[PPGridRow],35),0))/58.6938775510204</f>
        <v/>
      </c>
      <c r="AJ74">
        <f>SUMPRODUCT((M_BOM[Part Name]=$A74)*M_BOM[RM_Qty_Per_Batch]*IFERROR(INDEX(PP_Grid[#Data],M_BOM[PPGridRow],36),0))/58.6938775510204</f>
        <v/>
      </c>
      <c r="AK74">
        <f>SUMPRODUCT((M_BOM[Part Name]=$A74)*M_BOM[RM_Qty_Per_Batch]*IFERROR(INDEX(PP_Grid[#Data],M_BOM[PPGridRow],37),0))/58.6938775510204</f>
        <v/>
      </c>
      <c r="AL74">
        <f>SUMPRODUCT((M_BOM[Part Name]=$A74)*M_BOM[RM_Qty_Per_Batch]*IFERROR(INDEX(PP_Grid[#Data],M_BOM[PPGridRow],38),0))/58.6938775510204</f>
        <v/>
      </c>
      <c r="AM74">
        <f>SUMPRODUCT((M_BOM[Part Name]=$A74)*M_BOM[RM_Qty_Per_Batch]*IFERROR(INDEX(PP_Grid[#Data],M_BOM[PPGridRow],39),0))/58.6938775510204</f>
        <v/>
      </c>
      <c r="AN74">
        <f>SUMPRODUCT((M_BOM[Part Name]=$A74)*M_BOM[RM_Qty_Per_Batch]*IFERROR(INDEX(PP_Grid[#Data],M_BOM[PPGridRow],40),0))/58.6938775510204</f>
        <v/>
      </c>
      <c r="AO74">
        <f>SUMPRODUCT((M_BOM[Part Name]=$A74)*M_BOM[RM_Qty_Per_Batch]*IFERROR(INDEX(PP_Grid[#Data],M_BOM[PPGridRow],41),0))/58.6938775510204</f>
        <v/>
      </c>
      <c r="AP74">
        <f>SUMPRODUCT((M_BOM[Part Name]=$A74)*M_BOM[RM_Qty_Per_Batch]*IFERROR(INDEX(PP_Grid[#Data],M_BOM[PPGridRow],42),0))/58.6938775510204</f>
        <v/>
      </c>
      <c r="AQ74">
        <f>SUMPRODUCT((M_BOM[Part Name]=$A74)*M_BOM[RM_Qty_Per_Batch]*IFERROR(INDEX(PP_Grid[#Data],M_BOM[PPGridRow],43),0))/58.6938775510204</f>
        <v/>
      </c>
      <c r="AR74">
        <f>SUMPRODUCT((M_BOM[Part Name]=$A74)*M_BOM[RM_Qty_Per_Batch]*IFERROR(INDEX(PP_Grid[#Data],M_BOM[PPGridRow],44),0))/58.6938775510204</f>
        <v/>
      </c>
      <c r="AS74">
        <f>SUMPRODUCT((M_BOM[Part Name]=$A74)*M_BOM[RM_Qty_Per_Batch]*IFERROR(INDEX(PP_Grid[#Data],M_BOM[PPGridRow],45),0))/58.6938775510204</f>
        <v/>
      </c>
      <c r="AT74">
        <f>SUMPRODUCT((M_BOM[Part Name]=$A74)*M_BOM[RM_Qty_Per_Batch]*IFERROR(INDEX(PP_Grid[#Data],M_BOM[PPGridRow],46),0))/58.6938775510204</f>
        <v/>
      </c>
      <c r="AU74">
        <f>SUMPRODUCT((M_BOM[Part Name]=$A74)*M_BOM[RM_Qty_Per_Batch]*IFERROR(INDEX(PP_Grid[#Data],M_BOM[PPGridRow],47),0))/58.6938775510204</f>
        <v/>
      </c>
      <c r="AV74">
        <f>SUMPRODUCT((M_BOM[Part Name]=$A74)*M_BOM[RM_Qty_Per_Batch]*IFERROR(INDEX(PP_Grid[#Data],M_BOM[PPGridRow],48),0))/58.6938775510204</f>
        <v/>
      </c>
      <c r="AW74">
        <f>SUMPRODUCT((M_BOM[Part Name]=$A74)*M_BOM[RM_Qty_Per_Batch]*IFERROR(INDEX(PP_Grid[#Data],M_BOM[PPGridRow],49),0))/58.6938775510204</f>
        <v/>
      </c>
      <c r="AX74">
        <f>SUMPRODUCT((M_BOM[Part Name]=$A74)*M_BOM[RM_Qty_Per_Batch]*IFERROR(INDEX(PP_Grid[#Data],M_BOM[PPGridRow],50),0))/58.6938775510204</f>
        <v/>
      </c>
      <c r="AY74">
        <f>SUMPRODUCT((M_BOM[Part Name]=$A74)*M_BOM[RM_Qty_Per_Batch]*IFERROR(INDEX(PP_Grid[#Data],M_BOM[PPGridRow],51),0))/58.6938775510204</f>
        <v/>
      </c>
      <c r="AZ74">
        <f>SUMPRODUCT((M_BOM[Part Name]=$A74)*M_BOM[RM_Qty_Per_Batch]*IFERROR(INDEX(PP_Grid[#Data],M_BOM[PPGridRow],52),0))/58.6938775510204</f>
        <v/>
      </c>
      <c r="BA74">
        <f>SUMPRODUCT((M_BOM[Part Name]=$A74)*M_BOM[RM_Qty_Per_Batch]*IFERROR(INDEX(PP_Grid[#Data],M_BOM[PPGridRow],53),0))/58.6938775510204</f>
        <v/>
      </c>
      <c r="BB74">
        <f>SUMPRODUCT((M_BOM[Part Name]=$A74)*M_BOM[RM_Qty_Per_Batch]*IFERROR(INDEX(PP_Grid[#Data],M_BOM[PPGridRow],54),0))/58.6938775510204</f>
        <v/>
      </c>
      <c r="BC74">
        <f>SUMPRODUCT((M_BOM[Part Name]=$A74)*M_BOM[RM_Qty_Per_Batch]*IFERROR(INDEX(PP_Grid[#Data],M_BOM[PPGridRow],55),0))/58.6938775510204</f>
        <v/>
      </c>
      <c r="BD74">
        <f>SUMPRODUCT((M_BOM[Part Name]=$A74)*M_BOM[RM_Qty_Per_Batch]*IFERROR(INDEX(PP_Grid[#Data],M_BOM[PPGridRow],56),0))/58.6938775510204</f>
        <v/>
      </c>
      <c r="BE74">
        <f>SUMPRODUCT((M_BOM[Part Name]=$A74)*M_BOM[RM_Qty_Per_Batch]*IFERROR(INDEX(PP_Grid[#Data],M_BOM[PPGridRow],57),0))/58.6938775510204</f>
        <v/>
      </c>
      <c r="BF74">
        <f>SUMPRODUCT((M_BOM[Part Name]=$A74)*M_BOM[RM_Qty_Per_Batch]*IFERROR(INDEX(PP_Grid[#Data],M_BOM[PPGridRow],58),0))/58.6938775510204</f>
        <v/>
      </c>
      <c r="BG74">
        <f>SUMPRODUCT((M_BOM[Part Name]=$A74)*M_BOM[RM_Qty_Per_Batch]*IFERROR(INDEX(PP_Grid[#Data],M_BOM[PPGridRow],59),0))/58.6938775510204</f>
        <v/>
      </c>
      <c r="BH74">
        <f>SUMPRODUCT((M_BOM[Part Name]=$A74)*M_BOM[RM_Qty_Per_Batch]*IFERROR(INDEX(PP_Grid[#Data],M_BOM[PPGridRow],60),0))/58.6938775510204</f>
        <v/>
      </c>
      <c r="BI74">
        <f>SUMPRODUCT((M_BOM[Part Name]=$A74)*M_BOM[RM_Qty_Per_Batch]*IFERROR(INDEX(PP_Grid[#Data],M_BOM[PPGridRow],61),0))/58.6938775510204</f>
        <v/>
      </c>
      <c r="BJ74">
        <f>SUMPRODUCT((M_BOM[Part Name]=$A74)*M_BOM[RM_Qty_Per_Batch]*IFERROR(INDEX(PP_Grid[#Data],M_BOM[PPGridRow],62),0))/58.6938775510204</f>
        <v/>
      </c>
      <c r="BK74">
        <f>SUMPRODUCT((M_BOM[Part Name]=$A74)*M_BOM[RM_Qty_Per_Batch]*IFERROR(INDEX(PP_Grid[#Data],M_BOM[PPGridRow],63),0))/58.6938775510204</f>
        <v/>
      </c>
      <c r="BL74">
        <f>SUMPRODUCT((M_BOM[Part Name]=$A74)*M_BOM[RM_Qty_Per_Batch]*IFERROR(INDEX(PP_Grid[#Data],M_BOM[PPGridRow],64),0))/58.6938775510204</f>
        <v/>
      </c>
      <c r="BM74">
        <f>SUMPRODUCT((M_BOM[Part Name]=$A74)*M_BOM[RM_Qty_Per_Batch]*IFERROR(INDEX(PP_Grid[#Data],M_BOM[PPGridRow],65),0))/58.6938775510204</f>
        <v/>
      </c>
      <c r="BN74">
        <f>SUMPRODUCT((M_BOM[Part Name]=$A74)*M_BOM[RM_Qty_Per_Batch]*IFERROR(INDEX(PP_Grid[#Data],M_BOM[PPGridRow],66),0))/58.6938775510204</f>
        <v/>
      </c>
      <c r="BO74">
        <f>SUMPRODUCT((M_BOM[Part Name]=$A74)*M_BOM[RM_Qty_Per_Batch]*IFERROR(INDEX(PP_Grid[#Data],M_BOM[PPGridRow],67),0))/58.6938775510204</f>
        <v/>
      </c>
      <c r="BP74">
        <f>SUMPRODUCT((M_BOM[Part Name]=$A74)*M_BOM[RM_Qty_Per_Batch]*IFERROR(INDEX(PP_Grid[#Data],M_BOM[PPGridRow],68),0))/58.6938775510204</f>
        <v/>
      </c>
      <c r="BQ74">
        <f>SUMPRODUCT((M_BOM[Part Name]=$A74)*M_BOM[RM_Qty_Per_Batch]*IFERROR(INDEX(PP_Grid[#Data],M_BOM[PPGridRow],69),0))/58.6938775510204</f>
        <v/>
      </c>
      <c r="BR74">
        <f>SUMPRODUCT((M_BOM[Part Name]=$A74)*M_BOM[RM_Qty_Per_Batch]*IFERROR(INDEX(PP_Grid[#Data],M_BOM[PPGridRow],70),0))/58.6938775510204</f>
        <v/>
      </c>
      <c r="BS74">
        <f>SUMPRODUCT((M_BOM[Part Name]=$A74)*M_BOM[RM_Qty_Per_Batch]*IFERROR(INDEX(PP_Grid[#Data],M_BOM[PPGridRow],71),0))/58.6938775510204</f>
        <v/>
      </c>
      <c r="BT74">
        <f>SUMPRODUCT((M_BOM[Part Name]=$A74)*M_BOM[RM_Qty_Per_Batch]*IFERROR(INDEX(PP_Grid[#Data],M_BOM[PPGridRow],72),0))/58.6938775510204</f>
        <v/>
      </c>
      <c r="BU74">
        <f>SUMPRODUCT((M_BOM[Part Name]=$A74)*M_BOM[RM_Qty_Per_Batch]*IFERROR(INDEX(PP_Grid[#Data],M_BOM[PPGridRow],73),0))/58.6938775510204</f>
        <v/>
      </c>
      <c r="BV74">
        <f>SUMPRODUCT((M_BOM[Part Name]=$A74)*M_BOM[RM_Qty_Per_Batch]*IFERROR(INDEX(PP_Grid[#Data],M_BOM[PPGridRow],74),0))/58.6938775510204</f>
        <v/>
      </c>
      <c r="BW74">
        <f>SUMPRODUCT((M_BOM[Part Name]=$A74)*M_BOM[RM_Qty_Per_Batch]*IFERROR(INDEX(PP_Grid[#Data],M_BOM[PPGridRow],75),0))/58.6938775510204</f>
        <v/>
      </c>
      <c r="BX74">
        <f>SUMPRODUCT((M_BOM[Part Name]=$A74)*M_BOM[RM_Qty_Per_Batch]*IFERROR(INDEX(PP_Grid[#Data],M_BOM[PPGridRow],76),0))/58.6938775510204</f>
        <v/>
      </c>
      <c r="BY74">
        <f>SUMPRODUCT((M_BOM[Part Name]=$A74)*M_BOM[RM_Qty_Per_Batch]*IFERROR(INDEX(PP_Grid[#Data],M_BOM[PPGridRow],77),0))/58.6938775510204</f>
        <v/>
      </c>
      <c r="BZ74">
        <f>SUMPRODUCT((M_BOM[Part Name]=$A74)*M_BOM[RM_Qty_Per_Batch]*IFERROR(INDEX(PP_Grid[#Data],M_BOM[PPGridRow],78),0))/58.6938775510204</f>
        <v/>
      </c>
      <c r="CA74">
        <f>SUMPRODUCT((M_BOM[Part Name]=$A74)*M_BOM[RM_Qty_Per_Batch]*IFERROR(INDEX(PP_Grid[#Data],M_BOM[PPGridRow],79),0))/58.6938775510204</f>
        <v/>
      </c>
      <c r="CB74">
        <f>SUMPRODUCT((M_BOM[Part Name]=$A74)*M_BOM[RM_Qty_Per_Batch]*IFERROR(INDEX(PP_Grid[#Data],M_BOM[PPGridRow],80),0))/58.6938775510204</f>
        <v/>
      </c>
      <c r="CC74">
        <f>SUMPRODUCT((M_BOM[Part Name]=$A74)*M_BOM[RM_Qty_Per_Batch]*IFERROR(INDEX(PP_Grid[#Data],M_BOM[PPGridRow],81),0))/58.6938775510204</f>
        <v/>
      </c>
      <c r="CD74">
        <f>SUMPRODUCT((M_BOM[Part Name]=$A74)*M_BOM[RM_Qty_Per_Batch]*IFERROR(INDEX(PP_Grid[#Data],M_BOM[PPGridRow],82),0))/58.6938775510204</f>
        <v/>
      </c>
      <c r="CE74">
        <f>SUMPRODUCT((M_BOM[Part Name]=$A74)*M_BOM[RM_Qty_Per_Batch]*IFERROR(INDEX(PP_Grid[#Data],M_BOM[PPGridRow],83),0))/58.6938775510204</f>
        <v/>
      </c>
      <c r="CF74">
        <f>SUMPRODUCT((M_BOM[Part Name]=$A74)*M_BOM[RM_Qty_Per_Batch]*IFERROR(INDEX(PP_Grid[#Data],M_BOM[PPGridRow],84),0))/58.6938775510204</f>
        <v/>
      </c>
      <c r="CG74">
        <f>SUMPRODUCT((M_BOM[Part Name]=$A74)*M_BOM[RM_Qty_Per_Batch]*IFERROR(INDEX(PP_Grid[#Data],M_BOM[PPGridRow],85),0))/58.6938775510204</f>
        <v/>
      </c>
      <c r="CH74">
        <f>SUMPRODUCT((M_BOM[Part Name]=$A74)*M_BOM[RM_Qty_Per_Batch]*IFERROR(INDEX(PP_Grid[#Data],M_BOM[PPGridRow],86),0))/58.6938775510204</f>
        <v/>
      </c>
      <c r="CI74">
        <f>SUMPRODUCT((M_BOM[Part Name]=$A74)*M_BOM[RM_Qty_Per_Batch]*IFERROR(INDEX(PP_Grid[#Data],M_BOM[PPGridRow],87),0))/58.6938775510204</f>
        <v/>
      </c>
      <c r="CJ74">
        <f>SUMPRODUCT((M_BOM[Part Name]=$A74)*M_BOM[RM_Qty_Per_Batch]*IFERROR(INDEX(PP_Grid[#Data],M_BOM[PPGridRow],88),0))/58.6938775510204</f>
        <v/>
      </c>
      <c r="CK74">
        <f>SUMPRODUCT((M_BOM[Part Name]=$A74)*M_BOM[RM_Qty_Per_Batch]*IFERROR(INDEX(PP_Grid[#Data],M_BOM[PPGridRow],89),0))/58.6938775510204</f>
        <v/>
      </c>
      <c r="CL74">
        <f>SUMPRODUCT((M_BOM[Part Name]=$A74)*M_BOM[RM_Qty_Per_Batch]*IFERROR(INDEX(PP_Grid[#Data],M_BOM[PPGridRow],90),0))/58.6938775510204</f>
        <v/>
      </c>
      <c r="CM74">
        <f>SUMPRODUCT((M_BOM[Part Name]=$A74)*M_BOM[RM_Qty_Per_Batch]*IFERROR(INDEX(PP_Grid[#Data],M_BOM[PPGridRow],91),0))/58.6938775510204</f>
        <v/>
      </c>
      <c r="CN74">
        <f>SUMPRODUCT((M_BOM[Part Name]=$A74)*M_BOM[RM_Qty_Per_Batch]*IFERROR(INDEX(PP_Grid[#Data],M_BOM[PPGridRow],92),0))/58.6938775510204</f>
        <v/>
      </c>
      <c r="CO74">
        <f>SUMPRODUCT((M_BOM[Part Name]=$A74)*M_BOM[RM_Qty_Per_Batch]*IFERROR(INDEX(PP_Grid[#Data],M_BOM[PPGridRow],93),0))/58.6938775510204</f>
        <v/>
      </c>
      <c r="CP74">
        <f>SUMPRODUCT((M_BOM[Part Name]=$A74)*M_BOM[RM_Qty_Per_Batch]*IFERROR(INDEX(PP_Grid[#Data],M_BOM[PPGridRow],94),0))/58.6938775510204</f>
        <v/>
      </c>
      <c r="CQ74">
        <f>SUMPRODUCT((M_BOM[Part Name]=$A74)*M_BOM[RM_Qty_Per_Batch]*IFERROR(INDEX(PP_Grid[#Data],M_BOM[PPGridRow],95),0))/58.6938775510204</f>
        <v/>
      </c>
      <c r="CR74">
        <f>SUMPRODUCT((M_BOM[Part Name]=$A74)*M_BOM[RM_Qty_Per_Batch]*IFERROR(INDEX(PP_Grid[#Data],M_BOM[PPGridRow],96),0))/58.6938775510204</f>
        <v/>
      </c>
      <c r="CS74">
        <f>SUMPRODUCT((M_BOM[Part Name]=$A74)*M_BOM[RM_Qty_Per_Batch]*IFERROR(INDEX(PP_Grid[#Data],M_BOM[PPGridRow],97),0))/58.6938775510204</f>
        <v/>
      </c>
      <c r="CT74">
        <f>SUMPRODUCT((M_BOM[Part Name]=$A74)*M_BOM[RM_Qty_Per_Batch]*IFERROR(INDEX(PP_Grid[#Data],M_BOM[PPGridRow],98),0))/58.6938775510204</f>
        <v/>
      </c>
      <c r="CU74">
        <f>SUMPRODUCT((M_BOM[Part Name]=$A74)*M_BOM[RM_Qty_Per_Batch]*IFERROR(INDEX(PP_Grid[#Data],M_BOM[PPGridRow],99),0))/58.6938775510204</f>
        <v/>
      </c>
      <c r="CV74">
        <f>SUMPRODUCT((M_BOM[Part Name]=$A74)*M_BOM[RM_Qty_Per_Batch]*IFERROR(INDEX(PP_Grid[#Data],M_BOM[PPGridRow],100),0))/58.6938775510204</f>
        <v/>
      </c>
      <c r="CW74">
        <f>SUMPRODUCT((M_BOM[Part Name]=$A74)*M_BOM[RM_Qty_Per_Batch]*IFERROR(INDEX(PP_Grid[#Data],M_BOM[PPGridRow],101),0))/58.6938775510204</f>
        <v/>
      </c>
      <c r="CX74">
        <f>SUMPRODUCT((M_BOM[Part Name]=$A74)*M_BOM[RM_Qty_Per_Batch]*IFERROR(INDEX(PP_Grid[#Data],M_BOM[PPGridRow],102),0))/58.6938775510204</f>
        <v/>
      </c>
      <c r="CY74">
        <f>SUMPRODUCT((M_BOM[Part Name]=$A74)*M_BOM[RM_Qty_Per_Batch]*IFERROR(INDEX(PP_Grid[#Data],M_BOM[PPGridRow],103),0))/58.6938775510204</f>
        <v/>
      </c>
      <c r="CZ74">
        <f>SUMPRODUCT((M_BOM[Part Name]=$A74)*M_BOM[RM_Qty_Per_Batch]*IFERROR(INDEX(PP_Grid[#Data],M_BOM[PPGridRow],104),0))/58.6938775510204</f>
        <v/>
      </c>
      <c r="DA74">
        <f>SUMPRODUCT((M_BOM[Part Name]=$A74)*M_BOM[RM_Qty_Per_Batch]*IFERROR(INDEX(PP_Grid[#Data],M_BOM[PPGridRow],105),0))/58.6938775510204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Name]=$A77)*M_BOM[RM_Qty_Per_Batch]*IFERROR(INDEX(PP_Grid[#Data],M_BOM[PPGridRow],2),0))/44.26</f>
        <v/>
      </c>
      <c r="C77">
        <f>SUMPRODUCT((M_BOM[Part Name]=$A77)*M_BOM[RM_Qty_Per_Batch]*IFERROR(INDEX(PP_Grid[#Data],M_BOM[PPGridRow],3),0))/44.26</f>
        <v/>
      </c>
      <c r="D77">
        <f>SUMPRODUCT((M_BOM[Part Name]=$A77)*M_BOM[RM_Qty_Per_Batch]*IFERROR(INDEX(PP_Grid[#Data],M_BOM[PPGridRow],4),0))/44.26</f>
        <v/>
      </c>
      <c r="E77">
        <f>SUMPRODUCT((M_BOM[Part Name]=$A77)*M_BOM[RM_Qty_Per_Batch]*IFERROR(INDEX(PP_Grid[#Data],M_BOM[PPGridRow],5),0))/44.26</f>
        <v/>
      </c>
      <c r="F77">
        <f>SUMPRODUCT((M_BOM[Part Name]=$A77)*M_BOM[RM_Qty_Per_Batch]*IFERROR(INDEX(PP_Grid[#Data],M_BOM[PPGridRow],6),0))/44.26</f>
        <v/>
      </c>
      <c r="G77">
        <f>SUMPRODUCT((M_BOM[Part Name]=$A77)*M_BOM[RM_Qty_Per_Batch]*IFERROR(INDEX(PP_Grid[#Data],M_BOM[PPGridRow],7),0))/44.26</f>
        <v/>
      </c>
      <c r="H77">
        <f>SUMPRODUCT((M_BOM[Part Name]=$A77)*M_BOM[RM_Qty_Per_Batch]*IFERROR(INDEX(PP_Grid[#Data],M_BOM[PPGridRow],8),0))/44.26</f>
        <v/>
      </c>
      <c r="I77">
        <f>SUMPRODUCT((M_BOM[Part Name]=$A77)*M_BOM[RM_Qty_Per_Batch]*IFERROR(INDEX(PP_Grid[#Data],M_BOM[PPGridRow],9),0))/44.26</f>
        <v/>
      </c>
      <c r="J77">
        <f>SUMPRODUCT((M_BOM[Part Name]=$A77)*M_BOM[RM_Qty_Per_Batch]*IFERROR(INDEX(PP_Grid[#Data],M_BOM[PPGridRow],10),0))/44.26</f>
        <v/>
      </c>
      <c r="K77">
        <f>SUMPRODUCT((M_BOM[Part Name]=$A77)*M_BOM[RM_Qty_Per_Batch]*IFERROR(INDEX(PP_Grid[#Data],M_BOM[PPGridRow],11),0))/44.26</f>
        <v/>
      </c>
      <c r="L77">
        <f>SUMPRODUCT((M_BOM[Part Name]=$A77)*M_BOM[RM_Qty_Per_Batch]*IFERROR(INDEX(PP_Grid[#Data],M_BOM[PPGridRow],12),0))/44.26</f>
        <v/>
      </c>
      <c r="M77">
        <f>SUMPRODUCT((M_BOM[Part Name]=$A77)*M_BOM[RM_Qty_Per_Batch]*IFERROR(INDEX(PP_Grid[#Data],M_BOM[PPGridRow],13),0))/44.26</f>
        <v/>
      </c>
      <c r="N77">
        <f>SUMPRODUCT((M_BOM[Part Name]=$A77)*M_BOM[RM_Qty_Per_Batch]*IFERROR(INDEX(PP_Grid[#Data],M_BOM[PPGridRow],14),0))/44.26</f>
        <v/>
      </c>
      <c r="O77">
        <f>SUMPRODUCT((M_BOM[Part Name]=$A77)*M_BOM[RM_Qty_Per_Batch]*IFERROR(INDEX(PP_Grid[#Data],M_BOM[PPGridRow],15),0))/44.26</f>
        <v/>
      </c>
      <c r="P77">
        <f>SUMPRODUCT((M_BOM[Part Name]=$A77)*M_BOM[RM_Qty_Per_Batch]*IFERROR(INDEX(PP_Grid[#Data],M_BOM[PPGridRow],16),0))/44.26</f>
        <v/>
      </c>
      <c r="Q77">
        <f>SUMPRODUCT((M_BOM[Part Name]=$A77)*M_BOM[RM_Qty_Per_Batch]*IFERROR(INDEX(PP_Grid[#Data],M_BOM[PPGridRow],17),0))/44.26</f>
        <v/>
      </c>
      <c r="R77">
        <f>SUMPRODUCT((M_BOM[Part Name]=$A77)*M_BOM[RM_Qty_Per_Batch]*IFERROR(INDEX(PP_Grid[#Data],M_BOM[PPGridRow],18),0))/44.26</f>
        <v/>
      </c>
      <c r="S77">
        <f>SUMPRODUCT((M_BOM[Part Name]=$A77)*M_BOM[RM_Qty_Per_Batch]*IFERROR(INDEX(PP_Grid[#Data],M_BOM[PPGridRow],19),0))/44.26</f>
        <v/>
      </c>
      <c r="T77">
        <f>SUMPRODUCT((M_BOM[Part Name]=$A77)*M_BOM[RM_Qty_Per_Batch]*IFERROR(INDEX(PP_Grid[#Data],M_BOM[PPGridRow],20),0))/44.26</f>
        <v/>
      </c>
      <c r="U77">
        <f>SUMPRODUCT((M_BOM[Part Name]=$A77)*M_BOM[RM_Qty_Per_Batch]*IFERROR(INDEX(PP_Grid[#Data],M_BOM[PPGridRow],21),0))/44.26</f>
        <v/>
      </c>
      <c r="V77">
        <f>SUMPRODUCT((M_BOM[Part Name]=$A77)*M_BOM[RM_Qty_Per_Batch]*IFERROR(INDEX(PP_Grid[#Data],M_BOM[PPGridRow],22),0))/44.26</f>
        <v/>
      </c>
      <c r="W77">
        <f>SUMPRODUCT((M_BOM[Part Name]=$A77)*M_BOM[RM_Qty_Per_Batch]*IFERROR(INDEX(PP_Grid[#Data],M_BOM[PPGridRow],23),0))/44.26</f>
        <v/>
      </c>
      <c r="X77">
        <f>SUMPRODUCT((M_BOM[Part Name]=$A77)*M_BOM[RM_Qty_Per_Batch]*IFERROR(INDEX(PP_Grid[#Data],M_BOM[PPGridRow],24),0))/44.26</f>
        <v/>
      </c>
      <c r="Y77">
        <f>SUMPRODUCT((M_BOM[Part Name]=$A77)*M_BOM[RM_Qty_Per_Batch]*IFERROR(INDEX(PP_Grid[#Data],M_BOM[PPGridRow],25),0))/44.26</f>
        <v/>
      </c>
      <c r="Z77">
        <f>SUMPRODUCT((M_BOM[Part Name]=$A77)*M_BOM[RM_Qty_Per_Batch]*IFERROR(INDEX(PP_Grid[#Data],M_BOM[PPGridRow],26),0))/44.26</f>
        <v/>
      </c>
      <c r="AA77">
        <f>SUMPRODUCT((M_BOM[Part Name]=$A77)*M_BOM[RM_Qty_Per_Batch]*IFERROR(INDEX(PP_Grid[#Data],M_BOM[PPGridRow],27),0))/44.26</f>
        <v/>
      </c>
      <c r="AB77">
        <f>SUMPRODUCT((M_BOM[Part Name]=$A77)*M_BOM[RM_Qty_Per_Batch]*IFERROR(INDEX(PP_Grid[#Data],M_BOM[PPGridRow],28),0))/44.26</f>
        <v/>
      </c>
      <c r="AC77">
        <f>SUMPRODUCT((M_BOM[Part Name]=$A77)*M_BOM[RM_Qty_Per_Batch]*IFERROR(INDEX(PP_Grid[#Data],M_BOM[PPGridRow],29),0))/44.26</f>
        <v/>
      </c>
      <c r="AD77">
        <f>SUMPRODUCT((M_BOM[Part Name]=$A77)*M_BOM[RM_Qty_Per_Batch]*IFERROR(INDEX(PP_Grid[#Data],M_BOM[PPGridRow],30),0))/44.26</f>
        <v/>
      </c>
      <c r="AE77">
        <f>SUMPRODUCT((M_BOM[Part Name]=$A77)*M_BOM[RM_Qty_Per_Batch]*IFERROR(INDEX(PP_Grid[#Data],M_BOM[PPGridRow],31),0))/44.26</f>
        <v/>
      </c>
      <c r="AF77">
        <f>SUMPRODUCT((M_BOM[Part Name]=$A77)*M_BOM[RM_Qty_Per_Batch]*IFERROR(INDEX(PP_Grid[#Data],M_BOM[PPGridRow],32),0))/44.26</f>
        <v/>
      </c>
      <c r="AG77">
        <f>SUMPRODUCT((M_BOM[Part Name]=$A77)*M_BOM[RM_Qty_Per_Batch]*IFERROR(INDEX(PP_Grid[#Data],M_BOM[PPGridRow],33),0))/44.26</f>
        <v/>
      </c>
      <c r="AH77">
        <f>SUMPRODUCT((M_BOM[Part Name]=$A77)*M_BOM[RM_Qty_Per_Batch]*IFERROR(INDEX(PP_Grid[#Data],M_BOM[PPGridRow],34),0))/44.26</f>
        <v/>
      </c>
      <c r="AI77">
        <f>SUMPRODUCT((M_BOM[Part Name]=$A77)*M_BOM[RM_Qty_Per_Batch]*IFERROR(INDEX(PP_Grid[#Data],M_BOM[PPGridRow],35),0))/44.26</f>
        <v/>
      </c>
      <c r="AJ77">
        <f>SUMPRODUCT((M_BOM[Part Name]=$A77)*M_BOM[RM_Qty_Per_Batch]*IFERROR(INDEX(PP_Grid[#Data],M_BOM[PPGridRow],36),0))/44.26</f>
        <v/>
      </c>
      <c r="AK77">
        <f>SUMPRODUCT((M_BOM[Part Name]=$A77)*M_BOM[RM_Qty_Per_Batch]*IFERROR(INDEX(PP_Grid[#Data],M_BOM[PPGridRow],37),0))/44.26</f>
        <v/>
      </c>
      <c r="AL77">
        <f>SUMPRODUCT((M_BOM[Part Name]=$A77)*M_BOM[RM_Qty_Per_Batch]*IFERROR(INDEX(PP_Grid[#Data],M_BOM[PPGridRow],38),0))/44.26</f>
        <v/>
      </c>
      <c r="AM77">
        <f>SUMPRODUCT((M_BOM[Part Name]=$A77)*M_BOM[RM_Qty_Per_Batch]*IFERROR(INDEX(PP_Grid[#Data],M_BOM[PPGridRow],39),0))/44.26</f>
        <v/>
      </c>
      <c r="AN77">
        <f>SUMPRODUCT((M_BOM[Part Name]=$A77)*M_BOM[RM_Qty_Per_Batch]*IFERROR(INDEX(PP_Grid[#Data],M_BOM[PPGridRow],40),0))/44.26</f>
        <v/>
      </c>
      <c r="AO77">
        <f>SUMPRODUCT((M_BOM[Part Name]=$A77)*M_BOM[RM_Qty_Per_Batch]*IFERROR(INDEX(PP_Grid[#Data],M_BOM[PPGridRow],41),0))/44.26</f>
        <v/>
      </c>
      <c r="AP77">
        <f>SUMPRODUCT((M_BOM[Part Name]=$A77)*M_BOM[RM_Qty_Per_Batch]*IFERROR(INDEX(PP_Grid[#Data],M_BOM[PPGridRow],42),0))/44.26</f>
        <v/>
      </c>
      <c r="AQ77">
        <f>SUMPRODUCT((M_BOM[Part Name]=$A77)*M_BOM[RM_Qty_Per_Batch]*IFERROR(INDEX(PP_Grid[#Data],M_BOM[PPGridRow],43),0))/44.26</f>
        <v/>
      </c>
      <c r="AR77">
        <f>SUMPRODUCT((M_BOM[Part Name]=$A77)*M_BOM[RM_Qty_Per_Batch]*IFERROR(INDEX(PP_Grid[#Data],M_BOM[PPGridRow],44),0))/44.26</f>
        <v/>
      </c>
      <c r="AS77">
        <f>SUMPRODUCT((M_BOM[Part Name]=$A77)*M_BOM[RM_Qty_Per_Batch]*IFERROR(INDEX(PP_Grid[#Data],M_BOM[PPGridRow],45),0))/44.26</f>
        <v/>
      </c>
      <c r="AT77">
        <f>SUMPRODUCT((M_BOM[Part Name]=$A77)*M_BOM[RM_Qty_Per_Batch]*IFERROR(INDEX(PP_Grid[#Data],M_BOM[PPGridRow],46),0))/44.26</f>
        <v/>
      </c>
      <c r="AU77">
        <f>SUMPRODUCT((M_BOM[Part Name]=$A77)*M_BOM[RM_Qty_Per_Batch]*IFERROR(INDEX(PP_Grid[#Data],M_BOM[PPGridRow],47),0))/44.26</f>
        <v/>
      </c>
      <c r="AV77">
        <f>SUMPRODUCT((M_BOM[Part Name]=$A77)*M_BOM[RM_Qty_Per_Batch]*IFERROR(INDEX(PP_Grid[#Data],M_BOM[PPGridRow],48),0))/44.26</f>
        <v/>
      </c>
      <c r="AW77">
        <f>SUMPRODUCT((M_BOM[Part Name]=$A77)*M_BOM[RM_Qty_Per_Batch]*IFERROR(INDEX(PP_Grid[#Data],M_BOM[PPGridRow],49),0))/44.26</f>
        <v/>
      </c>
      <c r="AX77">
        <f>SUMPRODUCT((M_BOM[Part Name]=$A77)*M_BOM[RM_Qty_Per_Batch]*IFERROR(INDEX(PP_Grid[#Data],M_BOM[PPGridRow],50),0))/44.26</f>
        <v/>
      </c>
      <c r="AY77">
        <f>SUMPRODUCT((M_BOM[Part Name]=$A77)*M_BOM[RM_Qty_Per_Batch]*IFERROR(INDEX(PP_Grid[#Data],M_BOM[PPGridRow],51),0))/44.26</f>
        <v/>
      </c>
      <c r="AZ77">
        <f>SUMPRODUCT((M_BOM[Part Name]=$A77)*M_BOM[RM_Qty_Per_Batch]*IFERROR(INDEX(PP_Grid[#Data],M_BOM[PPGridRow],52),0))/44.26</f>
        <v/>
      </c>
      <c r="BA77">
        <f>SUMPRODUCT((M_BOM[Part Name]=$A77)*M_BOM[RM_Qty_Per_Batch]*IFERROR(INDEX(PP_Grid[#Data],M_BOM[PPGridRow],53),0))/44.26</f>
        <v/>
      </c>
      <c r="BB77">
        <f>SUMPRODUCT((M_BOM[Part Name]=$A77)*M_BOM[RM_Qty_Per_Batch]*IFERROR(INDEX(PP_Grid[#Data],M_BOM[PPGridRow],54),0))/44.26</f>
        <v/>
      </c>
      <c r="BC77">
        <f>SUMPRODUCT((M_BOM[Part Name]=$A77)*M_BOM[RM_Qty_Per_Batch]*IFERROR(INDEX(PP_Grid[#Data],M_BOM[PPGridRow],55),0))/44.26</f>
        <v/>
      </c>
      <c r="BD77">
        <f>SUMPRODUCT((M_BOM[Part Name]=$A77)*M_BOM[RM_Qty_Per_Batch]*IFERROR(INDEX(PP_Grid[#Data],M_BOM[PPGridRow],56),0))/44.26</f>
        <v/>
      </c>
      <c r="BE77">
        <f>SUMPRODUCT((M_BOM[Part Name]=$A77)*M_BOM[RM_Qty_Per_Batch]*IFERROR(INDEX(PP_Grid[#Data],M_BOM[PPGridRow],57),0))/44.26</f>
        <v/>
      </c>
      <c r="BF77">
        <f>SUMPRODUCT((M_BOM[Part Name]=$A77)*M_BOM[RM_Qty_Per_Batch]*IFERROR(INDEX(PP_Grid[#Data],M_BOM[PPGridRow],58),0))/44.26</f>
        <v/>
      </c>
      <c r="BG77">
        <f>SUMPRODUCT((M_BOM[Part Name]=$A77)*M_BOM[RM_Qty_Per_Batch]*IFERROR(INDEX(PP_Grid[#Data],M_BOM[PPGridRow],59),0))/44.26</f>
        <v/>
      </c>
      <c r="BH77">
        <f>SUMPRODUCT((M_BOM[Part Name]=$A77)*M_BOM[RM_Qty_Per_Batch]*IFERROR(INDEX(PP_Grid[#Data],M_BOM[PPGridRow],60),0))/44.26</f>
        <v/>
      </c>
      <c r="BI77">
        <f>SUMPRODUCT((M_BOM[Part Name]=$A77)*M_BOM[RM_Qty_Per_Batch]*IFERROR(INDEX(PP_Grid[#Data],M_BOM[PPGridRow],61),0))/44.26</f>
        <v/>
      </c>
      <c r="BJ77">
        <f>SUMPRODUCT((M_BOM[Part Name]=$A77)*M_BOM[RM_Qty_Per_Batch]*IFERROR(INDEX(PP_Grid[#Data],M_BOM[PPGridRow],62),0))/44.26</f>
        <v/>
      </c>
      <c r="BK77">
        <f>SUMPRODUCT((M_BOM[Part Name]=$A77)*M_BOM[RM_Qty_Per_Batch]*IFERROR(INDEX(PP_Grid[#Data],M_BOM[PPGridRow],63),0))/44.26</f>
        <v/>
      </c>
      <c r="BL77">
        <f>SUMPRODUCT((M_BOM[Part Name]=$A77)*M_BOM[RM_Qty_Per_Batch]*IFERROR(INDEX(PP_Grid[#Data],M_BOM[PPGridRow],64),0))/44.26</f>
        <v/>
      </c>
      <c r="BM77">
        <f>SUMPRODUCT((M_BOM[Part Name]=$A77)*M_BOM[RM_Qty_Per_Batch]*IFERROR(INDEX(PP_Grid[#Data],M_BOM[PPGridRow],65),0))/44.26</f>
        <v/>
      </c>
      <c r="BN77">
        <f>SUMPRODUCT((M_BOM[Part Name]=$A77)*M_BOM[RM_Qty_Per_Batch]*IFERROR(INDEX(PP_Grid[#Data],M_BOM[PPGridRow],66),0))/44.26</f>
        <v/>
      </c>
      <c r="BO77">
        <f>SUMPRODUCT((M_BOM[Part Name]=$A77)*M_BOM[RM_Qty_Per_Batch]*IFERROR(INDEX(PP_Grid[#Data],M_BOM[PPGridRow],67),0))/44.26</f>
        <v/>
      </c>
      <c r="BP77">
        <f>SUMPRODUCT((M_BOM[Part Name]=$A77)*M_BOM[RM_Qty_Per_Batch]*IFERROR(INDEX(PP_Grid[#Data],M_BOM[PPGridRow],68),0))/44.26</f>
        <v/>
      </c>
      <c r="BQ77">
        <f>SUMPRODUCT((M_BOM[Part Name]=$A77)*M_BOM[RM_Qty_Per_Batch]*IFERROR(INDEX(PP_Grid[#Data],M_BOM[PPGridRow],69),0))/44.26</f>
        <v/>
      </c>
      <c r="BR77">
        <f>SUMPRODUCT((M_BOM[Part Name]=$A77)*M_BOM[RM_Qty_Per_Batch]*IFERROR(INDEX(PP_Grid[#Data],M_BOM[PPGridRow],70),0))/44.26</f>
        <v/>
      </c>
      <c r="BS77">
        <f>SUMPRODUCT((M_BOM[Part Name]=$A77)*M_BOM[RM_Qty_Per_Batch]*IFERROR(INDEX(PP_Grid[#Data],M_BOM[PPGridRow],71),0))/44.26</f>
        <v/>
      </c>
      <c r="BT77">
        <f>SUMPRODUCT((M_BOM[Part Name]=$A77)*M_BOM[RM_Qty_Per_Batch]*IFERROR(INDEX(PP_Grid[#Data],M_BOM[PPGridRow],72),0))/44.26</f>
        <v/>
      </c>
      <c r="BU77">
        <f>SUMPRODUCT((M_BOM[Part Name]=$A77)*M_BOM[RM_Qty_Per_Batch]*IFERROR(INDEX(PP_Grid[#Data],M_BOM[PPGridRow],73),0))/44.26</f>
        <v/>
      </c>
      <c r="BV77">
        <f>SUMPRODUCT((M_BOM[Part Name]=$A77)*M_BOM[RM_Qty_Per_Batch]*IFERROR(INDEX(PP_Grid[#Data],M_BOM[PPGridRow],74),0))/44.26</f>
        <v/>
      </c>
      <c r="BW77">
        <f>SUMPRODUCT((M_BOM[Part Name]=$A77)*M_BOM[RM_Qty_Per_Batch]*IFERROR(INDEX(PP_Grid[#Data],M_BOM[PPGridRow],75),0))/44.26</f>
        <v/>
      </c>
      <c r="BX77">
        <f>SUMPRODUCT((M_BOM[Part Name]=$A77)*M_BOM[RM_Qty_Per_Batch]*IFERROR(INDEX(PP_Grid[#Data],M_BOM[PPGridRow],76),0))/44.26</f>
        <v/>
      </c>
      <c r="BY77">
        <f>SUMPRODUCT((M_BOM[Part Name]=$A77)*M_BOM[RM_Qty_Per_Batch]*IFERROR(INDEX(PP_Grid[#Data],M_BOM[PPGridRow],77),0))/44.26</f>
        <v/>
      </c>
      <c r="BZ77">
        <f>SUMPRODUCT((M_BOM[Part Name]=$A77)*M_BOM[RM_Qty_Per_Batch]*IFERROR(INDEX(PP_Grid[#Data],M_BOM[PPGridRow],78),0))/44.26</f>
        <v/>
      </c>
      <c r="CA77">
        <f>SUMPRODUCT((M_BOM[Part Name]=$A77)*M_BOM[RM_Qty_Per_Batch]*IFERROR(INDEX(PP_Grid[#Data],M_BOM[PPGridRow],79),0))/44.26</f>
        <v/>
      </c>
      <c r="CB77">
        <f>SUMPRODUCT((M_BOM[Part Name]=$A77)*M_BOM[RM_Qty_Per_Batch]*IFERROR(INDEX(PP_Grid[#Data],M_BOM[PPGridRow],80),0))/44.26</f>
        <v/>
      </c>
      <c r="CC77">
        <f>SUMPRODUCT((M_BOM[Part Name]=$A77)*M_BOM[RM_Qty_Per_Batch]*IFERROR(INDEX(PP_Grid[#Data],M_BOM[PPGridRow],81),0))/44.26</f>
        <v/>
      </c>
      <c r="CD77">
        <f>SUMPRODUCT((M_BOM[Part Name]=$A77)*M_BOM[RM_Qty_Per_Batch]*IFERROR(INDEX(PP_Grid[#Data],M_BOM[PPGridRow],82),0))/44.26</f>
        <v/>
      </c>
      <c r="CE77">
        <f>SUMPRODUCT((M_BOM[Part Name]=$A77)*M_BOM[RM_Qty_Per_Batch]*IFERROR(INDEX(PP_Grid[#Data],M_BOM[PPGridRow],83),0))/44.26</f>
        <v/>
      </c>
      <c r="CF77">
        <f>SUMPRODUCT((M_BOM[Part Name]=$A77)*M_BOM[RM_Qty_Per_Batch]*IFERROR(INDEX(PP_Grid[#Data],M_BOM[PPGridRow],84),0))/44.26</f>
        <v/>
      </c>
      <c r="CG77">
        <f>SUMPRODUCT((M_BOM[Part Name]=$A77)*M_BOM[RM_Qty_Per_Batch]*IFERROR(INDEX(PP_Grid[#Data],M_BOM[PPGridRow],85),0))/44.26</f>
        <v/>
      </c>
      <c r="CH77">
        <f>SUMPRODUCT((M_BOM[Part Name]=$A77)*M_BOM[RM_Qty_Per_Batch]*IFERROR(INDEX(PP_Grid[#Data],M_BOM[PPGridRow],86),0))/44.26</f>
        <v/>
      </c>
      <c r="CI77">
        <f>SUMPRODUCT((M_BOM[Part Name]=$A77)*M_BOM[RM_Qty_Per_Batch]*IFERROR(INDEX(PP_Grid[#Data],M_BOM[PPGridRow],87),0))/44.26</f>
        <v/>
      </c>
      <c r="CJ77">
        <f>SUMPRODUCT((M_BOM[Part Name]=$A77)*M_BOM[RM_Qty_Per_Batch]*IFERROR(INDEX(PP_Grid[#Data],M_BOM[PPGridRow],88),0))/44.26</f>
        <v/>
      </c>
      <c r="CK77">
        <f>SUMPRODUCT((M_BOM[Part Name]=$A77)*M_BOM[RM_Qty_Per_Batch]*IFERROR(INDEX(PP_Grid[#Data],M_BOM[PPGridRow],89),0))/44.26</f>
        <v/>
      </c>
      <c r="CL77">
        <f>SUMPRODUCT((M_BOM[Part Name]=$A77)*M_BOM[RM_Qty_Per_Batch]*IFERROR(INDEX(PP_Grid[#Data],M_BOM[PPGridRow],90),0))/44.26</f>
        <v/>
      </c>
      <c r="CM77">
        <f>SUMPRODUCT((M_BOM[Part Name]=$A77)*M_BOM[RM_Qty_Per_Batch]*IFERROR(INDEX(PP_Grid[#Data],M_BOM[PPGridRow],91),0))/44.26</f>
        <v/>
      </c>
      <c r="CN77">
        <f>SUMPRODUCT((M_BOM[Part Name]=$A77)*M_BOM[RM_Qty_Per_Batch]*IFERROR(INDEX(PP_Grid[#Data],M_BOM[PPGridRow],92),0))/44.26</f>
        <v/>
      </c>
      <c r="CO77">
        <f>SUMPRODUCT((M_BOM[Part Name]=$A77)*M_BOM[RM_Qty_Per_Batch]*IFERROR(INDEX(PP_Grid[#Data],M_BOM[PPGridRow],93),0))/44.26</f>
        <v/>
      </c>
      <c r="CP77">
        <f>SUMPRODUCT((M_BOM[Part Name]=$A77)*M_BOM[RM_Qty_Per_Batch]*IFERROR(INDEX(PP_Grid[#Data],M_BOM[PPGridRow],94),0))/44.26</f>
        <v/>
      </c>
      <c r="CQ77">
        <f>SUMPRODUCT((M_BOM[Part Name]=$A77)*M_BOM[RM_Qty_Per_Batch]*IFERROR(INDEX(PP_Grid[#Data],M_BOM[PPGridRow],95),0))/44.26</f>
        <v/>
      </c>
      <c r="CR77">
        <f>SUMPRODUCT((M_BOM[Part Name]=$A77)*M_BOM[RM_Qty_Per_Batch]*IFERROR(INDEX(PP_Grid[#Data],M_BOM[PPGridRow],96),0))/44.26</f>
        <v/>
      </c>
      <c r="CS77">
        <f>SUMPRODUCT((M_BOM[Part Name]=$A77)*M_BOM[RM_Qty_Per_Batch]*IFERROR(INDEX(PP_Grid[#Data],M_BOM[PPGridRow],97),0))/44.26</f>
        <v/>
      </c>
      <c r="CT77">
        <f>SUMPRODUCT((M_BOM[Part Name]=$A77)*M_BOM[RM_Qty_Per_Batch]*IFERROR(INDEX(PP_Grid[#Data],M_BOM[PPGridRow],98),0))/44.26</f>
        <v/>
      </c>
      <c r="CU77">
        <f>SUMPRODUCT((M_BOM[Part Name]=$A77)*M_BOM[RM_Qty_Per_Batch]*IFERROR(INDEX(PP_Grid[#Data],M_BOM[PPGridRow],99),0))/44.26</f>
        <v/>
      </c>
      <c r="CV77">
        <f>SUMPRODUCT((M_BOM[Part Name]=$A77)*M_BOM[RM_Qty_Per_Batch]*IFERROR(INDEX(PP_Grid[#Data],M_BOM[PPGridRow],100),0))/44.26</f>
        <v/>
      </c>
      <c r="CW77">
        <f>SUMPRODUCT((M_BOM[Part Name]=$A77)*M_BOM[RM_Qty_Per_Batch]*IFERROR(INDEX(PP_Grid[#Data],M_BOM[PPGridRow],101),0))/44.26</f>
        <v/>
      </c>
      <c r="CX77">
        <f>SUMPRODUCT((M_BOM[Part Name]=$A77)*M_BOM[RM_Qty_Per_Batch]*IFERROR(INDEX(PP_Grid[#Data],M_BOM[PPGridRow],102),0))/44.26</f>
        <v/>
      </c>
      <c r="CY77">
        <f>SUMPRODUCT((M_BOM[Part Name]=$A77)*M_BOM[RM_Qty_Per_Batch]*IFERROR(INDEX(PP_Grid[#Data],M_BOM[PPGridRow],103),0))/44.26</f>
        <v/>
      </c>
      <c r="CZ77">
        <f>SUMPRODUCT((M_BOM[Part Name]=$A77)*M_BOM[RM_Qty_Per_Batch]*IFERROR(INDEX(PP_Grid[#Data],M_BOM[PPGridRow],104),0))/44.26</f>
        <v/>
      </c>
      <c r="DA77">
        <f>SUMPRODUCT((M_BOM[Part Name]=$A77)*M_BOM[RM_Qty_Per_Batch]*IFERROR(INDEX(PP_Grid[#Data],M_BOM[PPGridRow],105),0))/44.26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Name]=$A78)*M_BOM[RM_Qty_Per_Batch]*IFERROR(INDEX(PP_Grid[#Data],M_BOM[PPGridRow],2),0))/32.24</f>
        <v/>
      </c>
      <c r="C78">
        <f>SUMPRODUCT((M_BOM[Part Name]=$A78)*M_BOM[RM_Qty_Per_Batch]*IFERROR(INDEX(PP_Grid[#Data],M_BOM[PPGridRow],3),0))/32.24</f>
        <v/>
      </c>
      <c r="D78">
        <f>SUMPRODUCT((M_BOM[Part Name]=$A78)*M_BOM[RM_Qty_Per_Batch]*IFERROR(INDEX(PP_Grid[#Data],M_BOM[PPGridRow],4),0))/32.24</f>
        <v/>
      </c>
      <c r="E78">
        <f>SUMPRODUCT((M_BOM[Part Name]=$A78)*M_BOM[RM_Qty_Per_Batch]*IFERROR(INDEX(PP_Grid[#Data],M_BOM[PPGridRow],5),0))/32.24</f>
        <v/>
      </c>
      <c r="F78">
        <f>SUMPRODUCT((M_BOM[Part Name]=$A78)*M_BOM[RM_Qty_Per_Batch]*IFERROR(INDEX(PP_Grid[#Data],M_BOM[PPGridRow],6),0))/32.24</f>
        <v/>
      </c>
      <c r="G78">
        <f>SUMPRODUCT((M_BOM[Part Name]=$A78)*M_BOM[RM_Qty_Per_Batch]*IFERROR(INDEX(PP_Grid[#Data],M_BOM[PPGridRow],7),0))/32.24</f>
        <v/>
      </c>
      <c r="H78">
        <f>SUMPRODUCT((M_BOM[Part Name]=$A78)*M_BOM[RM_Qty_Per_Batch]*IFERROR(INDEX(PP_Grid[#Data],M_BOM[PPGridRow],8),0))/32.24</f>
        <v/>
      </c>
      <c r="I78">
        <f>SUMPRODUCT((M_BOM[Part Name]=$A78)*M_BOM[RM_Qty_Per_Batch]*IFERROR(INDEX(PP_Grid[#Data],M_BOM[PPGridRow],9),0))/32.24</f>
        <v/>
      </c>
      <c r="J78">
        <f>SUMPRODUCT((M_BOM[Part Name]=$A78)*M_BOM[RM_Qty_Per_Batch]*IFERROR(INDEX(PP_Grid[#Data],M_BOM[PPGridRow],10),0))/32.24</f>
        <v/>
      </c>
      <c r="K78">
        <f>SUMPRODUCT((M_BOM[Part Name]=$A78)*M_BOM[RM_Qty_Per_Batch]*IFERROR(INDEX(PP_Grid[#Data],M_BOM[PPGridRow],11),0))/32.24</f>
        <v/>
      </c>
      <c r="L78">
        <f>SUMPRODUCT((M_BOM[Part Name]=$A78)*M_BOM[RM_Qty_Per_Batch]*IFERROR(INDEX(PP_Grid[#Data],M_BOM[PPGridRow],12),0))/32.24</f>
        <v/>
      </c>
      <c r="M78">
        <f>SUMPRODUCT((M_BOM[Part Name]=$A78)*M_BOM[RM_Qty_Per_Batch]*IFERROR(INDEX(PP_Grid[#Data],M_BOM[PPGridRow],13),0))/32.24</f>
        <v/>
      </c>
      <c r="N78">
        <f>SUMPRODUCT((M_BOM[Part Name]=$A78)*M_BOM[RM_Qty_Per_Batch]*IFERROR(INDEX(PP_Grid[#Data],M_BOM[PPGridRow],14),0))/32.24</f>
        <v/>
      </c>
      <c r="O78">
        <f>SUMPRODUCT((M_BOM[Part Name]=$A78)*M_BOM[RM_Qty_Per_Batch]*IFERROR(INDEX(PP_Grid[#Data],M_BOM[PPGridRow],15),0))/32.24</f>
        <v/>
      </c>
      <c r="P78">
        <f>SUMPRODUCT((M_BOM[Part Name]=$A78)*M_BOM[RM_Qty_Per_Batch]*IFERROR(INDEX(PP_Grid[#Data],M_BOM[PPGridRow],16),0))/32.24</f>
        <v/>
      </c>
      <c r="Q78">
        <f>SUMPRODUCT((M_BOM[Part Name]=$A78)*M_BOM[RM_Qty_Per_Batch]*IFERROR(INDEX(PP_Grid[#Data],M_BOM[PPGridRow],17),0))/32.24</f>
        <v/>
      </c>
      <c r="R78">
        <f>SUMPRODUCT((M_BOM[Part Name]=$A78)*M_BOM[RM_Qty_Per_Batch]*IFERROR(INDEX(PP_Grid[#Data],M_BOM[PPGridRow],18),0))/32.24</f>
        <v/>
      </c>
      <c r="S78">
        <f>SUMPRODUCT((M_BOM[Part Name]=$A78)*M_BOM[RM_Qty_Per_Batch]*IFERROR(INDEX(PP_Grid[#Data],M_BOM[PPGridRow],19),0))/32.24</f>
        <v/>
      </c>
      <c r="T78">
        <f>SUMPRODUCT((M_BOM[Part Name]=$A78)*M_BOM[RM_Qty_Per_Batch]*IFERROR(INDEX(PP_Grid[#Data],M_BOM[PPGridRow],20),0))/32.24</f>
        <v/>
      </c>
      <c r="U78">
        <f>SUMPRODUCT((M_BOM[Part Name]=$A78)*M_BOM[RM_Qty_Per_Batch]*IFERROR(INDEX(PP_Grid[#Data],M_BOM[PPGridRow],21),0))/32.24</f>
        <v/>
      </c>
      <c r="V78">
        <f>SUMPRODUCT((M_BOM[Part Name]=$A78)*M_BOM[RM_Qty_Per_Batch]*IFERROR(INDEX(PP_Grid[#Data],M_BOM[PPGridRow],22),0))/32.24</f>
        <v/>
      </c>
      <c r="W78">
        <f>SUMPRODUCT((M_BOM[Part Name]=$A78)*M_BOM[RM_Qty_Per_Batch]*IFERROR(INDEX(PP_Grid[#Data],M_BOM[PPGridRow],23),0))/32.24</f>
        <v/>
      </c>
      <c r="X78">
        <f>SUMPRODUCT((M_BOM[Part Name]=$A78)*M_BOM[RM_Qty_Per_Batch]*IFERROR(INDEX(PP_Grid[#Data],M_BOM[PPGridRow],24),0))/32.24</f>
        <v/>
      </c>
      <c r="Y78">
        <f>SUMPRODUCT((M_BOM[Part Name]=$A78)*M_BOM[RM_Qty_Per_Batch]*IFERROR(INDEX(PP_Grid[#Data],M_BOM[PPGridRow],25),0))/32.24</f>
        <v/>
      </c>
      <c r="Z78">
        <f>SUMPRODUCT((M_BOM[Part Name]=$A78)*M_BOM[RM_Qty_Per_Batch]*IFERROR(INDEX(PP_Grid[#Data],M_BOM[PPGridRow],26),0))/32.24</f>
        <v/>
      </c>
      <c r="AA78">
        <f>SUMPRODUCT((M_BOM[Part Name]=$A78)*M_BOM[RM_Qty_Per_Batch]*IFERROR(INDEX(PP_Grid[#Data],M_BOM[PPGridRow],27),0))/32.24</f>
        <v/>
      </c>
      <c r="AB78">
        <f>SUMPRODUCT((M_BOM[Part Name]=$A78)*M_BOM[RM_Qty_Per_Batch]*IFERROR(INDEX(PP_Grid[#Data],M_BOM[PPGridRow],28),0))/32.24</f>
        <v/>
      </c>
      <c r="AC78">
        <f>SUMPRODUCT((M_BOM[Part Name]=$A78)*M_BOM[RM_Qty_Per_Batch]*IFERROR(INDEX(PP_Grid[#Data],M_BOM[PPGridRow],29),0))/32.24</f>
        <v/>
      </c>
      <c r="AD78">
        <f>SUMPRODUCT((M_BOM[Part Name]=$A78)*M_BOM[RM_Qty_Per_Batch]*IFERROR(INDEX(PP_Grid[#Data],M_BOM[PPGridRow],30),0))/32.24</f>
        <v/>
      </c>
      <c r="AE78">
        <f>SUMPRODUCT((M_BOM[Part Name]=$A78)*M_BOM[RM_Qty_Per_Batch]*IFERROR(INDEX(PP_Grid[#Data],M_BOM[PPGridRow],31),0))/32.24</f>
        <v/>
      </c>
      <c r="AF78">
        <f>SUMPRODUCT((M_BOM[Part Name]=$A78)*M_BOM[RM_Qty_Per_Batch]*IFERROR(INDEX(PP_Grid[#Data],M_BOM[PPGridRow],32),0))/32.24</f>
        <v/>
      </c>
      <c r="AG78">
        <f>SUMPRODUCT((M_BOM[Part Name]=$A78)*M_BOM[RM_Qty_Per_Batch]*IFERROR(INDEX(PP_Grid[#Data],M_BOM[PPGridRow],33),0))/32.24</f>
        <v/>
      </c>
      <c r="AH78">
        <f>SUMPRODUCT((M_BOM[Part Name]=$A78)*M_BOM[RM_Qty_Per_Batch]*IFERROR(INDEX(PP_Grid[#Data],M_BOM[PPGridRow],34),0))/32.24</f>
        <v/>
      </c>
      <c r="AI78">
        <f>SUMPRODUCT((M_BOM[Part Name]=$A78)*M_BOM[RM_Qty_Per_Batch]*IFERROR(INDEX(PP_Grid[#Data],M_BOM[PPGridRow],35),0))/32.24</f>
        <v/>
      </c>
      <c r="AJ78">
        <f>SUMPRODUCT((M_BOM[Part Name]=$A78)*M_BOM[RM_Qty_Per_Batch]*IFERROR(INDEX(PP_Grid[#Data],M_BOM[PPGridRow],36),0))/32.24</f>
        <v/>
      </c>
      <c r="AK78">
        <f>SUMPRODUCT((M_BOM[Part Name]=$A78)*M_BOM[RM_Qty_Per_Batch]*IFERROR(INDEX(PP_Grid[#Data],M_BOM[PPGridRow],37),0))/32.24</f>
        <v/>
      </c>
      <c r="AL78">
        <f>SUMPRODUCT((M_BOM[Part Name]=$A78)*M_BOM[RM_Qty_Per_Batch]*IFERROR(INDEX(PP_Grid[#Data],M_BOM[PPGridRow],38),0))/32.24</f>
        <v/>
      </c>
      <c r="AM78">
        <f>SUMPRODUCT((M_BOM[Part Name]=$A78)*M_BOM[RM_Qty_Per_Batch]*IFERROR(INDEX(PP_Grid[#Data],M_BOM[PPGridRow],39),0))/32.24</f>
        <v/>
      </c>
      <c r="AN78">
        <f>SUMPRODUCT((M_BOM[Part Name]=$A78)*M_BOM[RM_Qty_Per_Batch]*IFERROR(INDEX(PP_Grid[#Data],M_BOM[PPGridRow],40),0))/32.24</f>
        <v/>
      </c>
      <c r="AO78">
        <f>SUMPRODUCT((M_BOM[Part Name]=$A78)*M_BOM[RM_Qty_Per_Batch]*IFERROR(INDEX(PP_Grid[#Data],M_BOM[PPGridRow],41),0))/32.24</f>
        <v/>
      </c>
      <c r="AP78">
        <f>SUMPRODUCT((M_BOM[Part Name]=$A78)*M_BOM[RM_Qty_Per_Batch]*IFERROR(INDEX(PP_Grid[#Data],M_BOM[PPGridRow],42),0))/32.24</f>
        <v/>
      </c>
      <c r="AQ78">
        <f>SUMPRODUCT((M_BOM[Part Name]=$A78)*M_BOM[RM_Qty_Per_Batch]*IFERROR(INDEX(PP_Grid[#Data],M_BOM[PPGridRow],43),0))/32.24</f>
        <v/>
      </c>
      <c r="AR78">
        <f>SUMPRODUCT((M_BOM[Part Name]=$A78)*M_BOM[RM_Qty_Per_Batch]*IFERROR(INDEX(PP_Grid[#Data],M_BOM[PPGridRow],44),0))/32.24</f>
        <v/>
      </c>
      <c r="AS78">
        <f>SUMPRODUCT((M_BOM[Part Name]=$A78)*M_BOM[RM_Qty_Per_Batch]*IFERROR(INDEX(PP_Grid[#Data],M_BOM[PPGridRow],45),0))/32.24</f>
        <v/>
      </c>
      <c r="AT78">
        <f>SUMPRODUCT((M_BOM[Part Name]=$A78)*M_BOM[RM_Qty_Per_Batch]*IFERROR(INDEX(PP_Grid[#Data],M_BOM[PPGridRow],46),0))/32.24</f>
        <v/>
      </c>
      <c r="AU78">
        <f>SUMPRODUCT((M_BOM[Part Name]=$A78)*M_BOM[RM_Qty_Per_Batch]*IFERROR(INDEX(PP_Grid[#Data],M_BOM[PPGridRow],47),0))/32.24</f>
        <v/>
      </c>
      <c r="AV78">
        <f>SUMPRODUCT((M_BOM[Part Name]=$A78)*M_BOM[RM_Qty_Per_Batch]*IFERROR(INDEX(PP_Grid[#Data],M_BOM[PPGridRow],48),0))/32.24</f>
        <v/>
      </c>
      <c r="AW78">
        <f>SUMPRODUCT((M_BOM[Part Name]=$A78)*M_BOM[RM_Qty_Per_Batch]*IFERROR(INDEX(PP_Grid[#Data],M_BOM[PPGridRow],49),0))/32.24</f>
        <v/>
      </c>
      <c r="AX78">
        <f>SUMPRODUCT((M_BOM[Part Name]=$A78)*M_BOM[RM_Qty_Per_Batch]*IFERROR(INDEX(PP_Grid[#Data],M_BOM[PPGridRow],50),0))/32.24</f>
        <v/>
      </c>
      <c r="AY78">
        <f>SUMPRODUCT((M_BOM[Part Name]=$A78)*M_BOM[RM_Qty_Per_Batch]*IFERROR(INDEX(PP_Grid[#Data],M_BOM[PPGridRow],51),0))/32.24</f>
        <v/>
      </c>
      <c r="AZ78">
        <f>SUMPRODUCT((M_BOM[Part Name]=$A78)*M_BOM[RM_Qty_Per_Batch]*IFERROR(INDEX(PP_Grid[#Data],M_BOM[PPGridRow],52),0))/32.24</f>
        <v/>
      </c>
      <c r="BA78">
        <f>SUMPRODUCT((M_BOM[Part Name]=$A78)*M_BOM[RM_Qty_Per_Batch]*IFERROR(INDEX(PP_Grid[#Data],M_BOM[PPGridRow],53),0))/32.24</f>
        <v/>
      </c>
      <c r="BB78">
        <f>SUMPRODUCT((M_BOM[Part Name]=$A78)*M_BOM[RM_Qty_Per_Batch]*IFERROR(INDEX(PP_Grid[#Data],M_BOM[PPGridRow],54),0))/32.24</f>
        <v/>
      </c>
      <c r="BC78">
        <f>SUMPRODUCT((M_BOM[Part Name]=$A78)*M_BOM[RM_Qty_Per_Batch]*IFERROR(INDEX(PP_Grid[#Data],M_BOM[PPGridRow],55),0))/32.24</f>
        <v/>
      </c>
      <c r="BD78">
        <f>SUMPRODUCT((M_BOM[Part Name]=$A78)*M_BOM[RM_Qty_Per_Batch]*IFERROR(INDEX(PP_Grid[#Data],M_BOM[PPGridRow],56),0))/32.24</f>
        <v/>
      </c>
      <c r="BE78">
        <f>SUMPRODUCT((M_BOM[Part Name]=$A78)*M_BOM[RM_Qty_Per_Batch]*IFERROR(INDEX(PP_Grid[#Data],M_BOM[PPGridRow],57),0))/32.24</f>
        <v/>
      </c>
      <c r="BF78">
        <f>SUMPRODUCT((M_BOM[Part Name]=$A78)*M_BOM[RM_Qty_Per_Batch]*IFERROR(INDEX(PP_Grid[#Data],M_BOM[PPGridRow],58),0))/32.24</f>
        <v/>
      </c>
      <c r="BG78">
        <f>SUMPRODUCT((M_BOM[Part Name]=$A78)*M_BOM[RM_Qty_Per_Batch]*IFERROR(INDEX(PP_Grid[#Data],M_BOM[PPGridRow],59),0))/32.24</f>
        <v/>
      </c>
      <c r="BH78">
        <f>SUMPRODUCT((M_BOM[Part Name]=$A78)*M_BOM[RM_Qty_Per_Batch]*IFERROR(INDEX(PP_Grid[#Data],M_BOM[PPGridRow],60),0))/32.24</f>
        <v/>
      </c>
      <c r="BI78">
        <f>SUMPRODUCT((M_BOM[Part Name]=$A78)*M_BOM[RM_Qty_Per_Batch]*IFERROR(INDEX(PP_Grid[#Data],M_BOM[PPGridRow],61),0))/32.24</f>
        <v/>
      </c>
      <c r="BJ78">
        <f>SUMPRODUCT((M_BOM[Part Name]=$A78)*M_BOM[RM_Qty_Per_Batch]*IFERROR(INDEX(PP_Grid[#Data],M_BOM[PPGridRow],62),0))/32.24</f>
        <v/>
      </c>
      <c r="BK78">
        <f>SUMPRODUCT((M_BOM[Part Name]=$A78)*M_BOM[RM_Qty_Per_Batch]*IFERROR(INDEX(PP_Grid[#Data],M_BOM[PPGridRow],63),0))/32.24</f>
        <v/>
      </c>
      <c r="BL78">
        <f>SUMPRODUCT((M_BOM[Part Name]=$A78)*M_BOM[RM_Qty_Per_Batch]*IFERROR(INDEX(PP_Grid[#Data],M_BOM[PPGridRow],64),0))/32.24</f>
        <v/>
      </c>
      <c r="BM78">
        <f>SUMPRODUCT((M_BOM[Part Name]=$A78)*M_BOM[RM_Qty_Per_Batch]*IFERROR(INDEX(PP_Grid[#Data],M_BOM[PPGridRow],65),0))/32.24</f>
        <v/>
      </c>
      <c r="BN78">
        <f>SUMPRODUCT((M_BOM[Part Name]=$A78)*M_BOM[RM_Qty_Per_Batch]*IFERROR(INDEX(PP_Grid[#Data],M_BOM[PPGridRow],66),0))/32.24</f>
        <v/>
      </c>
      <c r="BO78">
        <f>SUMPRODUCT((M_BOM[Part Name]=$A78)*M_BOM[RM_Qty_Per_Batch]*IFERROR(INDEX(PP_Grid[#Data],M_BOM[PPGridRow],67),0))/32.24</f>
        <v/>
      </c>
      <c r="BP78">
        <f>SUMPRODUCT((M_BOM[Part Name]=$A78)*M_BOM[RM_Qty_Per_Batch]*IFERROR(INDEX(PP_Grid[#Data],M_BOM[PPGridRow],68),0))/32.24</f>
        <v/>
      </c>
      <c r="BQ78">
        <f>SUMPRODUCT((M_BOM[Part Name]=$A78)*M_BOM[RM_Qty_Per_Batch]*IFERROR(INDEX(PP_Grid[#Data],M_BOM[PPGridRow],69),0))/32.24</f>
        <v/>
      </c>
      <c r="BR78">
        <f>SUMPRODUCT((M_BOM[Part Name]=$A78)*M_BOM[RM_Qty_Per_Batch]*IFERROR(INDEX(PP_Grid[#Data],M_BOM[PPGridRow],70),0))/32.24</f>
        <v/>
      </c>
      <c r="BS78">
        <f>SUMPRODUCT((M_BOM[Part Name]=$A78)*M_BOM[RM_Qty_Per_Batch]*IFERROR(INDEX(PP_Grid[#Data],M_BOM[PPGridRow],71),0))/32.24</f>
        <v/>
      </c>
      <c r="BT78">
        <f>SUMPRODUCT((M_BOM[Part Name]=$A78)*M_BOM[RM_Qty_Per_Batch]*IFERROR(INDEX(PP_Grid[#Data],M_BOM[PPGridRow],72),0))/32.24</f>
        <v/>
      </c>
      <c r="BU78">
        <f>SUMPRODUCT((M_BOM[Part Name]=$A78)*M_BOM[RM_Qty_Per_Batch]*IFERROR(INDEX(PP_Grid[#Data],M_BOM[PPGridRow],73),0))/32.24</f>
        <v/>
      </c>
      <c r="BV78">
        <f>SUMPRODUCT((M_BOM[Part Name]=$A78)*M_BOM[RM_Qty_Per_Batch]*IFERROR(INDEX(PP_Grid[#Data],M_BOM[PPGridRow],74),0))/32.24</f>
        <v/>
      </c>
      <c r="BW78">
        <f>SUMPRODUCT((M_BOM[Part Name]=$A78)*M_BOM[RM_Qty_Per_Batch]*IFERROR(INDEX(PP_Grid[#Data],M_BOM[PPGridRow],75),0))/32.24</f>
        <v/>
      </c>
      <c r="BX78">
        <f>SUMPRODUCT((M_BOM[Part Name]=$A78)*M_BOM[RM_Qty_Per_Batch]*IFERROR(INDEX(PP_Grid[#Data],M_BOM[PPGridRow],76),0))/32.24</f>
        <v/>
      </c>
      <c r="BY78">
        <f>SUMPRODUCT((M_BOM[Part Name]=$A78)*M_BOM[RM_Qty_Per_Batch]*IFERROR(INDEX(PP_Grid[#Data],M_BOM[PPGridRow],77),0))/32.24</f>
        <v/>
      </c>
      <c r="BZ78">
        <f>SUMPRODUCT((M_BOM[Part Name]=$A78)*M_BOM[RM_Qty_Per_Batch]*IFERROR(INDEX(PP_Grid[#Data],M_BOM[PPGridRow],78),0))/32.24</f>
        <v/>
      </c>
      <c r="CA78">
        <f>SUMPRODUCT((M_BOM[Part Name]=$A78)*M_BOM[RM_Qty_Per_Batch]*IFERROR(INDEX(PP_Grid[#Data],M_BOM[PPGridRow],79),0))/32.24</f>
        <v/>
      </c>
      <c r="CB78">
        <f>SUMPRODUCT((M_BOM[Part Name]=$A78)*M_BOM[RM_Qty_Per_Batch]*IFERROR(INDEX(PP_Grid[#Data],M_BOM[PPGridRow],80),0))/32.24</f>
        <v/>
      </c>
      <c r="CC78">
        <f>SUMPRODUCT((M_BOM[Part Name]=$A78)*M_BOM[RM_Qty_Per_Batch]*IFERROR(INDEX(PP_Grid[#Data],M_BOM[PPGridRow],81),0))/32.24</f>
        <v/>
      </c>
      <c r="CD78">
        <f>SUMPRODUCT((M_BOM[Part Name]=$A78)*M_BOM[RM_Qty_Per_Batch]*IFERROR(INDEX(PP_Grid[#Data],M_BOM[PPGridRow],82),0))/32.24</f>
        <v/>
      </c>
      <c r="CE78">
        <f>SUMPRODUCT((M_BOM[Part Name]=$A78)*M_BOM[RM_Qty_Per_Batch]*IFERROR(INDEX(PP_Grid[#Data],M_BOM[PPGridRow],83),0))/32.24</f>
        <v/>
      </c>
      <c r="CF78">
        <f>SUMPRODUCT((M_BOM[Part Name]=$A78)*M_BOM[RM_Qty_Per_Batch]*IFERROR(INDEX(PP_Grid[#Data],M_BOM[PPGridRow],84),0))/32.24</f>
        <v/>
      </c>
      <c r="CG78">
        <f>SUMPRODUCT((M_BOM[Part Name]=$A78)*M_BOM[RM_Qty_Per_Batch]*IFERROR(INDEX(PP_Grid[#Data],M_BOM[PPGridRow],85),0))/32.24</f>
        <v/>
      </c>
      <c r="CH78">
        <f>SUMPRODUCT((M_BOM[Part Name]=$A78)*M_BOM[RM_Qty_Per_Batch]*IFERROR(INDEX(PP_Grid[#Data],M_BOM[PPGridRow],86),0))/32.24</f>
        <v/>
      </c>
      <c r="CI78">
        <f>SUMPRODUCT((M_BOM[Part Name]=$A78)*M_BOM[RM_Qty_Per_Batch]*IFERROR(INDEX(PP_Grid[#Data],M_BOM[PPGridRow],87),0))/32.24</f>
        <v/>
      </c>
      <c r="CJ78">
        <f>SUMPRODUCT((M_BOM[Part Name]=$A78)*M_BOM[RM_Qty_Per_Batch]*IFERROR(INDEX(PP_Grid[#Data],M_BOM[PPGridRow],88),0))/32.24</f>
        <v/>
      </c>
      <c r="CK78">
        <f>SUMPRODUCT((M_BOM[Part Name]=$A78)*M_BOM[RM_Qty_Per_Batch]*IFERROR(INDEX(PP_Grid[#Data],M_BOM[PPGridRow],89),0))/32.24</f>
        <v/>
      </c>
      <c r="CL78">
        <f>SUMPRODUCT((M_BOM[Part Name]=$A78)*M_BOM[RM_Qty_Per_Batch]*IFERROR(INDEX(PP_Grid[#Data],M_BOM[PPGridRow],90),0))/32.24</f>
        <v/>
      </c>
      <c r="CM78">
        <f>SUMPRODUCT((M_BOM[Part Name]=$A78)*M_BOM[RM_Qty_Per_Batch]*IFERROR(INDEX(PP_Grid[#Data],M_BOM[PPGridRow],91),0))/32.24</f>
        <v/>
      </c>
      <c r="CN78">
        <f>SUMPRODUCT((M_BOM[Part Name]=$A78)*M_BOM[RM_Qty_Per_Batch]*IFERROR(INDEX(PP_Grid[#Data],M_BOM[PPGridRow],92),0))/32.24</f>
        <v/>
      </c>
      <c r="CO78">
        <f>SUMPRODUCT((M_BOM[Part Name]=$A78)*M_BOM[RM_Qty_Per_Batch]*IFERROR(INDEX(PP_Grid[#Data],M_BOM[PPGridRow],93),0))/32.24</f>
        <v/>
      </c>
      <c r="CP78">
        <f>SUMPRODUCT((M_BOM[Part Name]=$A78)*M_BOM[RM_Qty_Per_Batch]*IFERROR(INDEX(PP_Grid[#Data],M_BOM[PPGridRow],94),0))/32.24</f>
        <v/>
      </c>
      <c r="CQ78">
        <f>SUMPRODUCT((M_BOM[Part Name]=$A78)*M_BOM[RM_Qty_Per_Batch]*IFERROR(INDEX(PP_Grid[#Data],M_BOM[PPGridRow],95),0))/32.24</f>
        <v/>
      </c>
      <c r="CR78">
        <f>SUMPRODUCT((M_BOM[Part Name]=$A78)*M_BOM[RM_Qty_Per_Batch]*IFERROR(INDEX(PP_Grid[#Data],M_BOM[PPGridRow],96),0))/32.24</f>
        <v/>
      </c>
      <c r="CS78">
        <f>SUMPRODUCT((M_BOM[Part Name]=$A78)*M_BOM[RM_Qty_Per_Batch]*IFERROR(INDEX(PP_Grid[#Data],M_BOM[PPGridRow],97),0))/32.24</f>
        <v/>
      </c>
      <c r="CT78">
        <f>SUMPRODUCT((M_BOM[Part Name]=$A78)*M_BOM[RM_Qty_Per_Batch]*IFERROR(INDEX(PP_Grid[#Data],M_BOM[PPGridRow],98),0))/32.24</f>
        <v/>
      </c>
      <c r="CU78">
        <f>SUMPRODUCT((M_BOM[Part Name]=$A78)*M_BOM[RM_Qty_Per_Batch]*IFERROR(INDEX(PP_Grid[#Data],M_BOM[PPGridRow],99),0))/32.24</f>
        <v/>
      </c>
      <c r="CV78">
        <f>SUMPRODUCT((M_BOM[Part Name]=$A78)*M_BOM[RM_Qty_Per_Batch]*IFERROR(INDEX(PP_Grid[#Data],M_BOM[PPGridRow],100),0))/32.24</f>
        <v/>
      </c>
      <c r="CW78">
        <f>SUMPRODUCT((M_BOM[Part Name]=$A78)*M_BOM[RM_Qty_Per_Batch]*IFERROR(INDEX(PP_Grid[#Data],M_BOM[PPGridRow],101),0))/32.24</f>
        <v/>
      </c>
      <c r="CX78">
        <f>SUMPRODUCT((M_BOM[Part Name]=$A78)*M_BOM[RM_Qty_Per_Batch]*IFERROR(INDEX(PP_Grid[#Data],M_BOM[PPGridRow],102),0))/32.24</f>
        <v/>
      </c>
      <c r="CY78">
        <f>SUMPRODUCT((M_BOM[Part Name]=$A78)*M_BOM[RM_Qty_Per_Batch]*IFERROR(INDEX(PP_Grid[#Data],M_BOM[PPGridRow],103),0))/32.24</f>
        <v/>
      </c>
      <c r="CZ78">
        <f>SUMPRODUCT((M_BOM[Part Name]=$A78)*M_BOM[RM_Qty_Per_Batch]*IFERROR(INDEX(PP_Grid[#Data],M_BOM[PPGridRow],104),0))/32.24</f>
        <v/>
      </c>
      <c r="DA78">
        <f>SUMPRODUCT((M_BOM[Part Name]=$A78)*M_BOM[RM_Qty_Per_Batch]*IFERROR(INDEX(PP_Grid[#Data],M_BOM[PPGridRow],105),0))/32.24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Name]=$A79)*M_BOM[RM_Qty_Per_Batch]*IFERROR(INDEX(PP_Grid[#Data],M_BOM[PPGridRow],2),0))/58.21</f>
        <v/>
      </c>
      <c r="C79">
        <f>SUMPRODUCT((M_BOM[Part Name]=$A79)*M_BOM[RM_Qty_Per_Batch]*IFERROR(INDEX(PP_Grid[#Data],M_BOM[PPGridRow],3),0))/58.21</f>
        <v/>
      </c>
      <c r="D79">
        <f>SUMPRODUCT((M_BOM[Part Name]=$A79)*M_BOM[RM_Qty_Per_Batch]*IFERROR(INDEX(PP_Grid[#Data],M_BOM[PPGridRow],4),0))/58.21</f>
        <v/>
      </c>
      <c r="E79">
        <f>SUMPRODUCT((M_BOM[Part Name]=$A79)*M_BOM[RM_Qty_Per_Batch]*IFERROR(INDEX(PP_Grid[#Data],M_BOM[PPGridRow],5),0))/58.21</f>
        <v/>
      </c>
      <c r="F79">
        <f>SUMPRODUCT((M_BOM[Part Name]=$A79)*M_BOM[RM_Qty_Per_Batch]*IFERROR(INDEX(PP_Grid[#Data],M_BOM[PPGridRow],6),0))/58.21</f>
        <v/>
      </c>
      <c r="G79">
        <f>SUMPRODUCT((M_BOM[Part Name]=$A79)*M_BOM[RM_Qty_Per_Batch]*IFERROR(INDEX(PP_Grid[#Data],M_BOM[PPGridRow],7),0))/58.21</f>
        <v/>
      </c>
      <c r="H79">
        <f>SUMPRODUCT((M_BOM[Part Name]=$A79)*M_BOM[RM_Qty_Per_Batch]*IFERROR(INDEX(PP_Grid[#Data],M_BOM[PPGridRow],8),0))/58.21</f>
        <v/>
      </c>
      <c r="I79">
        <f>SUMPRODUCT((M_BOM[Part Name]=$A79)*M_BOM[RM_Qty_Per_Batch]*IFERROR(INDEX(PP_Grid[#Data],M_BOM[PPGridRow],9),0))/58.21</f>
        <v/>
      </c>
      <c r="J79">
        <f>SUMPRODUCT((M_BOM[Part Name]=$A79)*M_BOM[RM_Qty_Per_Batch]*IFERROR(INDEX(PP_Grid[#Data],M_BOM[PPGridRow],10),0))/58.21</f>
        <v/>
      </c>
      <c r="K79">
        <f>SUMPRODUCT((M_BOM[Part Name]=$A79)*M_BOM[RM_Qty_Per_Batch]*IFERROR(INDEX(PP_Grid[#Data],M_BOM[PPGridRow],11),0))/58.21</f>
        <v/>
      </c>
      <c r="L79">
        <f>SUMPRODUCT((M_BOM[Part Name]=$A79)*M_BOM[RM_Qty_Per_Batch]*IFERROR(INDEX(PP_Grid[#Data],M_BOM[PPGridRow],12),0))/58.21</f>
        <v/>
      </c>
      <c r="M79">
        <f>SUMPRODUCT((M_BOM[Part Name]=$A79)*M_BOM[RM_Qty_Per_Batch]*IFERROR(INDEX(PP_Grid[#Data],M_BOM[PPGridRow],13),0))/58.21</f>
        <v/>
      </c>
      <c r="N79">
        <f>SUMPRODUCT((M_BOM[Part Name]=$A79)*M_BOM[RM_Qty_Per_Batch]*IFERROR(INDEX(PP_Grid[#Data],M_BOM[PPGridRow],14),0))/58.21</f>
        <v/>
      </c>
      <c r="O79">
        <f>SUMPRODUCT((M_BOM[Part Name]=$A79)*M_BOM[RM_Qty_Per_Batch]*IFERROR(INDEX(PP_Grid[#Data],M_BOM[PPGridRow],15),0))/58.21</f>
        <v/>
      </c>
      <c r="P79">
        <f>SUMPRODUCT((M_BOM[Part Name]=$A79)*M_BOM[RM_Qty_Per_Batch]*IFERROR(INDEX(PP_Grid[#Data],M_BOM[PPGridRow],16),0))/58.21</f>
        <v/>
      </c>
      <c r="Q79">
        <f>SUMPRODUCT((M_BOM[Part Name]=$A79)*M_BOM[RM_Qty_Per_Batch]*IFERROR(INDEX(PP_Grid[#Data],M_BOM[PPGridRow],17),0))/58.21</f>
        <v/>
      </c>
      <c r="R79">
        <f>SUMPRODUCT((M_BOM[Part Name]=$A79)*M_BOM[RM_Qty_Per_Batch]*IFERROR(INDEX(PP_Grid[#Data],M_BOM[PPGridRow],18),0))/58.21</f>
        <v/>
      </c>
      <c r="S79">
        <f>SUMPRODUCT((M_BOM[Part Name]=$A79)*M_BOM[RM_Qty_Per_Batch]*IFERROR(INDEX(PP_Grid[#Data],M_BOM[PPGridRow],19),0))/58.21</f>
        <v/>
      </c>
      <c r="T79">
        <f>SUMPRODUCT((M_BOM[Part Name]=$A79)*M_BOM[RM_Qty_Per_Batch]*IFERROR(INDEX(PP_Grid[#Data],M_BOM[PPGridRow],20),0))/58.21</f>
        <v/>
      </c>
      <c r="U79">
        <f>SUMPRODUCT((M_BOM[Part Name]=$A79)*M_BOM[RM_Qty_Per_Batch]*IFERROR(INDEX(PP_Grid[#Data],M_BOM[PPGridRow],21),0))/58.21</f>
        <v/>
      </c>
      <c r="V79">
        <f>SUMPRODUCT((M_BOM[Part Name]=$A79)*M_BOM[RM_Qty_Per_Batch]*IFERROR(INDEX(PP_Grid[#Data],M_BOM[PPGridRow],22),0))/58.21</f>
        <v/>
      </c>
      <c r="W79">
        <f>SUMPRODUCT((M_BOM[Part Name]=$A79)*M_BOM[RM_Qty_Per_Batch]*IFERROR(INDEX(PP_Grid[#Data],M_BOM[PPGridRow],23),0))/58.21</f>
        <v/>
      </c>
      <c r="X79">
        <f>SUMPRODUCT((M_BOM[Part Name]=$A79)*M_BOM[RM_Qty_Per_Batch]*IFERROR(INDEX(PP_Grid[#Data],M_BOM[PPGridRow],24),0))/58.21</f>
        <v/>
      </c>
      <c r="Y79">
        <f>SUMPRODUCT((M_BOM[Part Name]=$A79)*M_BOM[RM_Qty_Per_Batch]*IFERROR(INDEX(PP_Grid[#Data],M_BOM[PPGridRow],25),0))/58.21</f>
        <v/>
      </c>
      <c r="Z79">
        <f>SUMPRODUCT((M_BOM[Part Name]=$A79)*M_BOM[RM_Qty_Per_Batch]*IFERROR(INDEX(PP_Grid[#Data],M_BOM[PPGridRow],26),0))/58.21</f>
        <v/>
      </c>
      <c r="AA79">
        <f>SUMPRODUCT((M_BOM[Part Name]=$A79)*M_BOM[RM_Qty_Per_Batch]*IFERROR(INDEX(PP_Grid[#Data],M_BOM[PPGridRow],27),0))/58.21</f>
        <v/>
      </c>
      <c r="AB79">
        <f>SUMPRODUCT((M_BOM[Part Name]=$A79)*M_BOM[RM_Qty_Per_Batch]*IFERROR(INDEX(PP_Grid[#Data],M_BOM[PPGridRow],28),0))/58.21</f>
        <v/>
      </c>
      <c r="AC79">
        <f>SUMPRODUCT((M_BOM[Part Name]=$A79)*M_BOM[RM_Qty_Per_Batch]*IFERROR(INDEX(PP_Grid[#Data],M_BOM[PPGridRow],29),0))/58.21</f>
        <v/>
      </c>
      <c r="AD79">
        <f>SUMPRODUCT((M_BOM[Part Name]=$A79)*M_BOM[RM_Qty_Per_Batch]*IFERROR(INDEX(PP_Grid[#Data],M_BOM[PPGridRow],30),0))/58.21</f>
        <v/>
      </c>
      <c r="AE79">
        <f>SUMPRODUCT((M_BOM[Part Name]=$A79)*M_BOM[RM_Qty_Per_Batch]*IFERROR(INDEX(PP_Grid[#Data],M_BOM[PPGridRow],31),0))/58.21</f>
        <v/>
      </c>
      <c r="AF79">
        <f>SUMPRODUCT((M_BOM[Part Name]=$A79)*M_BOM[RM_Qty_Per_Batch]*IFERROR(INDEX(PP_Grid[#Data],M_BOM[PPGridRow],32),0))/58.21</f>
        <v/>
      </c>
      <c r="AG79">
        <f>SUMPRODUCT((M_BOM[Part Name]=$A79)*M_BOM[RM_Qty_Per_Batch]*IFERROR(INDEX(PP_Grid[#Data],M_BOM[PPGridRow],33),0))/58.21</f>
        <v/>
      </c>
      <c r="AH79">
        <f>SUMPRODUCT((M_BOM[Part Name]=$A79)*M_BOM[RM_Qty_Per_Batch]*IFERROR(INDEX(PP_Grid[#Data],M_BOM[PPGridRow],34),0))/58.21</f>
        <v/>
      </c>
      <c r="AI79">
        <f>SUMPRODUCT((M_BOM[Part Name]=$A79)*M_BOM[RM_Qty_Per_Batch]*IFERROR(INDEX(PP_Grid[#Data],M_BOM[PPGridRow],35),0))/58.21</f>
        <v/>
      </c>
      <c r="AJ79">
        <f>SUMPRODUCT((M_BOM[Part Name]=$A79)*M_BOM[RM_Qty_Per_Batch]*IFERROR(INDEX(PP_Grid[#Data],M_BOM[PPGridRow],36),0))/58.21</f>
        <v/>
      </c>
      <c r="AK79">
        <f>SUMPRODUCT((M_BOM[Part Name]=$A79)*M_BOM[RM_Qty_Per_Batch]*IFERROR(INDEX(PP_Grid[#Data],M_BOM[PPGridRow],37),0))/58.21</f>
        <v/>
      </c>
      <c r="AL79">
        <f>SUMPRODUCT((M_BOM[Part Name]=$A79)*M_BOM[RM_Qty_Per_Batch]*IFERROR(INDEX(PP_Grid[#Data],M_BOM[PPGridRow],38),0))/58.21</f>
        <v/>
      </c>
      <c r="AM79">
        <f>SUMPRODUCT((M_BOM[Part Name]=$A79)*M_BOM[RM_Qty_Per_Batch]*IFERROR(INDEX(PP_Grid[#Data],M_BOM[PPGridRow],39),0))/58.21</f>
        <v/>
      </c>
      <c r="AN79">
        <f>SUMPRODUCT((M_BOM[Part Name]=$A79)*M_BOM[RM_Qty_Per_Batch]*IFERROR(INDEX(PP_Grid[#Data],M_BOM[PPGridRow],40),0))/58.21</f>
        <v/>
      </c>
      <c r="AO79">
        <f>SUMPRODUCT((M_BOM[Part Name]=$A79)*M_BOM[RM_Qty_Per_Batch]*IFERROR(INDEX(PP_Grid[#Data],M_BOM[PPGridRow],41),0))/58.21</f>
        <v/>
      </c>
      <c r="AP79">
        <f>SUMPRODUCT((M_BOM[Part Name]=$A79)*M_BOM[RM_Qty_Per_Batch]*IFERROR(INDEX(PP_Grid[#Data],M_BOM[PPGridRow],42),0))/58.21</f>
        <v/>
      </c>
      <c r="AQ79">
        <f>SUMPRODUCT((M_BOM[Part Name]=$A79)*M_BOM[RM_Qty_Per_Batch]*IFERROR(INDEX(PP_Grid[#Data],M_BOM[PPGridRow],43),0))/58.21</f>
        <v/>
      </c>
      <c r="AR79">
        <f>SUMPRODUCT((M_BOM[Part Name]=$A79)*M_BOM[RM_Qty_Per_Batch]*IFERROR(INDEX(PP_Grid[#Data],M_BOM[PPGridRow],44),0))/58.21</f>
        <v/>
      </c>
      <c r="AS79">
        <f>SUMPRODUCT((M_BOM[Part Name]=$A79)*M_BOM[RM_Qty_Per_Batch]*IFERROR(INDEX(PP_Grid[#Data],M_BOM[PPGridRow],45),0))/58.21</f>
        <v/>
      </c>
      <c r="AT79">
        <f>SUMPRODUCT((M_BOM[Part Name]=$A79)*M_BOM[RM_Qty_Per_Batch]*IFERROR(INDEX(PP_Grid[#Data],M_BOM[PPGridRow],46),0))/58.21</f>
        <v/>
      </c>
      <c r="AU79">
        <f>SUMPRODUCT((M_BOM[Part Name]=$A79)*M_BOM[RM_Qty_Per_Batch]*IFERROR(INDEX(PP_Grid[#Data],M_BOM[PPGridRow],47),0))/58.21</f>
        <v/>
      </c>
      <c r="AV79">
        <f>SUMPRODUCT((M_BOM[Part Name]=$A79)*M_BOM[RM_Qty_Per_Batch]*IFERROR(INDEX(PP_Grid[#Data],M_BOM[PPGridRow],48),0))/58.21</f>
        <v/>
      </c>
      <c r="AW79">
        <f>SUMPRODUCT((M_BOM[Part Name]=$A79)*M_BOM[RM_Qty_Per_Batch]*IFERROR(INDEX(PP_Grid[#Data],M_BOM[PPGridRow],49),0))/58.21</f>
        <v/>
      </c>
      <c r="AX79">
        <f>SUMPRODUCT((M_BOM[Part Name]=$A79)*M_BOM[RM_Qty_Per_Batch]*IFERROR(INDEX(PP_Grid[#Data],M_BOM[PPGridRow],50),0))/58.21</f>
        <v/>
      </c>
      <c r="AY79">
        <f>SUMPRODUCT((M_BOM[Part Name]=$A79)*M_BOM[RM_Qty_Per_Batch]*IFERROR(INDEX(PP_Grid[#Data],M_BOM[PPGridRow],51),0))/58.21</f>
        <v/>
      </c>
      <c r="AZ79">
        <f>SUMPRODUCT((M_BOM[Part Name]=$A79)*M_BOM[RM_Qty_Per_Batch]*IFERROR(INDEX(PP_Grid[#Data],M_BOM[PPGridRow],52),0))/58.21</f>
        <v/>
      </c>
      <c r="BA79">
        <f>SUMPRODUCT((M_BOM[Part Name]=$A79)*M_BOM[RM_Qty_Per_Batch]*IFERROR(INDEX(PP_Grid[#Data],M_BOM[PPGridRow],53),0))/58.21</f>
        <v/>
      </c>
      <c r="BB79">
        <f>SUMPRODUCT((M_BOM[Part Name]=$A79)*M_BOM[RM_Qty_Per_Batch]*IFERROR(INDEX(PP_Grid[#Data],M_BOM[PPGridRow],54),0))/58.21</f>
        <v/>
      </c>
      <c r="BC79">
        <f>SUMPRODUCT((M_BOM[Part Name]=$A79)*M_BOM[RM_Qty_Per_Batch]*IFERROR(INDEX(PP_Grid[#Data],M_BOM[PPGridRow],55),0))/58.21</f>
        <v/>
      </c>
      <c r="BD79">
        <f>SUMPRODUCT((M_BOM[Part Name]=$A79)*M_BOM[RM_Qty_Per_Batch]*IFERROR(INDEX(PP_Grid[#Data],M_BOM[PPGridRow],56),0))/58.21</f>
        <v/>
      </c>
      <c r="BE79">
        <f>SUMPRODUCT((M_BOM[Part Name]=$A79)*M_BOM[RM_Qty_Per_Batch]*IFERROR(INDEX(PP_Grid[#Data],M_BOM[PPGridRow],57),0))/58.21</f>
        <v/>
      </c>
      <c r="BF79">
        <f>SUMPRODUCT((M_BOM[Part Name]=$A79)*M_BOM[RM_Qty_Per_Batch]*IFERROR(INDEX(PP_Grid[#Data],M_BOM[PPGridRow],58),0))/58.21</f>
        <v/>
      </c>
      <c r="BG79">
        <f>SUMPRODUCT((M_BOM[Part Name]=$A79)*M_BOM[RM_Qty_Per_Batch]*IFERROR(INDEX(PP_Grid[#Data],M_BOM[PPGridRow],59),0))/58.21</f>
        <v/>
      </c>
      <c r="BH79">
        <f>SUMPRODUCT((M_BOM[Part Name]=$A79)*M_BOM[RM_Qty_Per_Batch]*IFERROR(INDEX(PP_Grid[#Data],M_BOM[PPGridRow],60),0))/58.21</f>
        <v/>
      </c>
      <c r="BI79">
        <f>SUMPRODUCT((M_BOM[Part Name]=$A79)*M_BOM[RM_Qty_Per_Batch]*IFERROR(INDEX(PP_Grid[#Data],M_BOM[PPGridRow],61),0))/58.21</f>
        <v/>
      </c>
      <c r="BJ79">
        <f>SUMPRODUCT((M_BOM[Part Name]=$A79)*M_BOM[RM_Qty_Per_Batch]*IFERROR(INDEX(PP_Grid[#Data],M_BOM[PPGridRow],62),0))/58.21</f>
        <v/>
      </c>
      <c r="BK79">
        <f>SUMPRODUCT((M_BOM[Part Name]=$A79)*M_BOM[RM_Qty_Per_Batch]*IFERROR(INDEX(PP_Grid[#Data],M_BOM[PPGridRow],63),0))/58.21</f>
        <v/>
      </c>
      <c r="BL79">
        <f>SUMPRODUCT((M_BOM[Part Name]=$A79)*M_BOM[RM_Qty_Per_Batch]*IFERROR(INDEX(PP_Grid[#Data],M_BOM[PPGridRow],64),0))/58.21</f>
        <v/>
      </c>
      <c r="BM79">
        <f>SUMPRODUCT((M_BOM[Part Name]=$A79)*M_BOM[RM_Qty_Per_Batch]*IFERROR(INDEX(PP_Grid[#Data],M_BOM[PPGridRow],65),0))/58.21</f>
        <v/>
      </c>
      <c r="BN79">
        <f>SUMPRODUCT((M_BOM[Part Name]=$A79)*M_BOM[RM_Qty_Per_Batch]*IFERROR(INDEX(PP_Grid[#Data],M_BOM[PPGridRow],66),0))/58.21</f>
        <v/>
      </c>
      <c r="BO79">
        <f>SUMPRODUCT((M_BOM[Part Name]=$A79)*M_BOM[RM_Qty_Per_Batch]*IFERROR(INDEX(PP_Grid[#Data],M_BOM[PPGridRow],67),0))/58.21</f>
        <v/>
      </c>
      <c r="BP79">
        <f>SUMPRODUCT((M_BOM[Part Name]=$A79)*M_BOM[RM_Qty_Per_Batch]*IFERROR(INDEX(PP_Grid[#Data],M_BOM[PPGridRow],68),0))/58.21</f>
        <v/>
      </c>
      <c r="BQ79">
        <f>SUMPRODUCT((M_BOM[Part Name]=$A79)*M_BOM[RM_Qty_Per_Batch]*IFERROR(INDEX(PP_Grid[#Data],M_BOM[PPGridRow],69),0))/58.21</f>
        <v/>
      </c>
      <c r="BR79">
        <f>SUMPRODUCT((M_BOM[Part Name]=$A79)*M_BOM[RM_Qty_Per_Batch]*IFERROR(INDEX(PP_Grid[#Data],M_BOM[PPGridRow],70),0))/58.21</f>
        <v/>
      </c>
      <c r="BS79">
        <f>SUMPRODUCT((M_BOM[Part Name]=$A79)*M_BOM[RM_Qty_Per_Batch]*IFERROR(INDEX(PP_Grid[#Data],M_BOM[PPGridRow],71),0))/58.21</f>
        <v/>
      </c>
      <c r="BT79">
        <f>SUMPRODUCT((M_BOM[Part Name]=$A79)*M_BOM[RM_Qty_Per_Batch]*IFERROR(INDEX(PP_Grid[#Data],M_BOM[PPGridRow],72),0))/58.21</f>
        <v/>
      </c>
      <c r="BU79">
        <f>SUMPRODUCT((M_BOM[Part Name]=$A79)*M_BOM[RM_Qty_Per_Batch]*IFERROR(INDEX(PP_Grid[#Data],M_BOM[PPGridRow],73),0))/58.21</f>
        <v/>
      </c>
      <c r="BV79">
        <f>SUMPRODUCT((M_BOM[Part Name]=$A79)*M_BOM[RM_Qty_Per_Batch]*IFERROR(INDEX(PP_Grid[#Data],M_BOM[PPGridRow],74),0))/58.21</f>
        <v/>
      </c>
      <c r="BW79">
        <f>SUMPRODUCT((M_BOM[Part Name]=$A79)*M_BOM[RM_Qty_Per_Batch]*IFERROR(INDEX(PP_Grid[#Data],M_BOM[PPGridRow],75),0))/58.21</f>
        <v/>
      </c>
      <c r="BX79">
        <f>SUMPRODUCT((M_BOM[Part Name]=$A79)*M_BOM[RM_Qty_Per_Batch]*IFERROR(INDEX(PP_Grid[#Data],M_BOM[PPGridRow],76),0))/58.21</f>
        <v/>
      </c>
      <c r="BY79">
        <f>SUMPRODUCT((M_BOM[Part Name]=$A79)*M_BOM[RM_Qty_Per_Batch]*IFERROR(INDEX(PP_Grid[#Data],M_BOM[PPGridRow],77),0))/58.21</f>
        <v/>
      </c>
      <c r="BZ79">
        <f>SUMPRODUCT((M_BOM[Part Name]=$A79)*M_BOM[RM_Qty_Per_Batch]*IFERROR(INDEX(PP_Grid[#Data],M_BOM[PPGridRow],78),0))/58.21</f>
        <v/>
      </c>
      <c r="CA79">
        <f>SUMPRODUCT((M_BOM[Part Name]=$A79)*M_BOM[RM_Qty_Per_Batch]*IFERROR(INDEX(PP_Grid[#Data],M_BOM[PPGridRow],79),0))/58.21</f>
        <v/>
      </c>
      <c r="CB79">
        <f>SUMPRODUCT((M_BOM[Part Name]=$A79)*M_BOM[RM_Qty_Per_Batch]*IFERROR(INDEX(PP_Grid[#Data],M_BOM[PPGridRow],80),0))/58.21</f>
        <v/>
      </c>
      <c r="CC79">
        <f>SUMPRODUCT((M_BOM[Part Name]=$A79)*M_BOM[RM_Qty_Per_Batch]*IFERROR(INDEX(PP_Grid[#Data],M_BOM[PPGridRow],81),0))/58.21</f>
        <v/>
      </c>
      <c r="CD79">
        <f>SUMPRODUCT((M_BOM[Part Name]=$A79)*M_BOM[RM_Qty_Per_Batch]*IFERROR(INDEX(PP_Grid[#Data],M_BOM[PPGridRow],82),0))/58.21</f>
        <v/>
      </c>
      <c r="CE79">
        <f>SUMPRODUCT((M_BOM[Part Name]=$A79)*M_BOM[RM_Qty_Per_Batch]*IFERROR(INDEX(PP_Grid[#Data],M_BOM[PPGridRow],83),0))/58.21</f>
        <v/>
      </c>
      <c r="CF79">
        <f>SUMPRODUCT((M_BOM[Part Name]=$A79)*M_BOM[RM_Qty_Per_Batch]*IFERROR(INDEX(PP_Grid[#Data],M_BOM[PPGridRow],84),0))/58.21</f>
        <v/>
      </c>
      <c r="CG79">
        <f>SUMPRODUCT((M_BOM[Part Name]=$A79)*M_BOM[RM_Qty_Per_Batch]*IFERROR(INDEX(PP_Grid[#Data],M_BOM[PPGridRow],85),0))/58.21</f>
        <v/>
      </c>
      <c r="CH79">
        <f>SUMPRODUCT((M_BOM[Part Name]=$A79)*M_BOM[RM_Qty_Per_Batch]*IFERROR(INDEX(PP_Grid[#Data],M_BOM[PPGridRow],86),0))/58.21</f>
        <v/>
      </c>
      <c r="CI79">
        <f>SUMPRODUCT((M_BOM[Part Name]=$A79)*M_BOM[RM_Qty_Per_Batch]*IFERROR(INDEX(PP_Grid[#Data],M_BOM[PPGridRow],87),0))/58.21</f>
        <v/>
      </c>
      <c r="CJ79">
        <f>SUMPRODUCT((M_BOM[Part Name]=$A79)*M_BOM[RM_Qty_Per_Batch]*IFERROR(INDEX(PP_Grid[#Data],M_BOM[PPGridRow],88),0))/58.21</f>
        <v/>
      </c>
      <c r="CK79">
        <f>SUMPRODUCT((M_BOM[Part Name]=$A79)*M_BOM[RM_Qty_Per_Batch]*IFERROR(INDEX(PP_Grid[#Data],M_BOM[PPGridRow],89),0))/58.21</f>
        <v/>
      </c>
      <c r="CL79">
        <f>SUMPRODUCT((M_BOM[Part Name]=$A79)*M_BOM[RM_Qty_Per_Batch]*IFERROR(INDEX(PP_Grid[#Data],M_BOM[PPGridRow],90),0))/58.21</f>
        <v/>
      </c>
      <c r="CM79">
        <f>SUMPRODUCT((M_BOM[Part Name]=$A79)*M_BOM[RM_Qty_Per_Batch]*IFERROR(INDEX(PP_Grid[#Data],M_BOM[PPGridRow],91),0))/58.21</f>
        <v/>
      </c>
      <c r="CN79">
        <f>SUMPRODUCT((M_BOM[Part Name]=$A79)*M_BOM[RM_Qty_Per_Batch]*IFERROR(INDEX(PP_Grid[#Data],M_BOM[PPGridRow],92),0))/58.21</f>
        <v/>
      </c>
      <c r="CO79">
        <f>SUMPRODUCT((M_BOM[Part Name]=$A79)*M_BOM[RM_Qty_Per_Batch]*IFERROR(INDEX(PP_Grid[#Data],M_BOM[PPGridRow],93),0))/58.21</f>
        <v/>
      </c>
      <c r="CP79">
        <f>SUMPRODUCT((M_BOM[Part Name]=$A79)*M_BOM[RM_Qty_Per_Batch]*IFERROR(INDEX(PP_Grid[#Data],M_BOM[PPGridRow],94),0))/58.21</f>
        <v/>
      </c>
      <c r="CQ79">
        <f>SUMPRODUCT((M_BOM[Part Name]=$A79)*M_BOM[RM_Qty_Per_Batch]*IFERROR(INDEX(PP_Grid[#Data],M_BOM[PPGridRow],95),0))/58.21</f>
        <v/>
      </c>
      <c r="CR79">
        <f>SUMPRODUCT((M_BOM[Part Name]=$A79)*M_BOM[RM_Qty_Per_Batch]*IFERROR(INDEX(PP_Grid[#Data],M_BOM[PPGridRow],96),0))/58.21</f>
        <v/>
      </c>
      <c r="CS79">
        <f>SUMPRODUCT((M_BOM[Part Name]=$A79)*M_BOM[RM_Qty_Per_Batch]*IFERROR(INDEX(PP_Grid[#Data],M_BOM[PPGridRow],97),0))/58.21</f>
        <v/>
      </c>
      <c r="CT79">
        <f>SUMPRODUCT((M_BOM[Part Name]=$A79)*M_BOM[RM_Qty_Per_Batch]*IFERROR(INDEX(PP_Grid[#Data],M_BOM[PPGridRow],98),0))/58.21</f>
        <v/>
      </c>
      <c r="CU79">
        <f>SUMPRODUCT((M_BOM[Part Name]=$A79)*M_BOM[RM_Qty_Per_Batch]*IFERROR(INDEX(PP_Grid[#Data],M_BOM[PPGridRow],99),0))/58.21</f>
        <v/>
      </c>
      <c r="CV79">
        <f>SUMPRODUCT((M_BOM[Part Name]=$A79)*M_BOM[RM_Qty_Per_Batch]*IFERROR(INDEX(PP_Grid[#Data],M_BOM[PPGridRow],100),0))/58.21</f>
        <v/>
      </c>
      <c r="CW79">
        <f>SUMPRODUCT((M_BOM[Part Name]=$A79)*M_BOM[RM_Qty_Per_Batch]*IFERROR(INDEX(PP_Grid[#Data],M_BOM[PPGridRow],101),0))/58.21</f>
        <v/>
      </c>
      <c r="CX79">
        <f>SUMPRODUCT((M_BOM[Part Name]=$A79)*M_BOM[RM_Qty_Per_Batch]*IFERROR(INDEX(PP_Grid[#Data],M_BOM[PPGridRow],102),0))/58.21</f>
        <v/>
      </c>
      <c r="CY79">
        <f>SUMPRODUCT((M_BOM[Part Name]=$A79)*M_BOM[RM_Qty_Per_Batch]*IFERROR(INDEX(PP_Grid[#Data],M_BOM[PPGridRow],103),0))/58.21</f>
        <v/>
      </c>
      <c r="CZ79">
        <f>SUMPRODUCT((M_BOM[Part Name]=$A79)*M_BOM[RM_Qty_Per_Batch]*IFERROR(INDEX(PP_Grid[#Data],M_BOM[PPGridRow],104),0))/58.21</f>
        <v/>
      </c>
      <c r="DA79">
        <f>SUMPRODUCT((M_BOM[Part Name]=$A79)*M_BOM[RM_Qty_Per_Batch]*IFERROR(INDEX(PP_Grid[#Data],M_BOM[PPGridRow],105),0))/58.21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Name]=$A80)*M_BOM[RM_Qty_Per_Batch]*IFERROR(INDEX(PP_Grid[#Data],M_BOM[PPGridRow],2),0))/38.85</f>
        <v/>
      </c>
      <c r="C80">
        <f>SUMPRODUCT((M_BOM[Part Name]=$A80)*M_BOM[RM_Qty_Per_Batch]*IFERROR(INDEX(PP_Grid[#Data],M_BOM[PPGridRow],3),0))/38.85</f>
        <v/>
      </c>
      <c r="D80">
        <f>SUMPRODUCT((M_BOM[Part Name]=$A80)*M_BOM[RM_Qty_Per_Batch]*IFERROR(INDEX(PP_Grid[#Data],M_BOM[PPGridRow],4),0))/38.85</f>
        <v/>
      </c>
      <c r="E80">
        <f>SUMPRODUCT((M_BOM[Part Name]=$A80)*M_BOM[RM_Qty_Per_Batch]*IFERROR(INDEX(PP_Grid[#Data],M_BOM[PPGridRow],5),0))/38.85</f>
        <v/>
      </c>
      <c r="F80">
        <f>SUMPRODUCT((M_BOM[Part Name]=$A80)*M_BOM[RM_Qty_Per_Batch]*IFERROR(INDEX(PP_Grid[#Data],M_BOM[PPGridRow],6),0))/38.85</f>
        <v/>
      </c>
      <c r="G80">
        <f>SUMPRODUCT((M_BOM[Part Name]=$A80)*M_BOM[RM_Qty_Per_Batch]*IFERROR(INDEX(PP_Grid[#Data],M_BOM[PPGridRow],7),0))/38.85</f>
        <v/>
      </c>
      <c r="H80">
        <f>SUMPRODUCT((M_BOM[Part Name]=$A80)*M_BOM[RM_Qty_Per_Batch]*IFERROR(INDEX(PP_Grid[#Data],M_BOM[PPGridRow],8),0))/38.85</f>
        <v/>
      </c>
      <c r="I80">
        <f>SUMPRODUCT((M_BOM[Part Name]=$A80)*M_BOM[RM_Qty_Per_Batch]*IFERROR(INDEX(PP_Grid[#Data],M_BOM[PPGridRow],9),0))/38.85</f>
        <v/>
      </c>
      <c r="J80">
        <f>SUMPRODUCT((M_BOM[Part Name]=$A80)*M_BOM[RM_Qty_Per_Batch]*IFERROR(INDEX(PP_Grid[#Data],M_BOM[PPGridRow],10),0))/38.85</f>
        <v/>
      </c>
      <c r="K80">
        <f>SUMPRODUCT((M_BOM[Part Name]=$A80)*M_BOM[RM_Qty_Per_Batch]*IFERROR(INDEX(PP_Grid[#Data],M_BOM[PPGridRow],11),0))/38.85</f>
        <v/>
      </c>
      <c r="L80">
        <f>SUMPRODUCT((M_BOM[Part Name]=$A80)*M_BOM[RM_Qty_Per_Batch]*IFERROR(INDEX(PP_Grid[#Data],M_BOM[PPGridRow],12),0))/38.85</f>
        <v/>
      </c>
      <c r="M80">
        <f>SUMPRODUCT((M_BOM[Part Name]=$A80)*M_BOM[RM_Qty_Per_Batch]*IFERROR(INDEX(PP_Grid[#Data],M_BOM[PPGridRow],13),0))/38.85</f>
        <v/>
      </c>
      <c r="N80">
        <f>SUMPRODUCT((M_BOM[Part Name]=$A80)*M_BOM[RM_Qty_Per_Batch]*IFERROR(INDEX(PP_Grid[#Data],M_BOM[PPGridRow],14),0))/38.85</f>
        <v/>
      </c>
      <c r="O80">
        <f>SUMPRODUCT((M_BOM[Part Name]=$A80)*M_BOM[RM_Qty_Per_Batch]*IFERROR(INDEX(PP_Grid[#Data],M_BOM[PPGridRow],15),0))/38.85</f>
        <v/>
      </c>
      <c r="P80">
        <f>SUMPRODUCT((M_BOM[Part Name]=$A80)*M_BOM[RM_Qty_Per_Batch]*IFERROR(INDEX(PP_Grid[#Data],M_BOM[PPGridRow],16),0))/38.85</f>
        <v/>
      </c>
      <c r="Q80">
        <f>SUMPRODUCT((M_BOM[Part Name]=$A80)*M_BOM[RM_Qty_Per_Batch]*IFERROR(INDEX(PP_Grid[#Data],M_BOM[PPGridRow],17),0))/38.85</f>
        <v/>
      </c>
      <c r="R80">
        <f>SUMPRODUCT((M_BOM[Part Name]=$A80)*M_BOM[RM_Qty_Per_Batch]*IFERROR(INDEX(PP_Grid[#Data],M_BOM[PPGridRow],18),0))/38.85</f>
        <v/>
      </c>
      <c r="S80">
        <f>SUMPRODUCT((M_BOM[Part Name]=$A80)*M_BOM[RM_Qty_Per_Batch]*IFERROR(INDEX(PP_Grid[#Data],M_BOM[PPGridRow],19),0))/38.85</f>
        <v/>
      </c>
      <c r="T80">
        <f>SUMPRODUCT((M_BOM[Part Name]=$A80)*M_BOM[RM_Qty_Per_Batch]*IFERROR(INDEX(PP_Grid[#Data],M_BOM[PPGridRow],20),0))/38.85</f>
        <v/>
      </c>
      <c r="U80">
        <f>SUMPRODUCT((M_BOM[Part Name]=$A80)*M_BOM[RM_Qty_Per_Batch]*IFERROR(INDEX(PP_Grid[#Data],M_BOM[PPGridRow],21),0))/38.85</f>
        <v/>
      </c>
      <c r="V80">
        <f>SUMPRODUCT((M_BOM[Part Name]=$A80)*M_BOM[RM_Qty_Per_Batch]*IFERROR(INDEX(PP_Grid[#Data],M_BOM[PPGridRow],22),0))/38.85</f>
        <v/>
      </c>
      <c r="W80">
        <f>SUMPRODUCT((M_BOM[Part Name]=$A80)*M_BOM[RM_Qty_Per_Batch]*IFERROR(INDEX(PP_Grid[#Data],M_BOM[PPGridRow],23),0))/38.85</f>
        <v/>
      </c>
      <c r="X80">
        <f>SUMPRODUCT((M_BOM[Part Name]=$A80)*M_BOM[RM_Qty_Per_Batch]*IFERROR(INDEX(PP_Grid[#Data],M_BOM[PPGridRow],24),0))/38.85</f>
        <v/>
      </c>
      <c r="Y80">
        <f>SUMPRODUCT((M_BOM[Part Name]=$A80)*M_BOM[RM_Qty_Per_Batch]*IFERROR(INDEX(PP_Grid[#Data],M_BOM[PPGridRow],25),0))/38.85</f>
        <v/>
      </c>
      <c r="Z80">
        <f>SUMPRODUCT((M_BOM[Part Name]=$A80)*M_BOM[RM_Qty_Per_Batch]*IFERROR(INDEX(PP_Grid[#Data],M_BOM[PPGridRow],26),0))/38.85</f>
        <v/>
      </c>
      <c r="AA80">
        <f>SUMPRODUCT((M_BOM[Part Name]=$A80)*M_BOM[RM_Qty_Per_Batch]*IFERROR(INDEX(PP_Grid[#Data],M_BOM[PPGridRow],27),0))/38.85</f>
        <v/>
      </c>
      <c r="AB80">
        <f>SUMPRODUCT((M_BOM[Part Name]=$A80)*M_BOM[RM_Qty_Per_Batch]*IFERROR(INDEX(PP_Grid[#Data],M_BOM[PPGridRow],28),0))/38.85</f>
        <v/>
      </c>
      <c r="AC80">
        <f>SUMPRODUCT((M_BOM[Part Name]=$A80)*M_BOM[RM_Qty_Per_Batch]*IFERROR(INDEX(PP_Grid[#Data],M_BOM[PPGridRow],29),0))/38.85</f>
        <v/>
      </c>
      <c r="AD80">
        <f>SUMPRODUCT((M_BOM[Part Name]=$A80)*M_BOM[RM_Qty_Per_Batch]*IFERROR(INDEX(PP_Grid[#Data],M_BOM[PPGridRow],30),0))/38.85</f>
        <v/>
      </c>
      <c r="AE80">
        <f>SUMPRODUCT((M_BOM[Part Name]=$A80)*M_BOM[RM_Qty_Per_Batch]*IFERROR(INDEX(PP_Grid[#Data],M_BOM[PPGridRow],31),0))/38.85</f>
        <v/>
      </c>
      <c r="AF80">
        <f>SUMPRODUCT((M_BOM[Part Name]=$A80)*M_BOM[RM_Qty_Per_Batch]*IFERROR(INDEX(PP_Grid[#Data],M_BOM[PPGridRow],32),0))/38.85</f>
        <v/>
      </c>
      <c r="AG80">
        <f>SUMPRODUCT((M_BOM[Part Name]=$A80)*M_BOM[RM_Qty_Per_Batch]*IFERROR(INDEX(PP_Grid[#Data],M_BOM[PPGridRow],33),0))/38.85</f>
        <v/>
      </c>
      <c r="AH80">
        <f>SUMPRODUCT((M_BOM[Part Name]=$A80)*M_BOM[RM_Qty_Per_Batch]*IFERROR(INDEX(PP_Grid[#Data],M_BOM[PPGridRow],34),0))/38.85</f>
        <v/>
      </c>
      <c r="AI80">
        <f>SUMPRODUCT((M_BOM[Part Name]=$A80)*M_BOM[RM_Qty_Per_Batch]*IFERROR(INDEX(PP_Grid[#Data],M_BOM[PPGridRow],35),0))/38.85</f>
        <v/>
      </c>
      <c r="AJ80">
        <f>SUMPRODUCT((M_BOM[Part Name]=$A80)*M_BOM[RM_Qty_Per_Batch]*IFERROR(INDEX(PP_Grid[#Data],M_BOM[PPGridRow],36),0))/38.85</f>
        <v/>
      </c>
      <c r="AK80">
        <f>SUMPRODUCT((M_BOM[Part Name]=$A80)*M_BOM[RM_Qty_Per_Batch]*IFERROR(INDEX(PP_Grid[#Data],M_BOM[PPGridRow],37),0))/38.85</f>
        <v/>
      </c>
      <c r="AL80">
        <f>SUMPRODUCT((M_BOM[Part Name]=$A80)*M_BOM[RM_Qty_Per_Batch]*IFERROR(INDEX(PP_Grid[#Data],M_BOM[PPGridRow],38),0))/38.85</f>
        <v/>
      </c>
      <c r="AM80">
        <f>SUMPRODUCT((M_BOM[Part Name]=$A80)*M_BOM[RM_Qty_Per_Batch]*IFERROR(INDEX(PP_Grid[#Data],M_BOM[PPGridRow],39),0))/38.85</f>
        <v/>
      </c>
      <c r="AN80">
        <f>SUMPRODUCT((M_BOM[Part Name]=$A80)*M_BOM[RM_Qty_Per_Batch]*IFERROR(INDEX(PP_Grid[#Data],M_BOM[PPGridRow],40),0))/38.85</f>
        <v/>
      </c>
      <c r="AO80">
        <f>SUMPRODUCT((M_BOM[Part Name]=$A80)*M_BOM[RM_Qty_Per_Batch]*IFERROR(INDEX(PP_Grid[#Data],M_BOM[PPGridRow],41),0))/38.85</f>
        <v/>
      </c>
      <c r="AP80">
        <f>SUMPRODUCT((M_BOM[Part Name]=$A80)*M_BOM[RM_Qty_Per_Batch]*IFERROR(INDEX(PP_Grid[#Data],M_BOM[PPGridRow],42),0))/38.85</f>
        <v/>
      </c>
      <c r="AQ80">
        <f>SUMPRODUCT((M_BOM[Part Name]=$A80)*M_BOM[RM_Qty_Per_Batch]*IFERROR(INDEX(PP_Grid[#Data],M_BOM[PPGridRow],43),0))/38.85</f>
        <v/>
      </c>
      <c r="AR80">
        <f>SUMPRODUCT((M_BOM[Part Name]=$A80)*M_BOM[RM_Qty_Per_Batch]*IFERROR(INDEX(PP_Grid[#Data],M_BOM[PPGridRow],44),0))/38.85</f>
        <v/>
      </c>
      <c r="AS80">
        <f>SUMPRODUCT((M_BOM[Part Name]=$A80)*M_BOM[RM_Qty_Per_Batch]*IFERROR(INDEX(PP_Grid[#Data],M_BOM[PPGridRow],45),0))/38.85</f>
        <v/>
      </c>
      <c r="AT80">
        <f>SUMPRODUCT((M_BOM[Part Name]=$A80)*M_BOM[RM_Qty_Per_Batch]*IFERROR(INDEX(PP_Grid[#Data],M_BOM[PPGridRow],46),0))/38.85</f>
        <v/>
      </c>
      <c r="AU80">
        <f>SUMPRODUCT((M_BOM[Part Name]=$A80)*M_BOM[RM_Qty_Per_Batch]*IFERROR(INDEX(PP_Grid[#Data],M_BOM[PPGridRow],47),0))/38.85</f>
        <v/>
      </c>
      <c r="AV80">
        <f>SUMPRODUCT((M_BOM[Part Name]=$A80)*M_BOM[RM_Qty_Per_Batch]*IFERROR(INDEX(PP_Grid[#Data],M_BOM[PPGridRow],48),0))/38.85</f>
        <v/>
      </c>
      <c r="AW80">
        <f>SUMPRODUCT((M_BOM[Part Name]=$A80)*M_BOM[RM_Qty_Per_Batch]*IFERROR(INDEX(PP_Grid[#Data],M_BOM[PPGridRow],49),0))/38.85</f>
        <v/>
      </c>
      <c r="AX80">
        <f>SUMPRODUCT((M_BOM[Part Name]=$A80)*M_BOM[RM_Qty_Per_Batch]*IFERROR(INDEX(PP_Grid[#Data],M_BOM[PPGridRow],50),0))/38.85</f>
        <v/>
      </c>
      <c r="AY80">
        <f>SUMPRODUCT((M_BOM[Part Name]=$A80)*M_BOM[RM_Qty_Per_Batch]*IFERROR(INDEX(PP_Grid[#Data],M_BOM[PPGridRow],51),0))/38.85</f>
        <v/>
      </c>
      <c r="AZ80">
        <f>SUMPRODUCT((M_BOM[Part Name]=$A80)*M_BOM[RM_Qty_Per_Batch]*IFERROR(INDEX(PP_Grid[#Data],M_BOM[PPGridRow],52),0))/38.85</f>
        <v/>
      </c>
      <c r="BA80">
        <f>SUMPRODUCT((M_BOM[Part Name]=$A80)*M_BOM[RM_Qty_Per_Batch]*IFERROR(INDEX(PP_Grid[#Data],M_BOM[PPGridRow],53),0))/38.85</f>
        <v/>
      </c>
      <c r="BB80">
        <f>SUMPRODUCT((M_BOM[Part Name]=$A80)*M_BOM[RM_Qty_Per_Batch]*IFERROR(INDEX(PP_Grid[#Data],M_BOM[PPGridRow],54),0))/38.85</f>
        <v/>
      </c>
      <c r="BC80">
        <f>SUMPRODUCT((M_BOM[Part Name]=$A80)*M_BOM[RM_Qty_Per_Batch]*IFERROR(INDEX(PP_Grid[#Data],M_BOM[PPGridRow],55),0))/38.85</f>
        <v/>
      </c>
      <c r="BD80">
        <f>SUMPRODUCT((M_BOM[Part Name]=$A80)*M_BOM[RM_Qty_Per_Batch]*IFERROR(INDEX(PP_Grid[#Data],M_BOM[PPGridRow],56),0))/38.85</f>
        <v/>
      </c>
      <c r="BE80">
        <f>SUMPRODUCT((M_BOM[Part Name]=$A80)*M_BOM[RM_Qty_Per_Batch]*IFERROR(INDEX(PP_Grid[#Data],M_BOM[PPGridRow],57),0))/38.85</f>
        <v/>
      </c>
      <c r="BF80">
        <f>SUMPRODUCT((M_BOM[Part Name]=$A80)*M_BOM[RM_Qty_Per_Batch]*IFERROR(INDEX(PP_Grid[#Data],M_BOM[PPGridRow],58),0))/38.85</f>
        <v/>
      </c>
      <c r="BG80">
        <f>SUMPRODUCT((M_BOM[Part Name]=$A80)*M_BOM[RM_Qty_Per_Batch]*IFERROR(INDEX(PP_Grid[#Data],M_BOM[PPGridRow],59),0))/38.85</f>
        <v/>
      </c>
      <c r="BH80">
        <f>SUMPRODUCT((M_BOM[Part Name]=$A80)*M_BOM[RM_Qty_Per_Batch]*IFERROR(INDEX(PP_Grid[#Data],M_BOM[PPGridRow],60),0))/38.85</f>
        <v/>
      </c>
      <c r="BI80">
        <f>SUMPRODUCT((M_BOM[Part Name]=$A80)*M_BOM[RM_Qty_Per_Batch]*IFERROR(INDEX(PP_Grid[#Data],M_BOM[PPGridRow],61),0))/38.85</f>
        <v/>
      </c>
      <c r="BJ80">
        <f>SUMPRODUCT((M_BOM[Part Name]=$A80)*M_BOM[RM_Qty_Per_Batch]*IFERROR(INDEX(PP_Grid[#Data],M_BOM[PPGridRow],62),0))/38.85</f>
        <v/>
      </c>
      <c r="BK80">
        <f>SUMPRODUCT((M_BOM[Part Name]=$A80)*M_BOM[RM_Qty_Per_Batch]*IFERROR(INDEX(PP_Grid[#Data],M_BOM[PPGridRow],63),0))/38.85</f>
        <v/>
      </c>
      <c r="BL80">
        <f>SUMPRODUCT((M_BOM[Part Name]=$A80)*M_BOM[RM_Qty_Per_Batch]*IFERROR(INDEX(PP_Grid[#Data],M_BOM[PPGridRow],64),0))/38.85</f>
        <v/>
      </c>
      <c r="BM80">
        <f>SUMPRODUCT((M_BOM[Part Name]=$A80)*M_BOM[RM_Qty_Per_Batch]*IFERROR(INDEX(PP_Grid[#Data],M_BOM[PPGridRow],65),0))/38.85</f>
        <v/>
      </c>
      <c r="BN80">
        <f>SUMPRODUCT((M_BOM[Part Name]=$A80)*M_BOM[RM_Qty_Per_Batch]*IFERROR(INDEX(PP_Grid[#Data],M_BOM[PPGridRow],66),0))/38.85</f>
        <v/>
      </c>
      <c r="BO80">
        <f>SUMPRODUCT((M_BOM[Part Name]=$A80)*M_BOM[RM_Qty_Per_Batch]*IFERROR(INDEX(PP_Grid[#Data],M_BOM[PPGridRow],67),0))/38.85</f>
        <v/>
      </c>
      <c r="BP80">
        <f>SUMPRODUCT((M_BOM[Part Name]=$A80)*M_BOM[RM_Qty_Per_Batch]*IFERROR(INDEX(PP_Grid[#Data],M_BOM[PPGridRow],68),0))/38.85</f>
        <v/>
      </c>
      <c r="BQ80">
        <f>SUMPRODUCT((M_BOM[Part Name]=$A80)*M_BOM[RM_Qty_Per_Batch]*IFERROR(INDEX(PP_Grid[#Data],M_BOM[PPGridRow],69),0))/38.85</f>
        <v/>
      </c>
      <c r="BR80">
        <f>SUMPRODUCT((M_BOM[Part Name]=$A80)*M_BOM[RM_Qty_Per_Batch]*IFERROR(INDEX(PP_Grid[#Data],M_BOM[PPGridRow],70),0))/38.85</f>
        <v/>
      </c>
      <c r="BS80">
        <f>SUMPRODUCT((M_BOM[Part Name]=$A80)*M_BOM[RM_Qty_Per_Batch]*IFERROR(INDEX(PP_Grid[#Data],M_BOM[PPGridRow],71),0))/38.85</f>
        <v/>
      </c>
      <c r="BT80">
        <f>SUMPRODUCT((M_BOM[Part Name]=$A80)*M_BOM[RM_Qty_Per_Batch]*IFERROR(INDEX(PP_Grid[#Data],M_BOM[PPGridRow],72),0))/38.85</f>
        <v/>
      </c>
      <c r="BU80">
        <f>SUMPRODUCT((M_BOM[Part Name]=$A80)*M_BOM[RM_Qty_Per_Batch]*IFERROR(INDEX(PP_Grid[#Data],M_BOM[PPGridRow],73),0))/38.85</f>
        <v/>
      </c>
      <c r="BV80">
        <f>SUMPRODUCT((M_BOM[Part Name]=$A80)*M_BOM[RM_Qty_Per_Batch]*IFERROR(INDEX(PP_Grid[#Data],M_BOM[PPGridRow],74),0))/38.85</f>
        <v/>
      </c>
      <c r="BW80">
        <f>SUMPRODUCT((M_BOM[Part Name]=$A80)*M_BOM[RM_Qty_Per_Batch]*IFERROR(INDEX(PP_Grid[#Data],M_BOM[PPGridRow],75),0))/38.85</f>
        <v/>
      </c>
      <c r="BX80">
        <f>SUMPRODUCT((M_BOM[Part Name]=$A80)*M_BOM[RM_Qty_Per_Batch]*IFERROR(INDEX(PP_Grid[#Data],M_BOM[PPGridRow],76),0))/38.85</f>
        <v/>
      </c>
      <c r="BY80">
        <f>SUMPRODUCT((M_BOM[Part Name]=$A80)*M_BOM[RM_Qty_Per_Batch]*IFERROR(INDEX(PP_Grid[#Data],M_BOM[PPGridRow],77),0))/38.85</f>
        <v/>
      </c>
      <c r="BZ80">
        <f>SUMPRODUCT((M_BOM[Part Name]=$A80)*M_BOM[RM_Qty_Per_Batch]*IFERROR(INDEX(PP_Grid[#Data],M_BOM[PPGridRow],78),0))/38.85</f>
        <v/>
      </c>
      <c r="CA80">
        <f>SUMPRODUCT((M_BOM[Part Name]=$A80)*M_BOM[RM_Qty_Per_Batch]*IFERROR(INDEX(PP_Grid[#Data],M_BOM[PPGridRow],79),0))/38.85</f>
        <v/>
      </c>
      <c r="CB80">
        <f>SUMPRODUCT((M_BOM[Part Name]=$A80)*M_BOM[RM_Qty_Per_Batch]*IFERROR(INDEX(PP_Grid[#Data],M_BOM[PPGridRow],80),0))/38.85</f>
        <v/>
      </c>
      <c r="CC80">
        <f>SUMPRODUCT((M_BOM[Part Name]=$A80)*M_BOM[RM_Qty_Per_Batch]*IFERROR(INDEX(PP_Grid[#Data],M_BOM[PPGridRow],81),0))/38.85</f>
        <v/>
      </c>
      <c r="CD80">
        <f>SUMPRODUCT((M_BOM[Part Name]=$A80)*M_BOM[RM_Qty_Per_Batch]*IFERROR(INDEX(PP_Grid[#Data],M_BOM[PPGridRow],82),0))/38.85</f>
        <v/>
      </c>
      <c r="CE80">
        <f>SUMPRODUCT((M_BOM[Part Name]=$A80)*M_BOM[RM_Qty_Per_Batch]*IFERROR(INDEX(PP_Grid[#Data],M_BOM[PPGridRow],83),0))/38.85</f>
        <v/>
      </c>
      <c r="CF80">
        <f>SUMPRODUCT((M_BOM[Part Name]=$A80)*M_BOM[RM_Qty_Per_Batch]*IFERROR(INDEX(PP_Grid[#Data],M_BOM[PPGridRow],84),0))/38.85</f>
        <v/>
      </c>
      <c r="CG80">
        <f>SUMPRODUCT((M_BOM[Part Name]=$A80)*M_BOM[RM_Qty_Per_Batch]*IFERROR(INDEX(PP_Grid[#Data],M_BOM[PPGridRow],85),0))/38.85</f>
        <v/>
      </c>
      <c r="CH80">
        <f>SUMPRODUCT((M_BOM[Part Name]=$A80)*M_BOM[RM_Qty_Per_Batch]*IFERROR(INDEX(PP_Grid[#Data],M_BOM[PPGridRow],86),0))/38.85</f>
        <v/>
      </c>
      <c r="CI80">
        <f>SUMPRODUCT((M_BOM[Part Name]=$A80)*M_BOM[RM_Qty_Per_Batch]*IFERROR(INDEX(PP_Grid[#Data],M_BOM[PPGridRow],87),0))/38.85</f>
        <v/>
      </c>
      <c r="CJ80">
        <f>SUMPRODUCT((M_BOM[Part Name]=$A80)*M_BOM[RM_Qty_Per_Batch]*IFERROR(INDEX(PP_Grid[#Data],M_BOM[PPGridRow],88),0))/38.85</f>
        <v/>
      </c>
      <c r="CK80">
        <f>SUMPRODUCT((M_BOM[Part Name]=$A80)*M_BOM[RM_Qty_Per_Batch]*IFERROR(INDEX(PP_Grid[#Data],M_BOM[PPGridRow],89),0))/38.85</f>
        <v/>
      </c>
      <c r="CL80">
        <f>SUMPRODUCT((M_BOM[Part Name]=$A80)*M_BOM[RM_Qty_Per_Batch]*IFERROR(INDEX(PP_Grid[#Data],M_BOM[PPGridRow],90),0))/38.85</f>
        <v/>
      </c>
      <c r="CM80">
        <f>SUMPRODUCT((M_BOM[Part Name]=$A80)*M_BOM[RM_Qty_Per_Batch]*IFERROR(INDEX(PP_Grid[#Data],M_BOM[PPGridRow],91),0))/38.85</f>
        <v/>
      </c>
      <c r="CN80">
        <f>SUMPRODUCT((M_BOM[Part Name]=$A80)*M_BOM[RM_Qty_Per_Batch]*IFERROR(INDEX(PP_Grid[#Data],M_BOM[PPGridRow],92),0))/38.85</f>
        <v/>
      </c>
      <c r="CO80">
        <f>SUMPRODUCT((M_BOM[Part Name]=$A80)*M_BOM[RM_Qty_Per_Batch]*IFERROR(INDEX(PP_Grid[#Data],M_BOM[PPGridRow],93),0))/38.85</f>
        <v/>
      </c>
      <c r="CP80">
        <f>SUMPRODUCT((M_BOM[Part Name]=$A80)*M_BOM[RM_Qty_Per_Batch]*IFERROR(INDEX(PP_Grid[#Data],M_BOM[PPGridRow],94),0))/38.85</f>
        <v/>
      </c>
      <c r="CQ80">
        <f>SUMPRODUCT((M_BOM[Part Name]=$A80)*M_BOM[RM_Qty_Per_Batch]*IFERROR(INDEX(PP_Grid[#Data],M_BOM[PPGridRow],95),0))/38.85</f>
        <v/>
      </c>
      <c r="CR80">
        <f>SUMPRODUCT((M_BOM[Part Name]=$A80)*M_BOM[RM_Qty_Per_Batch]*IFERROR(INDEX(PP_Grid[#Data],M_BOM[PPGridRow],96),0))/38.85</f>
        <v/>
      </c>
      <c r="CS80">
        <f>SUMPRODUCT((M_BOM[Part Name]=$A80)*M_BOM[RM_Qty_Per_Batch]*IFERROR(INDEX(PP_Grid[#Data],M_BOM[PPGridRow],97),0))/38.85</f>
        <v/>
      </c>
      <c r="CT80">
        <f>SUMPRODUCT((M_BOM[Part Name]=$A80)*M_BOM[RM_Qty_Per_Batch]*IFERROR(INDEX(PP_Grid[#Data],M_BOM[PPGridRow],98),0))/38.85</f>
        <v/>
      </c>
      <c r="CU80">
        <f>SUMPRODUCT((M_BOM[Part Name]=$A80)*M_BOM[RM_Qty_Per_Batch]*IFERROR(INDEX(PP_Grid[#Data],M_BOM[PPGridRow],99),0))/38.85</f>
        <v/>
      </c>
      <c r="CV80">
        <f>SUMPRODUCT((M_BOM[Part Name]=$A80)*M_BOM[RM_Qty_Per_Batch]*IFERROR(INDEX(PP_Grid[#Data],M_BOM[PPGridRow],100),0))/38.85</f>
        <v/>
      </c>
      <c r="CW80">
        <f>SUMPRODUCT((M_BOM[Part Name]=$A80)*M_BOM[RM_Qty_Per_Batch]*IFERROR(INDEX(PP_Grid[#Data],M_BOM[PPGridRow],101),0))/38.85</f>
        <v/>
      </c>
      <c r="CX80">
        <f>SUMPRODUCT((M_BOM[Part Name]=$A80)*M_BOM[RM_Qty_Per_Batch]*IFERROR(INDEX(PP_Grid[#Data],M_BOM[PPGridRow],102),0))/38.85</f>
        <v/>
      </c>
      <c r="CY80">
        <f>SUMPRODUCT((M_BOM[Part Name]=$A80)*M_BOM[RM_Qty_Per_Batch]*IFERROR(INDEX(PP_Grid[#Data],M_BOM[PPGridRow],103),0))/38.85</f>
        <v/>
      </c>
      <c r="CZ80">
        <f>SUMPRODUCT((M_BOM[Part Name]=$A80)*M_BOM[RM_Qty_Per_Batch]*IFERROR(INDEX(PP_Grid[#Data],M_BOM[PPGridRow],104),0))/38.85</f>
        <v/>
      </c>
      <c r="DA80">
        <f>SUMPRODUCT((M_BOM[Part Name]=$A80)*M_BOM[RM_Qty_Per_Batch]*IFERROR(INDEX(PP_Grid[#Data],M_BOM[PPGridRow],105),0))/38.85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Name]=$A81)*M_BOM[RM_Qty_Per_Batch]*IFERROR(INDEX(PP_Grid[#Data],M_BOM[PPGridRow],2),0))/36.03</f>
        <v/>
      </c>
      <c r="C81">
        <f>SUMPRODUCT((M_BOM[Part Name]=$A81)*M_BOM[RM_Qty_Per_Batch]*IFERROR(INDEX(PP_Grid[#Data],M_BOM[PPGridRow],3),0))/36.03</f>
        <v/>
      </c>
      <c r="D81">
        <f>SUMPRODUCT((M_BOM[Part Name]=$A81)*M_BOM[RM_Qty_Per_Batch]*IFERROR(INDEX(PP_Grid[#Data],M_BOM[PPGridRow],4),0))/36.03</f>
        <v/>
      </c>
      <c r="E81">
        <f>SUMPRODUCT((M_BOM[Part Name]=$A81)*M_BOM[RM_Qty_Per_Batch]*IFERROR(INDEX(PP_Grid[#Data],M_BOM[PPGridRow],5),0))/36.03</f>
        <v/>
      </c>
      <c r="F81">
        <f>SUMPRODUCT((M_BOM[Part Name]=$A81)*M_BOM[RM_Qty_Per_Batch]*IFERROR(INDEX(PP_Grid[#Data],M_BOM[PPGridRow],6),0))/36.03</f>
        <v/>
      </c>
      <c r="G81">
        <f>SUMPRODUCT((M_BOM[Part Name]=$A81)*M_BOM[RM_Qty_Per_Batch]*IFERROR(INDEX(PP_Grid[#Data],M_BOM[PPGridRow],7),0))/36.03</f>
        <v/>
      </c>
      <c r="H81">
        <f>SUMPRODUCT((M_BOM[Part Name]=$A81)*M_BOM[RM_Qty_Per_Batch]*IFERROR(INDEX(PP_Grid[#Data],M_BOM[PPGridRow],8),0))/36.03</f>
        <v/>
      </c>
      <c r="I81">
        <f>SUMPRODUCT((M_BOM[Part Name]=$A81)*M_BOM[RM_Qty_Per_Batch]*IFERROR(INDEX(PP_Grid[#Data],M_BOM[PPGridRow],9),0))/36.03</f>
        <v/>
      </c>
      <c r="J81">
        <f>SUMPRODUCT((M_BOM[Part Name]=$A81)*M_BOM[RM_Qty_Per_Batch]*IFERROR(INDEX(PP_Grid[#Data],M_BOM[PPGridRow],10),0))/36.03</f>
        <v/>
      </c>
      <c r="K81">
        <f>SUMPRODUCT((M_BOM[Part Name]=$A81)*M_BOM[RM_Qty_Per_Batch]*IFERROR(INDEX(PP_Grid[#Data],M_BOM[PPGridRow],11),0))/36.03</f>
        <v/>
      </c>
      <c r="L81">
        <f>SUMPRODUCT((M_BOM[Part Name]=$A81)*M_BOM[RM_Qty_Per_Batch]*IFERROR(INDEX(PP_Grid[#Data],M_BOM[PPGridRow],12),0))/36.03</f>
        <v/>
      </c>
      <c r="M81">
        <f>SUMPRODUCT((M_BOM[Part Name]=$A81)*M_BOM[RM_Qty_Per_Batch]*IFERROR(INDEX(PP_Grid[#Data],M_BOM[PPGridRow],13),0))/36.03</f>
        <v/>
      </c>
      <c r="N81">
        <f>SUMPRODUCT((M_BOM[Part Name]=$A81)*M_BOM[RM_Qty_Per_Batch]*IFERROR(INDEX(PP_Grid[#Data],M_BOM[PPGridRow],14),0))/36.03</f>
        <v/>
      </c>
      <c r="O81">
        <f>SUMPRODUCT((M_BOM[Part Name]=$A81)*M_BOM[RM_Qty_Per_Batch]*IFERROR(INDEX(PP_Grid[#Data],M_BOM[PPGridRow],15),0))/36.03</f>
        <v/>
      </c>
      <c r="P81">
        <f>SUMPRODUCT((M_BOM[Part Name]=$A81)*M_BOM[RM_Qty_Per_Batch]*IFERROR(INDEX(PP_Grid[#Data],M_BOM[PPGridRow],16),0))/36.03</f>
        <v/>
      </c>
      <c r="Q81">
        <f>SUMPRODUCT((M_BOM[Part Name]=$A81)*M_BOM[RM_Qty_Per_Batch]*IFERROR(INDEX(PP_Grid[#Data],M_BOM[PPGridRow],17),0))/36.03</f>
        <v/>
      </c>
      <c r="R81">
        <f>SUMPRODUCT((M_BOM[Part Name]=$A81)*M_BOM[RM_Qty_Per_Batch]*IFERROR(INDEX(PP_Grid[#Data],M_BOM[PPGridRow],18),0))/36.03</f>
        <v/>
      </c>
      <c r="S81">
        <f>SUMPRODUCT((M_BOM[Part Name]=$A81)*M_BOM[RM_Qty_Per_Batch]*IFERROR(INDEX(PP_Grid[#Data],M_BOM[PPGridRow],19),0))/36.03</f>
        <v/>
      </c>
      <c r="T81">
        <f>SUMPRODUCT((M_BOM[Part Name]=$A81)*M_BOM[RM_Qty_Per_Batch]*IFERROR(INDEX(PP_Grid[#Data],M_BOM[PPGridRow],20),0))/36.03</f>
        <v/>
      </c>
      <c r="U81">
        <f>SUMPRODUCT((M_BOM[Part Name]=$A81)*M_BOM[RM_Qty_Per_Batch]*IFERROR(INDEX(PP_Grid[#Data],M_BOM[PPGridRow],21),0))/36.03</f>
        <v/>
      </c>
      <c r="V81">
        <f>SUMPRODUCT((M_BOM[Part Name]=$A81)*M_BOM[RM_Qty_Per_Batch]*IFERROR(INDEX(PP_Grid[#Data],M_BOM[PPGridRow],22),0))/36.03</f>
        <v/>
      </c>
      <c r="W81">
        <f>SUMPRODUCT((M_BOM[Part Name]=$A81)*M_BOM[RM_Qty_Per_Batch]*IFERROR(INDEX(PP_Grid[#Data],M_BOM[PPGridRow],23),0))/36.03</f>
        <v/>
      </c>
      <c r="X81">
        <f>SUMPRODUCT((M_BOM[Part Name]=$A81)*M_BOM[RM_Qty_Per_Batch]*IFERROR(INDEX(PP_Grid[#Data],M_BOM[PPGridRow],24),0))/36.03</f>
        <v/>
      </c>
      <c r="Y81">
        <f>SUMPRODUCT((M_BOM[Part Name]=$A81)*M_BOM[RM_Qty_Per_Batch]*IFERROR(INDEX(PP_Grid[#Data],M_BOM[PPGridRow],25),0))/36.03</f>
        <v/>
      </c>
      <c r="Z81">
        <f>SUMPRODUCT((M_BOM[Part Name]=$A81)*M_BOM[RM_Qty_Per_Batch]*IFERROR(INDEX(PP_Grid[#Data],M_BOM[PPGridRow],26),0))/36.03</f>
        <v/>
      </c>
      <c r="AA81">
        <f>SUMPRODUCT((M_BOM[Part Name]=$A81)*M_BOM[RM_Qty_Per_Batch]*IFERROR(INDEX(PP_Grid[#Data],M_BOM[PPGridRow],27),0))/36.03</f>
        <v/>
      </c>
      <c r="AB81">
        <f>SUMPRODUCT((M_BOM[Part Name]=$A81)*M_BOM[RM_Qty_Per_Batch]*IFERROR(INDEX(PP_Grid[#Data],M_BOM[PPGridRow],28),0))/36.03</f>
        <v/>
      </c>
      <c r="AC81">
        <f>SUMPRODUCT((M_BOM[Part Name]=$A81)*M_BOM[RM_Qty_Per_Batch]*IFERROR(INDEX(PP_Grid[#Data],M_BOM[PPGridRow],29),0))/36.03</f>
        <v/>
      </c>
      <c r="AD81">
        <f>SUMPRODUCT((M_BOM[Part Name]=$A81)*M_BOM[RM_Qty_Per_Batch]*IFERROR(INDEX(PP_Grid[#Data],M_BOM[PPGridRow],30),0))/36.03</f>
        <v/>
      </c>
      <c r="AE81">
        <f>SUMPRODUCT((M_BOM[Part Name]=$A81)*M_BOM[RM_Qty_Per_Batch]*IFERROR(INDEX(PP_Grid[#Data],M_BOM[PPGridRow],31),0))/36.03</f>
        <v/>
      </c>
      <c r="AF81">
        <f>SUMPRODUCT((M_BOM[Part Name]=$A81)*M_BOM[RM_Qty_Per_Batch]*IFERROR(INDEX(PP_Grid[#Data],M_BOM[PPGridRow],32),0))/36.03</f>
        <v/>
      </c>
      <c r="AG81">
        <f>SUMPRODUCT((M_BOM[Part Name]=$A81)*M_BOM[RM_Qty_Per_Batch]*IFERROR(INDEX(PP_Grid[#Data],M_BOM[PPGridRow],33),0))/36.03</f>
        <v/>
      </c>
      <c r="AH81">
        <f>SUMPRODUCT((M_BOM[Part Name]=$A81)*M_BOM[RM_Qty_Per_Batch]*IFERROR(INDEX(PP_Grid[#Data],M_BOM[PPGridRow],34),0))/36.03</f>
        <v/>
      </c>
      <c r="AI81">
        <f>SUMPRODUCT((M_BOM[Part Name]=$A81)*M_BOM[RM_Qty_Per_Batch]*IFERROR(INDEX(PP_Grid[#Data],M_BOM[PPGridRow],35),0))/36.03</f>
        <v/>
      </c>
      <c r="AJ81">
        <f>SUMPRODUCT((M_BOM[Part Name]=$A81)*M_BOM[RM_Qty_Per_Batch]*IFERROR(INDEX(PP_Grid[#Data],M_BOM[PPGridRow],36),0))/36.03</f>
        <v/>
      </c>
      <c r="AK81">
        <f>SUMPRODUCT((M_BOM[Part Name]=$A81)*M_BOM[RM_Qty_Per_Batch]*IFERROR(INDEX(PP_Grid[#Data],M_BOM[PPGridRow],37),0))/36.03</f>
        <v/>
      </c>
      <c r="AL81">
        <f>SUMPRODUCT((M_BOM[Part Name]=$A81)*M_BOM[RM_Qty_Per_Batch]*IFERROR(INDEX(PP_Grid[#Data],M_BOM[PPGridRow],38),0))/36.03</f>
        <v/>
      </c>
      <c r="AM81">
        <f>SUMPRODUCT((M_BOM[Part Name]=$A81)*M_BOM[RM_Qty_Per_Batch]*IFERROR(INDEX(PP_Grid[#Data],M_BOM[PPGridRow],39),0))/36.03</f>
        <v/>
      </c>
      <c r="AN81">
        <f>SUMPRODUCT((M_BOM[Part Name]=$A81)*M_BOM[RM_Qty_Per_Batch]*IFERROR(INDEX(PP_Grid[#Data],M_BOM[PPGridRow],40),0))/36.03</f>
        <v/>
      </c>
      <c r="AO81">
        <f>SUMPRODUCT((M_BOM[Part Name]=$A81)*M_BOM[RM_Qty_Per_Batch]*IFERROR(INDEX(PP_Grid[#Data],M_BOM[PPGridRow],41),0))/36.03</f>
        <v/>
      </c>
      <c r="AP81">
        <f>SUMPRODUCT((M_BOM[Part Name]=$A81)*M_BOM[RM_Qty_Per_Batch]*IFERROR(INDEX(PP_Grid[#Data],M_BOM[PPGridRow],42),0))/36.03</f>
        <v/>
      </c>
      <c r="AQ81">
        <f>SUMPRODUCT((M_BOM[Part Name]=$A81)*M_BOM[RM_Qty_Per_Batch]*IFERROR(INDEX(PP_Grid[#Data],M_BOM[PPGridRow],43),0))/36.03</f>
        <v/>
      </c>
      <c r="AR81">
        <f>SUMPRODUCT((M_BOM[Part Name]=$A81)*M_BOM[RM_Qty_Per_Batch]*IFERROR(INDEX(PP_Grid[#Data],M_BOM[PPGridRow],44),0))/36.03</f>
        <v/>
      </c>
      <c r="AS81">
        <f>SUMPRODUCT((M_BOM[Part Name]=$A81)*M_BOM[RM_Qty_Per_Batch]*IFERROR(INDEX(PP_Grid[#Data],M_BOM[PPGridRow],45),0))/36.03</f>
        <v/>
      </c>
      <c r="AT81">
        <f>SUMPRODUCT((M_BOM[Part Name]=$A81)*M_BOM[RM_Qty_Per_Batch]*IFERROR(INDEX(PP_Grid[#Data],M_BOM[PPGridRow],46),0))/36.03</f>
        <v/>
      </c>
      <c r="AU81">
        <f>SUMPRODUCT((M_BOM[Part Name]=$A81)*M_BOM[RM_Qty_Per_Batch]*IFERROR(INDEX(PP_Grid[#Data],M_BOM[PPGridRow],47),0))/36.03</f>
        <v/>
      </c>
      <c r="AV81">
        <f>SUMPRODUCT((M_BOM[Part Name]=$A81)*M_BOM[RM_Qty_Per_Batch]*IFERROR(INDEX(PP_Grid[#Data],M_BOM[PPGridRow],48),0))/36.03</f>
        <v/>
      </c>
      <c r="AW81">
        <f>SUMPRODUCT((M_BOM[Part Name]=$A81)*M_BOM[RM_Qty_Per_Batch]*IFERROR(INDEX(PP_Grid[#Data],M_BOM[PPGridRow],49),0))/36.03</f>
        <v/>
      </c>
      <c r="AX81">
        <f>SUMPRODUCT((M_BOM[Part Name]=$A81)*M_BOM[RM_Qty_Per_Batch]*IFERROR(INDEX(PP_Grid[#Data],M_BOM[PPGridRow],50),0))/36.03</f>
        <v/>
      </c>
      <c r="AY81">
        <f>SUMPRODUCT((M_BOM[Part Name]=$A81)*M_BOM[RM_Qty_Per_Batch]*IFERROR(INDEX(PP_Grid[#Data],M_BOM[PPGridRow],51),0))/36.03</f>
        <v/>
      </c>
      <c r="AZ81">
        <f>SUMPRODUCT((M_BOM[Part Name]=$A81)*M_BOM[RM_Qty_Per_Batch]*IFERROR(INDEX(PP_Grid[#Data],M_BOM[PPGridRow],52),0))/36.03</f>
        <v/>
      </c>
      <c r="BA81">
        <f>SUMPRODUCT((M_BOM[Part Name]=$A81)*M_BOM[RM_Qty_Per_Batch]*IFERROR(INDEX(PP_Grid[#Data],M_BOM[PPGridRow],53),0))/36.03</f>
        <v/>
      </c>
      <c r="BB81">
        <f>SUMPRODUCT((M_BOM[Part Name]=$A81)*M_BOM[RM_Qty_Per_Batch]*IFERROR(INDEX(PP_Grid[#Data],M_BOM[PPGridRow],54),0))/36.03</f>
        <v/>
      </c>
      <c r="BC81">
        <f>SUMPRODUCT((M_BOM[Part Name]=$A81)*M_BOM[RM_Qty_Per_Batch]*IFERROR(INDEX(PP_Grid[#Data],M_BOM[PPGridRow],55),0))/36.03</f>
        <v/>
      </c>
      <c r="BD81">
        <f>SUMPRODUCT((M_BOM[Part Name]=$A81)*M_BOM[RM_Qty_Per_Batch]*IFERROR(INDEX(PP_Grid[#Data],M_BOM[PPGridRow],56),0))/36.03</f>
        <v/>
      </c>
      <c r="BE81">
        <f>SUMPRODUCT((M_BOM[Part Name]=$A81)*M_BOM[RM_Qty_Per_Batch]*IFERROR(INDEX(PP_Grid[#Data],M_BOM[PPGridRow],57),0))/36.03</f>
        <v/>
      </c>
      <c r="BF81">
        <f>SUMPRODUCT((M_BOM[Part Name]=$A81)*M_BOM[RM_Qty_Per_Batch]*IFERROR(INDEX(PP_Grid[#Data],M_BOM[PPGridRow],58),0))/36.03</f>
        <v/>
      </c>
      <c r="BG81">
        <f>SUMPRODUCT((M_BOM[Part Name]=$A81)*M_BOM[RM_Qty_Per_Batch]*IFERROR(INDEX(PP_Grid[#Data],M_BOM[PPGridRow],59),0))/36.03</f>
        <v/>
      </c>
      <c r="BH81">
        <f>SUMPRODUCT((M_BOM[Part Name]=$A81)*M_BOM[RM_Qty_Per_Batch]*IFERROR(INDEX(PP_Grid[#Data],M_BOM[PPGridRow],60),0))/36.03</f>
        <v/>
      </c>
      <c r="BI81">
        <f>SUMPRODUCT((M_BOM[Part Name]=$A81)*M_BOM[RM_Qty_Per_Batch]*IFERROR(INDEX(PP_Grid[#Data],M_BOM[PPGridRow],61),0))/36.03</f>
        <v/>
      </c>
      <c r="BJ81">
        <f>SUMPRODUCT((M_BOM[Part Name]=$A81)*M_BOM[RM_Qty_Per_Batch]*IFERROR(INDEX(PP_Grid[#Data],M_BOM[PPGridRow],62),0))/36.03</f>
        <v/>
      </c>
      <c r="BK81">
        <f>SUMPRODUCT((M_BOM[Part Name]=$A81)*M_BOM[RM_Qty_Per_Batch]*IFERROR(INDEX(PP_Grid[#Data],M_BOM[PPGridRow],63),0))/36.03</f>
        <v/>
      </c>
      <c r="BL81">
        <f>SUMPRODUCT((M_BOM[Part Name]=$A81)*M_BOM[RM_Qty_Per_Batch]*IFERROR(INDEX(PP_Grid[#Data],M_BOM[PPGridRow],64),0))/36.03</f>
        <v/>
      </c>
      <c r="BM81">
        <f>SUMPRODUCT((M_BOM[Part Name]=$A81)*M_BOM[RM_Qty_Per_Batch]*IFERROR(INDEX(PP_Grid[#Data],M_BOM[PPGridRow],65),0))/36.03</f>
        <v/>
      </c>
      <c r="BN81">
        <f>SUMPRODUCT((M_BOM[Part Name]=$A81)*M_BOM[RM_Qty_Per_Batch]*IFERROR(INDEX(PP_Grid[#Data],M_BOM[PPGridRow],66),0))/36.03</f>
        <v/>
      </c>
      <c r="BO81">
        <f>SUMPRODUCT((M_BOM[Part Name]=$A81)*M_BOM[RM_Qty_Per_Batch]*IFERROR(INDEX(PP_Grid[#Data],M_BOM[PPGridRow],67),0))/36.03</f>
        <v/>
      </c>
      <c r="BP81">
        <f>SUMPRODUCT((M_BOM[Part Name]=$A81)*M_BOM[RM_Qty_Per_Batch]*IFERROR(INDEX(PP_Grid[#Data],M_BOM[PPGridRow],68),0))/36.03</f>
        <v/>
      </c>
      <c r="BQ81">
        <f>SUMPRODUCT((M_BOM[Part Name]=$A81)*M_BOM[RM_Qty_Per_Batch]*IFERROR(INDEX(PP_Grid[#Data],M_BOM[PPGridRow],69),0))/36.03</f>
        <v/>
      </c>
      <c r="BR81">
        <f>SUMPRODUCT((M_BOM[Part Name]=$A81)*M_BOM[RM_Qty_Per_Batch]*IFERROR(INDEX(PP_Grid[#Data],M_BOM[PPGridRow],70),0))/36.03</f>
        <v/>
      </c>
      <c r="BS81">
        <f>SUMPRODUCT((M_BOM[Part Name]=$A81)*M_BOM[RM_Qty_Per_Batch]*IFERROR(INDEX(PP_Grid[#Data],M_BOM[PPGridRow],71),0))/36.03</f>
        <v/>
      </c>
      <c r="BT81">
        <f>SUMPRODUCT((M_BOM[Part Name]=$A81)*M_BOM[RM_Qty_Per_Batch]*IFERROR(INDEX(PP_Grid[#Data],M_BOM[PPGridRow],72),0))/36.03</f>
        <v/>
      </c>
      <c r="BU81">
        <f>SUMPRODUCT((M_BOM[Part Name]=$A81)*M_BOM[RM_Qty_Per_Batch]*IFERROR(INDEX(PP_Grid[#Data],M_BOM[PPGridRow],73),0))/36.03</f>
        <v/>
      </c>
      <c r="BV81">
        <f>SUMPRODUCT((M_BOM[Part Name]=$A81)*M_BOM[RM_Qty_Per_Batch]*IFERROR(INDEX(PP_Grid[#Data],M_BOM[PPGridRow],74),0))/36.03</f>
        <v/>
      </c>
      <c r="BW81">
        <f>SUMPRODUCT((M_BOM[Part Name]=$A81)*M_BOM[RM_Qty_Per_Batch]*IFERROR(INDEX(PP_Grid[#Data],M_BOM[PPGridRow],75),0))/36.03</f>
        <v/>
      </c>
      <c r="BX81">
        <f>SUMPRODUCT((M_BOM[Part Name]=$A81)*M_BOM[RM_Qty_Per_Batch]*IFERROR(INDEX(PP_Grid[#Data],M_BOM[PPGridRow],76),0))/36.03</f>
        <v/>
      </c>
      <c r="BY81">
        <f>SUMPRODUCT((M_BOM[Part Name]=$A81)*M_BOM[RM_Qty_Per_Batch]*IFERROR(INDEX(PP_Grid[#Data],M_BOM[PPGridRow],77),0))/36.03</f>
        <v/>
      </c>
      <c r="BZ81">
        <f>SUMPRODUCT((M_BOM[Part Name]=$A81)*M_BOM[RM_Qty_Per_Batch]*IFERROR(INDEX(PP_Grid[#Data],M_BOM[PPGridRow],78),0))/36.03</f>
        <v/>
      </c>
      <c r="CA81">
        <f>SUMPRODUCT((M_BOM[Part Name]=$A81)*M_BOM[RM_Qty_Per_Batch]*IFERROR(INDEX(PP_Grid[#Data],M_BOM[PPGridRow],79),0))/36.03</f>
        <v/>
      </c>
      <c r="CB81">
        <f>SUMPRODUCT((M_BOM[Part Name]=$A81)*M_BOM[RM_Qty_Per_Batch]*IFERROR(INDEX(PP_Grid[#Data],M_BOM[PPGridRow],80),0))/36.03</f>
        <v/>
      </c>
      <c r="CC81">
        <f>SUMPRODUCT((M_BOM[Part Name]=$A81)*M_BOM[RM_Qty_Per_Batch]*IFERROR(INDEX(PP_Grid[#Data],M_BOM[PPGridRow],81),0))/36.03</f>
        <v/>
      </c>
      <c r="CD81">
        <f>SUMPRODUCT((M_BOM[Part Name]=$A81)*M_BOM[RM_Qty_Per_Batch]*IFERROR(INDEX(PP_Grid[#Data],M_BOM[PPGridRow],82),0))/36.03</f>
        <v/>
      </c>
      <c r="CE81">
        <f>SUMPRODUCT((M_BOM[Part Name]=$A81)*M_BOM[RM_Qty_Per_Batch]*IFERROR(INDEX(PP_Grid[#Data],M_BOM[PPGridRow],83),0))/36.03</f>
        <v/>
      </c>
      <c r="CF81">
        <f>SUMPRODUCT((M_BOM[Part Name]=$A81)*M_BOM[RM_Qty_Per_Batch]*IFERROR(INDEX(PP_Grid[#Data],M_BOM[PPGridRow],84),0))/36.03</f>
        <v/>
      </c>
      <c r="CG81">
        <f>SUMPRODUCT((M_BOM[Part Name]=$A81)*M_BOM[RM_Qty_Per_Batch]*IFERROR(INDEX(PP_Grid[#Data],M_BOM[PPGridRow],85),0))/36.03</f>
        <v/>
      </c>
      <c r="CH81">
        <f>SUMPRODUCT((M_BOM[Part Name]=$A81)*M_BOM[RM_Qty_Per_Batch]*IFERROR(INDEX(PP_Grid[#Data],M_BOM[PPGridRow],86),0))/36.03</f>
        <v/>
      </c>
      <c r="CI81">
        <f>SUMPRODUCT((M_BOM[Part Name]=$A81)*M_BOM[RM_Qty_Per_Batch]*IFERROR(INDEX(PP_Grid[#Data],M_BOM[PPGridRow],87),0))/36.03</f>
        <v/>
      </c>
      <c r="CJ81">
        <f>SUMPRODUCT((M_BOM[Part Name]=$A81)*M_BOM[RM_Qty_Per_Batch]*IFERROR(INDEX(PP_Grid[#Data],M_BOM[PPGridRow],88),0))/36.03</f>
        <v/>
      </c>
      <c r="CK81">
        <f>SUMPRODUCT((M_BOM[Part Name]=$A81)*M_BOM[RM_Qty_Per_Batch]*IFERROR(INDEX(PP_Grid[#Data],M_BOM[PPGridRow],89),0))/36.03</f>
        <v/>
      </c>
      <c r="CL81">
        <f>SUMPRODUCT((M_BOM[Part Name]=$A81)*M_BOM[RM_Qty_Per_Batch]*IFERROR(INDEX(PP_Grid[#Data],M_BOM[PPGridRow],90),0))/36.03</f>
        <v/>
      </c>
      <c r="CM81">
        <f>SUMPRODUCT((M_BOM[Part Name]=$A81)*M_BOM[RM_Qty_Per_Batch]*IFERROR(INDEX(PP_Grid[#Data],M_BOM[PPGridRow],91),0))/36.03</f>
        <v/>
      </c>
      <c r="CN81">
        <f>SUMPRODUCT((M_BOM[Part Name]=$A81)*M_BOM[RM_Qty_Per_Batch]*IFERROR(INDEX(PP_Grid[#Data],M_BOM[PPGridRow],92),0))/36.03</f>
        <v/>
      </c>
      <c r="CO81">
        <f>SUMPRODUCT((M_BOM[Part Name]=$A81)*M_BOM[RM_Qty_Per_Batch]*IFERROR(INDEX(PP_Grid[#Data],M_BOM[PPGridRow],93),0))/36.03</f>
        <v/>
      </c>
      <c r="CP81">
        <f>SUMPRODUCT((M_BOM[Part Name]=$A81)*M_BOM[RM_Qty_Per_Batch]*IFERROR(INDEX(PP_Grid[#Data],M_BOM[PPGridRow],94),0))/36.03</f>
        <v/>
      </c>
      <c r="CQ81">
        <f>SUMPRODUCT((M_BOM[Part Name]=$A81)*M_BOM[RM_Qty_Per_Batch]*IFERROR(INDEX(PP_Grid[#Data],M_BOM[PPGridRow],95),0))/36.03</f>
        <v/>
      </c>
      <c r="CR81">
        <f>SUMPRODUCT((M_BOM[Part Name]=$A81)*M_BOM[RM_Qty_Per_Batch]*IFERROR(INDEX(PP_Grid[#Data],M_BOM[PPGridRow],96),0))/36.03</f>
        <v/>
      </c>
      <c r="CS81">
        <f>SUMPRODUCT((M_BOM[Part Name]=$A81)*M_BOM[RM_Qty_Per_Batch]*IFERROR(INDEX(PP_Grid[#Data],M_BOM[PPGridRow],97),0))/36.03</f>
        <v/>
      </c>
      <c r="CT81">
        <f>SUMPRODUCT((M_BOM[Part Name]=$A81)*M_BOM[RM_Qty_Per_Batch]*IFERROR(INDEX(PP_Grid[#Data],M_BOM[PPGridRow],98),0))/36.03</f>
        <v/>
      </c>
      <c r="CU81">
        <f>SUMPRODUCT((M_BOM[Part Name]=$A81)*M_BOM[RM_Qty_Per_Batch]*IFERROR(INDEX(PP_Grid[#Data],M_BOM[PPGridRow],99),0))/36.03</f>
        <v/>
      </c>
      <c r="CV81">
        <f>SUMPRODUCT((M_BOM[Part Name]=$A81)*M_BOM[RM_Qty_Per_Batch]*IFERROR(INDEX(PP_Grid[#Data],M_BOM[PPGridRow],100),0))/36.03</f>
        <v/>
      </c>
      <c r="CW81">
        <f>SUMPRODUCT((M_BOM[Part Name]=$A81)*M_BOM[RM_Qty_Per_Batch]*IFERROR(INDEX(PP_Grid[#Data],M_BOM[PPGridRow],101),0))/36.03</f>
        <v/>
      </c>
      <c r="CX81">
        <f>SUMPRODUCT((M_BOM[Part Name]=$A81)*M_BOM[RM_Qty_Per_Batch]*IFERROR(INDEX(PP_Grid[#Data],M_BOM[PPGridRow],102),0))/36.03</f>
        <v/>
      </c>
      <c r="CY81">
        <f>SUMPRODUCT((M_BOM[Part Name]=$A81)*M_BOM[RM_Qty_Per_Batch]*IFERROR(INDEX(PP_Grid[#Data],M_BOM[PPGridRow],103),0))/36.03</f>
        <v/>
      </c>
      <c r="CZ81">
        <f>SUMPRODUCT((M_BOM[Part Name]=$A81)*M_BOM[RM_Qty_Per_Batch]*IFERROR(INDEX(PP_Grid[#Data],M_BOM[PPGridRow],104),0))/36.03</f>
        <v/>
      </c>
      <c r="DA81">
        <f>SUMPRODUCT((M_BOM[Part Name]=$A81)*M_BOM[RM_Qty_Per_Batch]*IFERROR(INDEX(PP_Grid[#Data],M_BOM[PPGridRow],105),0))/36.03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Name]=$A82)*M_BOM[RM_Qty_Per_Batch]*IFERROR(INDEX(PP_Grid[#Data],M_BOM[PPGridRow],2),0))/36.61</f>
        <v/>
      </c>
      <c r="C82">
        <f>SUMPRODUCT((M_BOM[Part Name]=$A82)*M_BOM[RM_Qty_Per_Batch]*IFERROR(INDEX(PP_Grid[#Data],M_BOM[PPGridRow],3),0))/36.61</f>
        <v/>
      </c>
      <c r="D82">
        <f>SUMPRODUCT((M_BOM[Part Name]=$A82)*M_BOM[RM_Qty_Per_Batch]*IFERROR(INDEX(PP_Grid[#Data],M_BOM[PPGridRow],4),0))/36.61</f>
        <v/>
      </c>
      <c r="E82">
        <f>SUMPRODUCT((M_BOM[Part Name]=$A82)*M_BOM[RM_Qty_Per_Batch]*IFERROR(INDEX(PP_Grid[#Data],M_BOM[PPGridRow],5),0))/36.61</f>
        <v/>
      </c>
      <c r="F82">
        <f>SUMPRODUCT((M_BOM[Part Name]=$A82)*M_BOM[RM_Qty_Per_Batch]*IFERROR(INDEX(PP_Grid[#Data],M_BOM[PPGridRow],6),0))/36.61</f>
        <v/>
      </c>
      <c r="G82">
        <f>SUMPRODUCT((M_BOM[Part Name]=$A82)*M_BOM[RM_Qty_Per_Batch]*IFERROR(INDEX(PP_Grid[#Data],M_BOM[PPGridRow],7),0))/36.61</f>
        <v/>
      </c>
      <c r="H82">
        <f>SUMPRODUCT((M_BOM[Part Name]=$A82)*M_BOM[RM_Qty_Per_Batch]*IFERROR(INDEX(PP_Grid[#Data],M_BOM[PPGridRow],8),0))/36.61</f>
        <v/>
      </c>
      <c r="I82">
        <f>SUMPRODUCT((M_BOM[Part Name]=$A82)*M_BOM[RM_Qty_Per_Batch]*IFERROR(INDEX(PP_Grid[#Data],M_BOM[PPGridRow],9),0))/36.61</f>
        <v/>
      </c>
      <c r="J82">
        <f>SUMPRODUCT((M_BOM[Part Name]=$A82)*M_BOM[RM_Qty_Per_Batch]*IFERROR(INDEX(PP_Grid[#Data],M_BOM[PPGridRow],10),0))/36.61</f>
        <v/>
      </c>
      <c r="K82">
        <f>SUMPRODUCT((M_BOM[Part Name]=$A82)*M_BOM[RM_Qty_Per_Batch]*IFERROR(INDEX(PP_Grid[#Data],M_BOM[PPGridRow],11),0))/36.61</f>
        <v/>
      </c>
      <c r="L82">
        <f>SUMPRODUCT((M_BOM[Part Name]=$A82)*M_BOM[RM_Qty_Per_Batch]*IFERROR(INDEX(PP_Grid[#Data],M_BOM[PPGridRow],12),0))/36.61</f>
        <v/>
      </c>
      <c r="M82">
        <f>SUMPRODUCT((M_BOM[Part Name]=$A82)*M_BOM[RM_Qty_Per_Batch]*IFERROR(INDEX(PP_Grid[#Data],M_BOM[PPGridRow],13),0))/36.61</f>
        <v/>
      </c>
      <c r="N82">
        <f>SUMPRODUCT((M_BOM[Part Name]=$A82)*M_BOM[RM_Qty_Per_Batch]*IFERROR(INDEX(PP_Grid[#Data],M_BOM[PPGridRow],14),0))/36.61</f>
        <v/>
      </c>
      <c r="O82">
        <f>SUMPRODUCT((M_BOM[Part Name]=$A82)*M_BOM[RM_Qty_Per_Batch]*IFERROR(INDEX(PP_Grid[#Data],M_BOM[PPGridRow],15),0))/36.61</f>
        <v/>
      </c>
      <c r="P82">
        <f>SUMPRODUCT((M_BOM[Part Name]=$A82)*M_BOM[RM_Qty_Per_Batch]*IFERROR(INDEX(PP_Grid[#Data],M_BOM[PPGridRow],16),0))/36.61</f>
        <v/>
      </c>
      <c r="Q82">
        <f>SUMPRODUCT((M_BOM[Part Name]=$A82)*M_BOM[RM_Qty_Per_Batch]*IFERROR(INDEX(PP_Grid[#Data],M_BOM[PPGridRow],17),0))/36.61</f>
        <v/>
      </c>
      <c r="R82">
        <f>SUMPRODUCT((M_BOM[Part Name]=$A82)*M_BOM[RM_Qty_Per_Batch]*IFERROR(INDEX(PP_Grid[#Data],M_BOM[PPGridRow],18),0))/36.61</f>
        <v/>
      </c>
      <c r="S82">
        <f>SUMPRODUCT((M_BOM[Part Name]=$A82)*M_BOM[RM_Qty_Per_Batch]*IFERROR(INDEX(PP_Grid[#Data],M_BOM[PPGridRow],19),0))/36.61</f>
        <v/>
      </c>
      <c r="T82">
        <f>SUMPRODUCT((M_BOM[Part Name]=$A82)*M_BOM[RM_Qty_Per_Batch]*IFERROR(INDEX(PP_Grid[#Data],M_BOM[PPGridRow],20),0))/36.61</f>
        <v/>
      </c>
      <c r="U82">
        <f>SUMPRODUCT((M_BOM[Part Name]=$A82)*M_BOM[RM_Qty_Per_Batch]*IFERROR(INDEX(PP_Grid[#Data],M_BOM[PPGridRow],21),0))/36.61</f>
        <v/>
      </c>
      <c r="V82">
        <f>SUMPRODUCT((M_BOM[Part Name]=$A82)*M_BOM[RM_Qty_Per_Batch]*IFERROR(INDEX(PP_Grid[#Data],M_BOM[PPGridRow],22),0))/36.61</f>
        <v/>
      </c>
      <c r="W82">
        <f>SUMPRODUCT((M_BOM[Part Name]=$A82)*M_BOM[RM_Qty_Per_Batch]*IFERROR(INDEX(PP_Grid[#Data],M_BOM[PPGridRow],23),0))/36.61</f>
        <v/>
      </c>
      <c r="X82">
        <f>SUMPRODUCT((M_BOM[Part Name]=$A82)*M_BOM[RM_Qty_Per_Batch]*IFERROR(INDEX(PP_Grid[#Data],M_BOM[PPGridRow],24),0))/36.61</f>
        <v/>
      </c>
      <c r="Y82">
        <f>SUMPRODUCT((M_BOM[Part Name]=$A82)*M_BOM[RM_Qty_Per_Batch]*IFERROR(INDEX(PP_Grid[#Data],M_BOM[PPGridRow],25),0))/36.61</f>
        <v/>
      </c>
      <c r="Z82">
        <f>SUMPRODUCT((M_BOM[Part Name]=$A82)*M_BOM[RM_Qty_Per_Batch]*IFERROR(INDEX(PP_Grid[#Data],M_BOM[PPGridRow],26),0))/36.61</f>
        <v/>
      </c>
      <c r="AA82">
        <f>SUMPRODUCT((M_BOM[Part Name]=$A82)*M_BOM[RM_Qty_Per_Batch]*IFERROR(INDEX(PP_Grid[#Data],M_BOM[PPGridRow],27),0))/36.61</f>
        <v/>
      </c>
      <c r="AB82">
        <f>SUMPRODUCT((M_BOM[Part Name]=$A82)*M_BOM[RM_Qty_Per_Batch]*IFERROR(INDEX(PP_Grid[#Data],M_BOM[PPGridRow],28),0))/36.61</f>
        <v/>
      </c>
      <c r="AC82">
        <f>SUMPRODUCT((M_BOM[Part Name]=$A82)*M_BOM[RM_Qty_Per_Batch]*IFERROR(INDEX(PP_Grid[#Data],M_BOM[PPGridRow],29),0))/36.61</f>
        <v/>
      </c>
      <c r="AD82">
        <f>SUMPRODUCT((M_BOM[Part Name]=$A82)*M_BOM[RM_Qty_Per_Batch]*IFERROR(INDEX(PP_Grid[#Data],M_BOM[PPGridRow],30),0))/36.61</f>
        <v/>
      </c>
      <c r="AE82">
        <f>SUMPRODUCT((M_BOM[Part Name]=$A82)*M_BOM[RM_Qty_Per_Batch]*IFERROR(INDEX(PP_Grid[#Data],M_BOM[PPGridRow],31),0))/36.61</f>
        <v/>
      </c>
      <c r="AF82">
        <f>SUMPRODUCT((M_BOM[Part Name]=$A82)*M_BOM[RM_Qty_Per_Batch]*IFERROR(INDEX(PP_Grid[#Data],M_BOM[PPGridRow],32),0))/36.61</f>
        <v/>
      </c>
      <c r="AG82">
        <f>SUMPRODUCT((M_BOM[Part Name]=$A82)*M_BOM[RM_Qty_Per_Batch]*IFERROR(INDEX(PP_Grid[#Data],M_BOM[PPGridRow],33),0))/36.61</f>
        <v/>
      </c>
      <c r="AH82">
        <f>SUMPRODUCT((M_BOM[Part Name]=$A82)*M_BOM[RM_Qty_Per_Batch]*IFERROR(INDEX(PP_Grid[#Data],M_BOM[PPGridRow],34),0))/36.61</f>
        <v/>
      </c>
      <c r="AI82">
        <f>SUMPRODUCT((M_BOM[Part Name]=$A82)*M_BOM[RM_Qty_Per_Batch]*IFERROR(INDEX(PP_Grid[#Data],M_BOM[PPGridRow],35),0))/36.61</f>
        <v/>
      </c>
      <c r="AJ82">
        <f>SUMPRODUCT((M_BOM[Part Name]=$A82)*M_BOM[RM_Qty_Per_Batch]*IFERROR(INDEX(PP_Grid[#Data],M_BOM[PPGridRow],36),0))/36.61</f>
        <v/>
      </c>
      <c r="AK82">
        <f>SUMPRODUCT((M_BOM[Part Name]=$A82)*M_BOM[RM_Qty_Per_Batch]*IFERROR(INDEX(PP_Grid[#Data],M_BOM[PPGridRow],37),0))/36.61</f>
        <v/>
      </c>
      <c r="AL82">
        <f>SUMPRODUCT((M_BOM[Part Name]=$A82)*M_BOM[RM_Qty_Per_Batch]*IFERROR(INDEX(PP_Grid[#Data],M_BOM[PPGridRow],38),0))/36.61</f>
        <v/>
      </c>
      <c r="AM82">
        <f>SUMPRODUCT((M_BOM[Part Name]=$A82)*M_BOM[RM_Qty_Per_Batch]*IFERROR(INDEX(PP_Grid[#Data],M_BOM[PPGridRow],39),0))/36.61</f>
        <v/>
      </c>
      <c r="AN82">
        <f>SUMPRODUCT((M_BOM[Part Name]=$A82)*M_BOM[RM_Qty_Per_Batch]*IFERROR(INDEX(PP_Grid[#Data],M_BOM[PPGridRow],40),0))/36.61</f>
        <v/>
      </c>
      <c r="AO82">
        <f>SUMPRODUCT((M_BOM[Part Name]=$A82)*M_BOM[RM_Qty_Per_Batch]*IFERROR(INDEX(PP_Grid[#Data],M_BOM[PPGridRow],41),0))/36.61</f>
        <v/>
      </c>
      <c r="AP82">
        <f>SUMPRODUCT((M_BOM[Part Name]=$A82)*M_BOM[RM_Qty_Per_Batch]*IFERROR(INDEX(PP_Grid[#Data],M_BOM[PPGridRow],42),0))/36.61</f>
        <v/>
      </c>
      <c r="AQ82">
        <f>SUMPRODUCT((M_BOM[Part Name]=$A82)*M_BOM[RM_Qty_Per_Batch]*IFERROR(INDEX(PP_Grid[#Data],M_BOM[PPGridRow],43),0))/36.61</f>
        <v/>
      </c>
      <c r="AR82">
        <f>SUMPRODUCT((M_BOM[Part Name]=$A82)*M_BOM[RM_Qty_Per_Batch]*IFERROR(INDEX(PP_Grid[#Data],M_BOM[PPGridRow],44),0))/36.61</f>
        <v/>
      </c>
      <c r="AS82">
        <f>SUMPRODUCT((M_BOM[Part Name]=$A82)*M_BOM[RM_Qty_Per_Batch]*IFERROR(INDEX(PP_Grid[#Data],M_BOM[PPGridRow],45),0))/36.61</f>
        <v/>
      </c>
      <c r="AT82">
        <f>SUMPRODUCT((M_BOM[Part Name]=$A82)*M_BOM[RM_Qty_Per_Batch]*IFERROR(INDEX(PP_Grid[#Data],M_BOM[PPGridRow],46),0))/36.61</f>
        <v/>
      </c>
      <c r="AU82">
        <f>SUMPRODUCT((M_BOM[Part Name]=$A82)*M_BOM[RM_Qty_Per_Batch]*IFERROR(INDEX(PP_Grid[#Data],M_BOM[PPGridRow],47),0))/36.61</f>
        <v/>
      </c>
      <c r="AV82">
        <f>SUMPRODUCT((M_BOM[Part Name]=$A82)*M_BOM[RM_Qty_Per_Batch]*IFERROR(INDEX(PP_Grid[#Data],M_BOM[PPGridRow],48),0))/36.61</f>
        <v/>
      </c>
      <c r="AW82">
        <f>SUMPRODUCT((M_BOM[Part Name]=$A82)*M_BOM[RM_Qty_Per_Batch]*IFERROR(INDEX(PP_Grid[#Data],M_BOM[PPGridRow],49),0))/36.61</f>
        <v/>
      </c>
      <c r="AX82">
        <f>SUMPRODUCT((M_BOM[Part Name]=$A82)*M_BOM[RM_Qty_Per_Batch]*IFERROR(INDEX(PP_Grid[#Data],M_BOM[PPGridRow],50),0))/36.61</f>
        <v/>
      </c>
      <c r="AY82">
        <f>SUMPRODUCT((M_BOM[Part Name]=$A82)*M_BOM[RM_Qty_Per_Batch]*IFERROR(INDEX(PP_Grid[#Data],M_BOM[PPGridRow],51),0))/36.61</f>
        <v/>
      </c>
      <c r="AZ82">
        <f>SUMPRODUCT((M_BOM[Part Name]=$A82)*M_BOM[RM_Qty_Per_Batch]*IFERROR(INDEX(PP_Grid[#Data],M_BOM[PPGridRow],52),0))/36.61</f>
        <v/>
      </c>
      <c r="BA82">
        <f>SUMPRODUCT((M_BOM[Part Name]=$A82)*M_BOM[RM_Qty_Per_Batch]*IFERROR(INDEX(PP_Grid[#Data],M_BOM[PPGridRow],53),0))/36.61</f>
        <v/>
      </c>
      <c r="BB82">
        <f>SUMPRODUCT((M_BOM[Part Name]=$A82)*M_BOM[RM_Qty_Per_Batch]*IFERROR(INDEX(PP_Grid[#Data],M_BOM[PPGridRow],54),0))/36.61</f>
        <v/>
      </c>
      <c r="BC82">
        <f>SUMPRODUCT((M_BOM[Part Name]=$A82)*M_BOM[RM_Qty_Per_Batch]*IFERROR(INDEX(PP_Grid[#Data],M_BOM[PPGridRow],55),0))/36.61</f>
        <v/>
      </c>
      <c r="BD82">
        <f>SUMPRODUCT((M_BOM[Part Name]=$A82)*M_BOM[RM_Qty_Per_Batch]*IFERROR(INDEX(PP_Grid[#Data],M_BOM[PPGridRow],56),0))/36.61</f>
        <v/>
      </c>
      <c r="BE82">
        <f>SUMPRODUCT((M_BOM[Part Name]=$A82)*M_BOM[RM_Qty_Per_Batch]*IFERROR(INDEX(PP_Grid[#Data],M_BOM[PPGridRow],57),0))/36.61</f>
        <v/>
      </c>
      <c r="BF82">
        <f>SUMPRODUCT((M_BOM[Part Name]=$A82)*M_BOM[RM_Qty_Per_Batch]*IFERROR(INDEX(PP_Grid[#Data],M_BOM[PPGridRow],58),0))/36.61</f>
        <v/>
      </c>
      <c r="BG82">
        <f>SUMPRODUCT((M_BOM[Part Name]=$A82)*M_BOM[RM_Qty_Per_Batch]*IFERROR(INDEX(PP_Grid[#Data],M_BOM[PPGridRow],59),0))/36.61</f>
        <v/>
      </c>
      <c r="BH82">
        <f>SUMPRODUCT((M_BOM[Part Name]=$A82)*M_BOM[RM_Qty_Per_Batch]*IFERROR(INDEX(PP_Grid[#Data],M_BOM[PPGridRow],60),0))/36.61</f>
        <v/>
      </c>
      <c r="BI82">
        <f>SUMPRODUCT((M_BOM[Part Name]=$A82)*M_BOM[RM_Qty_Per_Batch]*IFERROR(INDEX(PP_Grid[#Data],M_BOM[PPGridRow],61),0))/36.61</f>
        <v/>
      </c>
      <c r="BJ82">
        <f>SUMPRODUCT((M_BOM[Part Name]=$A82)*M_BOM[RM_Qty_Per_Batch]*IFERROR(INDEX(PP_Grid[#Data],M_BOM[PPGridRow],62),0))/36.61</f>
        <v/>
      </c>
      <c r="BK82">
        <f>SUMPRODUCT((M_BOM[Part Name]=$A82)*M_BOM[RM_Qty_Per_Batch]*IFERROR(INDEX(PP_Grid[#Data],M_BOM[PPGridRow],63),0))/36.61</f>
        <v/>
      </c>
      <c r="BL82">
        <f>SUMPRODUCT((M_BOM[Part Name]=$A82)*M_BOM[RM_Qty_Per_Batch]*IFERROR(INDEX(PP_Grid[#Data],M_BOM[PPGridRow],64),0))/36.61</f>
        <v/>
      </c>
      <c r="BM82">
        <f>SUMPRODUCT((M_BOM[Part Name]=$A82)*M_BOM[RM_Qty_Per_Batch]*IFERROR(INDEX(PP_Grid[#Data],M_BOM[PPGridRow],65),0))/36.61</f>
        <v/>
      </c>
      <c r="BN82">
        <f>SUMPRODUCT((M_BOM[Part Name]=$A82)*M_BOM[RM_Qty_Per_Batch]*IFERROR(INDEX(PP_Grid[#Data],M_BOM[PPGridRow],66),0))/36.61</f>
        <v/>
      </c>
      <c r="BO82">
        <f>SUMPRODUCT((M_BOM[Part Name]=$A82)*M_BOM[RM_Qty_Per_Batch]*IFERROR(INDEX(PP_Grid[#Data],M_BOM[PPGridRow],67),0))/36.61</f>
        <v/>
      </c>
      <c r="BP82">
        <f>SUMPRODUCT((M_BOM[Part Name]=$A82)*M_BOM[RM_Qty_Per_Batch]*IFERROR(INDEX(PP_Grid[#Data],M_BOM[PPGridRow],68),0))/36.61</f>
        <v/>
      </c>
      <c r="BQ82">
        <f>SUMPRODUCT((M_BOM[Part Name]=$A82)*M_BOM[RM_Qty_Per_Batch]*IFERROR(INDEX(PP_Grid[#Data],M_BOM[PPGridRow],69),0))/36.61</f>
        <v/>
      </c>
      <c r="BR82">
        <f>SUMPRODUCT((M_BOM[Part Name]=$A82)*M_BOM[RM_Qty_Per_Batch]*IFERROR(INDEX(PP_Grid[#Data],M_BOM[PPGridRow],70),0))/36.61</f>
        <v/>
      </c>
      <c r="BS82">
        <f>SUMPRODUCT((M_BOM[Part Name]=$A82)*M_BOM[RM_Qty_Per_Batch]*IFERROR(INDEX(PP_Grid[#Data],M_BOM[PPGridRow],71),0))/36.61</f>
        <v/>
      </c>
      <c r="BT82">
        <f>SUMPRODUCT((M_BOM[Part Name]=$A82)*M_BOM[RM_Qty_Per_Batch]*IFERROR(INDEX(PP_Grid[#Data],M_BOM[PPGridRow],72),0))/36.61</f>
        <v/>
      </c>
      <c r="BU82">
        <f>SUMPRODUCT((M_BOM[Part Name]=$A82)*M_BOM[RM_Qty_Per_Batch]*IFERROR(INDEX(PP_Grid[#Data],M_BOM[PPGridRow],73),0))/36.61</f>
        <v/>
      </c>
      <c r="BV82">
        <f>SUMPRODUCT((M_BOM[Part Name]=$A82)*M_BOM[RM_Qty_Per_Batch]*IFERROR(INDEX(PP_Grid[#Data],M_BOM[PPGridRow],74),0))/36.61</f>
        <v/>
      </c>
      <c r="BW82">
        <f>SUMPRODUCT((M_BOM[Part Name]=$A82)*M_BOM[RM_Qty_Per_Batch]*IFERROR(INDEX(PP_Grid[#Data],M_BOM[PPGridRow],75),0))/36.61</f>
        <v/>
      </c>
      <c r="BX82">
        <f>SUMPRODUCT((M_BOM[Part Name]=$A82)*M_BOM[RM_Qty_Per_Batch]*IFERROR(INDEX(PP_Grid[#Data],M_BOM[PPGridRow],76),0))/36.61</f>
        <v/>
      </c>
      <c r="BY82">
        <f>SUMPRODUCT((M_BOM[Part Name]=$A82)*M_BOM[RM_Qty_Per_Batch]*IFERROR(INDEX(PP_Grid[#Data],M_BOM[PPGridRow],77),0))/36.61</f>
        <v/>
      </c>
      <c r="BZ82">
        <f>SUMPRODUCT((M_BOM[Part Name]=$A82)*M_BOM[RM_Qty_Per_Batch]*IFERROR(INDEX(PP_Grid[#Data],M_BOM[PPGridRow],78),0))/36.61</f>
        <v/>
      </c>
      <c r="CA82">
        <f>SUMPRODUCT((M_BOM[Part Name]=$A82)*M_BOM[RM_Qty_Per_Batch]*IFERROR(INDEX(PP_Grid[#Data],M_BOM[PPGridRow],79),0))/36.61</f>
        <v/>
      </c>
      <c r="CB82">
        <f>SUMPRODUCT((M_BOM[Part Name]=$A82)*M_BOM[RM_Qty_Per_Batch]*IFERROR(INDEX(PP_Grid[#Data],M_BOM[PPGridRow],80),0))/36.61</f>
        <v/>
      </c>
      <c r="CC82">
        <f>SUMPRODUCT((M_BOM[Part Name]=$A82)*M_BOM[RM_Qty_Per_Batch]*IFERROR(INDEX(PP_Grid[#Data],M_BOM[PPGridRow],81),0))/36.61</f>
        <v/>
      </c>
      <c r="CD82">
        <f>SUMPRODUCT((M_BOM[Part Name]=$A82)*M_BOM[RM_Qty_Per_Batch]*IFERROR(INDEX(PP_Grid[#Data],M_BOM[PPGridRow],82),0))/36.61</f>
        <v/>
      </c>
      <c r="CE82">
        <f>SUMPRODUCT((M_BOM[Part Name]=$A82)*M_BOM[RM_Qty_Per_Batch]*IFERROR(INDEX(PP_Grid[#Data],M_BOM[PPGridRow],83),0))/36.61</f>
        <v/>
      </c>
      <c r="CF82">
        <f>SUMPRODUCT((M_BOM[Part Name]=$A82)*M_BOM[RM_Qty_Per_Batch]*IFERROR(INDEX(PP_Grid[#Data],M_BOM[PPGridRow],84),0))/36.61</f>
        <v/>
      </c>
      <c r="CG82">
        <f>SUMPRODUCT((M_BOM[Part Name]=$A82)*M_BOM[RM_Qty_Per_Batch]*IFERROR(INDEX(PP_Grid[#Data],M_BOM[PPGridRow],85),0))/36.61</f>
        <v/>
      </c>
      <c r="CH82">
        <f>SUMPRODUCT((M_BOM[Part Name]=$A82)*M_BOM[RM_Qty_Per_Batch]*IFERROR(INDEX(PP_Grid[#Data],M_BOM[PPGridRow],86),0))/36.61</f>
        <v/>
      </c>
      <c r="CI82">
        <f>SUMPRODUCT((M_BOM[Part Name]=$A82)*M_BOM[RM_Qty_Per_Batch]*IFERROR(INDEX(PP_Grid[#Data],M_BOM[PPGridRow],87),0))/36.61</f>
        <v/>
      </c>
      <c r="CJ82">
        <f>SUMPRODUCT((M_BOM[Part Name]=$A82)*M_BOM[RM_Qty_Per_Batch]*IFERROR(INDEX(PP_Grid[#Data],M_BOM[PPGridRow],88),0))/36.61</f>
        <v/>
      </c>
      <c r="CK82">
        <f>SUMPRODUCT((M_BOM[Part Name]=$A82)*M_BOM[RM_Qty_Per_Batch]*IFERROR(INDEX(PP_Grid[#Data],M_BOM[PPGridRow],89),0))/36.61</f>
        <v/>
      </c>
      <c r="CL82">
        <f>SUMPRODUCT((M_BOM[Part Name]=$A82)*M_BOM[RM_Qty_Per_Batch]*IFERROR(INDEX(PP_Grid[#Data],M_BOM[PPGridRow],90),0))/36.61</f>
        <v/>
      </c>
      <c r="CM82">
        <f>SUMPRODUCT((M_BOM[Part Name]=$A82)*M_BOM[RM_Qty_Per_Batch]*IFERROR(INDEX(PP_Grid[#Data],M_BOM[PPGridRow],91),0))/36.61</f>
        <v/>
      </c>
      <c r="CN82">
        <f>SUMPRODUCT((M_BOM[Part Name]=$A82)*M_BOM[RM_Qty_Per_Batch]*IFERROR(INDEX(PP_Grid[#Data],M_BOM[PPGridRow],92),0))/36.61</f>
        <v/>
      </c>
      <c r="CO82">
        <f>SUMPRODUCT((M_BOM[Part Name]=$A82)*M_BOM[RM_Qty_Per_Batch]*IFERROR(INDEX(PP_Grid[#Data],M_BOM[PPGridRow],93),0))/36.61</f>
        <v/>
      </c>
      <c r="CP82">
        <f>SUMPRODUCT((M_BOM[Part Name]=$A82)*M_BOM[RM_Qty_Per_Batch]*IFERROR(INDEX(PP_Grid[#Data],M_BOM[PPGridRow],94),0))/36.61</f>
        <v/>
      </c>
      <c r="CQ82">
        <f>SUMPRODUCT((M_BOM[Part Name]=$A82)*M_BOM[RM_Qty_Per_Batch]*IFERROR(INDEX(PP_Grid[#Data],M_BOM[PPGridRow],95),0))/36.61</f>
        <v/>
      </c>
      <c r="CR82">
        <f>SUMPRODUCT((M_BOM[Part Name]=$A82)*M_BOM[RM_Qty_Per_Batch]*IFERROR(INDEX(PP_Grid[#Data],M_BOM[PPGridRow],96),0))/36.61</f>
        <v/>
      </c>
      <c r="CS82">
        <f>SUMPRODUCT((M_BOM[Part Name]=$A82)*M_BOM[RM_Qty_Per_Batch]*IFERROR(INDEX(PP_Grid[#Data],M_BOM[PPGridRow],97),0))/36.61</f>
        <v/>
      </c>
      <c r="CT82">
        <f>SUMPRODUCT((M_BOM[Part Name]=$A82)*M_BOM[RM_Qty_Per_Batch]*IFERROR(INDEX(PP_Grid[#Data],M_BOM[PPGridRow],98),0))/36.61</f>
        <v/>
      </c>
      <c r="CU82">
        <f>SUMPRODUCT((M_BOM[Part Name]=$A82)*M_BOM[RM_Qty_Per_Batch]*IFERROR(INDEX(PP_Grid[#Data],M_BOM[PPGridRow],99),0))/36.61</f>
        <v/>
      </c>
      <c r="CV82">
        <f>SUMPRODUCT((M_BOM[Part Name]=$A82)*M_BOM[RM_Qty_Per_Batch]*IFERROR(INDEX(PP_Grid[#Data],M_BOM[PPGridRow],100),0))/36.61</f>
        <v/>
      </c>
      <c r="CW82">
        <f>SUMPRODUCT((M_BOM[Part Name]=$A82)*M_BOM[RM_Qty_Per_Batch]*IFERROR(INDEX(PP_Grid[#Data],M_BOM[PPGridRow],101),0))/36.61</f>
        <v/>
      </c>
      <c r="CX82">
        <f>SUMPRODUCT((M_BOM[Part Name]=$A82)*M_BOM[RM_Qty_Per_Batch]*IFERROR(INDEX(PP_Grid[#Data],M_BOM[PPGridRow],102),0))/36.61</f>
        <v/>
      </c>
      <c r="CY82">
        <f>SUMPRODUCT((M_BOM[Part Name]=$A82)*M_BOM[RM_Qty_Per_Batch]*IFERROR(INDEX(PP_Grid[#Data],M_BOM[PPGridRow],103),0))/36.61</f>
        <v/>
      </c>
      <c r="CZ82">
        <f>SUMPRODUCT((M_BOM[Part Name]=$A82)*M_BOM[RM_Qty_Per_Batch]*IFERROR(INDEX(PP_Grid[#Data],M_BOM[PPGridRow],104),0))/36.61</f>
        <v/>
      </c>
      <c r="DA82">
        <f>SUMPRODUCT((M_BOM[Part Name]=$A82)*M_BOM[RM_Qty_Per_Batch]*IFERROR(INDEX(PP_Grid[#Data],M_BOM[PPGridRow],105),0))/36.61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Name]=$A83)*M_BOM[RM_Qty_Per_Batch]*IFERROR(INDEX(PP_Grid[#Data],M_BOM[PPGridRow],2),0))/29.82</f>
        <v/>
      </c>
      <c r="C83">
        <f>SUMPRODUCT((M_BOM[Part Name]=$A83)*M_BOM[RM_Qty_Per_Batch]*IFERROR(INDEX(PP_Grid[#Data],M_BOM[PPGridRow],3),0))/29.82</f>
        <v/>
      </c>
      <c r="D83">
        <f>SUMPRODUCT((M_BOM[Part Name]=$A83)*M_BOM[RM_Qty_Per_Batch]*IFERROR(INDEX(PP_Grid[#Data],M_BOM[PPGridRow],4),0))/29.82</f>
        <v/>
      </c>
      <c r="E83">
        <f>SUMPRODUCT((M_BOM[Part Name]=$A83)*M_BOM[RM_Qty_Per_Batch]*IFERROR(INDEX(PP_Grid[#Data],M_BOM[PPGridRow],5),0))/29.82</f>
        <v/>
      </c>
      <c r="F83">
        <f>SUMPRODUCT((M_BOM[Part Name]=$A83)*M_BOM[RM_Qty_Per_Batch]*IFERROR(INDEX(PP_Grid[#Data],M_BOM[PPGridRow],6),0))/29.82</f>
        <v/>
      </c>
      <c r="G83">
        <f>SUMPRODUCT((M_BOM[Part Name]=$A83)*M_BOM[RM_Qty_Per_Batch]*IFERROR(INDEX(PP_Grid[#Data],M_BOM[PPGridRow],7),0))/29.82</f>
        <v/>
      </c>
      <c r="H83">
        <f>SUMPRODUCT((M_BOM[Part Name]=$A83)*M_BOM[RM_Qty_Per_Batch]*IFERROR(INDEX(PP_Grid[#Data],M_BOM[PPGridRow],8),0))/29.82</f>
        <v/>
      </c>
      <c r="I83">
        <f>SUMPRODUCT((M_BOM[Part Name]=$A83)*M_BOM[RM_Qty_Per_Batch]*IFERROR(INDEX(PP_Grid[#Data],M_BOM[PPGridRow],9),0))/29.82</f>
        <v/>
      </c>
      <c r="J83">
        <f>SUMPRODUCT((M_BOM[Part Name]=$A83)*M_BOM[RM_Qty_Per_Batch]*IFERROR(INDEX(PP_Grid[#Data],M_BOM[PPGridRow],10),0))/29.82</f>
        <v/>
      </c>
      <c r="K83">
        <f>SUMPRODUCT((M_BOM[Part Name]=$A83)*M_BOM[RM_Qty_Per_Batch]*IFERROR(INDEX(PP_Grid[#Data],M_BOM[PPGridRow],11),0))/29.82</f>
        <v/>
      </c>
      <c r="L83">
        <f>SUMPRODUCT((M_BOM[Part Name]=$A83)*M_BOM[RM_Qty_Per_Batch]*IFERROR(INDEX(PP_Grid[#Data],M_BOM[PPGridRow],12),0))/29.82</f>
        <v/>
      </c>
      <c r="M83">
        <f>SUMPRODUCT((M_BOM[Part Name]=$A83)*M_BOM[RM_Qty_Per_Batch]*IFERROR(INDEX(PP_Grid[#Data],M_BOM[PPGridRow],13),0))/29.82</f>
        <v/>
      </c>
      <c r="N83">
        <f>SUMPRODUCT((M_BOM[Part Name]=$A83)*M_BOM[RM_Qty_Per_Batch]*IFERROR(INDEX(PP_Grid[#Data],M_BOM[PPGridRow],14),0))/29.82</f>
        <v/>
      </c>
      <c r="O83">
        <f>SUMPRODUCT((M_BOM[Part Name]=$A83)*M_BOM[RM_Qty_Per_Batch]*IFERROR(INDEX(PP_Grid[#Data],M_BOM[PPGridRow],15),0))/29.82</f>
        <v/>
      </c>
      <c r="P83">
        <f>SUMPRODUCT((M_BOM[Part Name]=$A83)*M_BOM[RM_Qty_Per_Batch]*IFERROR(INDEX(PP_Grid[#Data],M_BOM[PPGridRow],16),0))/29.82</f>
        <v/>
      </c>
      <c r="Q83">
        <f>SUMPRODUCT((M_BOM[Part Name]=$A83)*M_BOM[RM_Qty_Per_Batch]*IFERROR(INDEX(PP_Grid[#Data],M_BOM[PPGridRow],17),0))/29.82</f>
        <v/>
      </c>
      <c r="R83">
        <f>SUMPRODUCT((M_BOM[Part Name]=$A83)*M_BOM[RM_Qty_Per_Batch]*IFERROR(INDEX(PP_Grid[#Data],M_BOM[PPGridRow],18),0))/29.82</f>
        <v/>
      </c>
      <c r="S83">
        <f>SUMPRODUCT((M_BOM[Part Name]=$A83)*M_BOM[RM_Qty_Per_Batch]*IFERROR(INDEX(PP_Grid[#Data],M_BOM[PPGridRow],19),0))/29.82</f>
        <v/>
      </c>
      <c r="T83">
        <f>SUMPRODUCT((M_BOM[Part Name]=$A83)*M_BOM[RM_Qty_Per_Batch]*IFERROR(INDEX(PP_Grid[#Data],M_BOM[PPGridRow],20),0))/29.82</f>
        <v/>
      </c>
      <c r="U83">
        <f>SUMPRODUCT((M_BOM[Part Name]=$A83)*M_BOM[RM_Qty_Per_Batch]*IFERROR(INDEX(PP_Grid[#Data],M_BOM[PPGridRow],21),0))/29.82</f>
        <v/>
      </c>
      <c r="V83">
        <f>SUMPRODUCT((M_BOM[Part Name]=$A83)*M_BOM[RM_Qty_Per_Batch]*IFERROR(INDEX(PP_Grid[#Data],M_BOM[PPGridRow],22),0))/29.82</f>
        <v/>
      </c>
      <c r="W83">
        <f>SUMPRODUCT((M_BOM[Part Name]=$A83)*M_BOM[RM_Qty_Per_Batch]*IFERROR(INDEX(PP_Grid[#Data],M_BOM[PPGridRow],23),0))/29.82</f>
        <v/>
      </c>
      <c r="X83">
        <f>SUMPRODUCT((M_BOM[Part Name]=$A83)*M_BOM[RM_Qty_Per_Batch]*IFERROR(INDEX(PP_Grid[#Data],M_BOM[PPGridRow],24),0))/29.82</f>
        <v/>
      </c>
      <c r="Y83">
        <f>SUMPRODUCT((M_BOM[Part Name]=$A83)*M_BOM[RM_Qty_Per_Batch]*IFERROR(INDEX(PP_Grid[#Data],M_BOM[PPGridRow],25),0))/29.82</f>
        <v/>
      </c>
      <c r="Z83">
        <f>SUMPRODUCT((M_BOM[Part Name]=$A83)*M_BOM[RM_Qty_Per_Batch]*IFERROR(INDEX(PP_Grid[#Data],M_BOM[PPGridRow],26),0))/29.82</f>
        <v/>
      </c>
      <c r="AA83">
        <f>SUMPRODUCT((M_BOM[Part Name]=$A83)*M_BOM[RM_Qty_Per_Batch]*IFERROR(INDEX(PP_Grid[#Data],M_BOM[PPGridRow],27),0))/29.82</f>
        <v/>
      </c>
      <c r="AB83">
        <f>SUMPRODUCT((M_BOM[Part Name]=$A83)*M_BOM[RM_Qty_Per_Batch]*IFERROR(INDEX(PP_Grid[#Data],M_BOM[PPGridRow],28),0))/29.82</f>
        <v/>
      </c>
      <c r="AC83">
        <f>SUMPRODUCT((M_BOM[Part Name]=$A83)*M_BOM[RM_Qty_Per_Batch]*IFERROR(INDEX(PP_Grid[#Data],M_BOM[PPGridRow],29),0))/29.82</f>
        <v/>
      </c>
      <c r="AD83">
        <f>SUMPRODUCT((M_BOM[Part Name]=$A83)*M_BOM[RM_Qty_Per_Batch]*IFERROR(INDEX(PP_Grid[#Data],M_BOM[PPGridRow],30),0))/29.82</f>
        <v/>
      </c>
      <c r="AE83">
        <f>SUMPRODUCT((M_BOM[Part Name]=$A83)*M_BOM[RM_Qty_Per_Batch]*IFERROR(INDEX(PP_Grid[#Data],M_BOM[PPGridRow],31),0))/29.82</f>
        <v/>
      </c>
      <c r="AF83">
        <f>SUMPRODUCT((M_BOM[Part Name]=$A83)*M_BOM[RM_Qty_Per_Batch]*IFERROR(INDEX(PP_Grid[#Data],M_BOM[PPGridRow],32),0))/29.82</f>
        <v/>
      </c>
      <c r="AG83">
        <f>SUMPRODUCT((M_BOM[Part Name]=$A83)*M_BOM[RM_Qty_Per_Batch]*IFERROR(INDEX(PP_Grid[#Data],M_BOM[PPGridRow],33),0))/29.82</f>
        <v/>
      </c>
      <c r="AH83">
        <f>SUMPRODUCT((M_BOM[Part Name]=$A83)*M_BOM[RM_Qty_Per_Batch]*IFERROR(INDEX(PP_Grid[#Data],M_BOM[PPGridRow],34),0))/29.82</f>
        <v/>
      </c>
      <c r="AI83">
        <f>SUMPRODUCT((M_BOM[Part Name]=$A83)*M_BOM[RM_Qty_Per_Batch]*IFERROR(INDEX(PP_Grid[#Data],M_BOM[PPGridRow],35),0))/29.82</f>
        <v/>
      </c>
      <c r="AJ83">
        <f>SUMPRODUCT((M_BOM[Part Name]=$A83)*M_BOM[RM_Qty_Per_Batch]*IFERROR(INDEX(PP_Grid[#Data],M_BOM[PPGridRow],36),0))/29.82</f>
        <v/>
      </c>
      <c r="AK83">
        <f>SUMPRODUCT((M_BOM[Part Name]=$A83)*M_BOM[RM_Qty_Per_Batch]*IFERROR(INDEX(PP_Grid[#Data],M_BOM[PPGridRow],37),0))/29.82</f>
        <v/>
      </c>
      <c r="AL83">
        <f>SUMPRODUCT((M_BOM[Part Name]=$A83)*M_BOM[RM_Qty_Per_Batch]*IFERROR(INDEX(PP_Grid[#Data],M_BOM[PPGridRow],38),0))/29.82</f>
        <v/>
      </c>
      <c r="AM83">
        <f>SUMPRODUCT((M_BOM[Part Name]=$A83)*M_BOM[RM_Qty_Per_Batch]*IFERROR(INDEX(PP_Grid[#Data],M_BOM[PPGridRow],39),0))/29.82</f>
        <v/>
      </c>
      <c r="AN83">
        <f>SUMPRODUCT((M_BOM[Part Name]=$A83)*M_BOM[RM_Qty_Per_Batch]*IFERROR(INDEX(PP_Grid[#Data],M_BOM[PPGridRow],40),0))/29.82</f>
        <v/>
      </c>
      <c r="AO83">
        <f>SUMPRODUCT((M_BOM[Part Name]=$A83)*M_BOM[RM_Qty_Per_Batch]*IFERROR(INDEX(PP_Grid[#Data],M_BOM[PPGridRow],41),0))/29.82</f>
        <v/>
      </c>
      <c r="AP83">
        <f>SUMPRODUCT((M_BOM[Part Name]=$A83)*M_BOM[RM_Qty_Per_Batch]*IFERROR(INDEX(PP_Grid[#Data],M_BOM[PPGridRow],42),0))/29.82</f>
        <v/>
      </c>
      <c r="AQ83">
        <f>SUMPRODUCT((M_BOM[Part Name]=$A83)*M_BOM[RM_Qty_Per_Batch]*IFERROR(INDEX(PP_Grid[#Data],M_BOM[PPGridRow],43),0))/29.82</f>
        <v/>
      </c>
      <c r="AR83">
        <f>SUMPRODUCT((M_BOM[Part Name]=$A83)*M_BOM[RM_Qty_Per_Batch]*IFERROR(INDEX(PP_Grid[#Data],M_BOM[PPGridRow],44),0))/29.82</f>
        <v/>
      </c>
      <c r="AS83">
        <f>SUMPRODUCT((M_BOM[Part Name]=$A83)*M_BOM[RM_Qty_Per_Batch]*IFERROR(INDEX(PP_Grid[#Data],M_BOM[PPGridRow],45),0))/29.82</f>
        <v/>
      </c>
      <c r="AT83">
        <f>SUMPRODUCT((M_BOM[Part Name]=$A83)*M_BOM[RM_Qty_Per_Batch]*IFERROR(INDEX(PP_Grid[#Data],M_BOM[PPGridRow],46),0))/29.82</f>
        <v/>
      </c>
      <c r="AU83">
        <f>SUMPRODUCT((M_BOM[Part Name]=$A83)*M_BOM[RM_Qty_Per_Batch]*IFERROR(INDEX(PP_Grid[#Data],M_BOM[PPGridRow],47),0))/29.82</f>
        <v/>
      </c>
      <c r="AV83">
        <f>SUMPRODUCT((M_BOM[Part Name]=$A83)*M_BOM[RM_Qty_Per_Batch]*IFERROR(INDEX(PP_Grid[#Data],M_BOM[PPGridRow],48),0))/29.82</f>
        <v/>
      </c>
      <c r="AW83">
        <f>SUMPRODUCT((M_BOM[Part Name]=$A83)*M_BOM[RM_Qty_Per_Batch]*IFERROR(INDEX(PP_Grid[#Data],M_BOM[PPGridRow],49),0))/29.82</f>
        <v/>
      </c>
      <c r="AX83">
        <f>SUMPRODUCT((M_BOM[Part Name]=$A83)*M_BOM[RM_Qty_Per_Batch]*IFERROR(INDEX(PP_Grid[#Data],M_BOM[PPGridRow],50),0))/29.82</f>
        <v/>
      </c>
      <c r="AY83">
        <f>SUMPRODUCT((M_BOM[Part Name]=$A83)*M_BOM[RM_Qty_Per_Batch]*IFERROR(INDEX(PP_Grid[#Data],M_BOM[PPGridRow],51),0))/29.82</f>
        <v/>
      </c>
      <c r="AZ83">
        <f>SUMPRODUCT((M_BOM[Part Name]=$A83)*M_BOM[RM_Qty_Per_Batch]*IFERROR(INDEX(PP_Grid[#Data],M_BOM[PPGridRow],52),0))/29.82</f>
        <v/>
      </c>
      <c r="BA83">
        <f>SUMPRODUCT((M_BOM[Part Name]=$A83)*M_BOM[RM_Qty_Per_Batch]*IFERROR(INDEX(PP_Grid[#Data],M_BOM[PPGridRow],53),0))/29.82</f>
        <v/>
      </c>
      <c r="BB83">
        <f>SUMPRODUCT((M_BOM[Part Name]=$A83)*M_BOM[RM_Qty_Per_Batch]*IFERROR(INDEX(PP_Grid[#Data],M_BOM[PPGridRow],54),0))/29.82</f>
        <v/>
      </c>
      <c r="BC83">
        <f>SUMPRODUCT((M_BOM[Part Name]=$A83)*M_BOM[RM_Qty_Per_Batch]*IFERROR(INDEX(PP_Grid[#Data],M_BOM[PPGridRow],55),0))/29.82</f>
        <v/>
      </c>
      <c r="BD83">
        <f>SUMPRODUCT((M_BOM[Part Name]=$A83)*M_BOM[RM_Qty_Per_Batch]*IFERROR(INDEX(PP_Grid[#Data],M_BOM[PPGridRow],56),0))/29.82</f>
        <v/>
      </c>
      <c r="BE83">
        <f>SUMPRODUCT((M_BOM[Part Name]=$A83)*M_BOM[RM_Qty_Per_Batch]*IFERROR(INDEX(PP_Grid[#Data],M_BOM[PPGridRow],57),0))/29.82</f>
        <v/>
      </c>
      <c r="BF83">
        <f>SUMPRODUCT((M_BOM[Part Name]=$A83)*M_BOM[RM_Qty_Per_Batch]*IFERROR(INDEX(PP_Grid[#Data],M_BOM[PPGridRow],58),0))/29.82</f>
        <v/>
      </c>
      <c r="BG83">
        <f>SUMPRODUCT((M_BOM[Part Name]=$A83)*M_BOM[RM_Qty_Per_Batch]*IFERROR(INDEX(PP_Grid[#Data],M_BOM[PPGridRow],59),0))/29.82</f>
        <v/>
      </c>
      <c r="BH83">
        <f>SUMPRODUCT((M_BOM[Part Name]=$A83)*M_BOM[RM_Qty_Per_Batch]*IFERROR(INDEX(PP_Grid[#Data],M_BOM[PPGridRow],60),0))/29.82</f>
        <v/>
      </c>
      <c r="BI83">
        <f>SUMPRODUCT((M_BOM[Part Name]=$A83)*M_BOM[RM_Qty_Per_Batch]*IFERROR(INDEX(PP_Grid[#Data],M_BOM[PPGridRow],61),0))/29.82</f>
        <v/>
      </c>
      <c r="BJ83">
        <f>SUMPRODUCT((M_BOM[Part Name]=$A83)*M_BOM[RM_Qty_Per_Batch]*IFERROR(INDEX(PP_Grid[#Data],M_BOM[PPGridRow],62),0))/29.82</f>
        <v/>
      </c>
      <c r="BK83">
        <f>SUMPRODUCT((M_BOM[Part Name]=$A83)*M_BOM[RM_Qty_Per_Batch]*IFERROR(INDEX(PP_Grid[#Data],M_BOM[PPGridRow],63),0))/29.82</f>
        <v/>
      </c>
      <c r="BL83">
        <f>SUMPRODUCT((M_BOM[Part Name]=$A83)*M_BOM[RM_Qty_Per_Batch]*IFERROR(INDEX(PP_Grid[#Data],M_BOM[PPGridRow],64),0))/29.82</f>
        <v/>
      </c>
      <c r="BM83">
        <f>SUMPRODUCT((M_BOM[Part Name]=$A83)*M_BOM[RM_Qty_Per_Batch]*IFERROR(INDEX(PP_Grid[#Data],M_BOM[PPGridRow],65),0))/29.82</f>
        <v/>
      </c>
      <c r="BN83">
        <f>SUMPRODUCT((M_BOM[Part Name]=$A83)*M_BOM[RM_Qty_Per_Batch]*IFERROR(INDEX(PP_Grid[#Data],M_BOM[PPGridRow],66),0))/29.82</f>
        <v/>
      </c>
      <c r="BO83">
        <f>SUMPRODUCT((M_BOM[Part Name]=$A83)*M_BOM[RM_Qty_Per_Batch]*IFERROR(INDEX(PP_Grid[#Data],M_BOM[PPGridRow],67),0))/29.82</f>
        <v/>
      </c>
      <c r="BP83">
        <f>SUMPRODUCT((M_BOM[Part Name]=$A83)*M_BOM[RM_Qty_Per_Batch]*IFERROR(INDEX(PP_Grid[#Data],M_BOM[PPGridRow],68),0))/29.82</f>
        <v/>
      </c>
      <c r="BQ83">
        <f>SUMPRODUCT((M_BOM[Part Name]=$A83)*M_BOM[RM_Qty_Per_Batch]*IFERROR(INDEX(PP_Grid[#Data],M_BOM[PPGridRow],69),0))/29.82</f>
        <v/>
      </c>
      <c r="BR83">
        <f>SUMPRODUCT((M_BOM[Part Name]=$A83)*M_BOM[RM_Qty_Per_Batch]*IFERROR(INDEX(PP_Grid[#Data],M_BOM[PPGridRow],70),0))/29.82</f>
        <v/>
      </c>
      <c r="BS83">
        <f>SUMPRODUCT((M_BOM[Part Name]=$A83)*M_BOM[RM_Qty_Per_Batch]*IFERROR(INDEX(PP_Grid[#Data],M_BOM[PPGridRow],71),0))/29.82</f>
        <v/>
      </c>
      <c r="BT83">
        <f>SUMPRODUCT((M_BOM[Part Name]=$A83)*M_BOM[RM_Qty_Per_Batch]*IFERROR(INDEX(PP_Grid[#Data],M_BOM[PPGridRow],72),0))/29.82</f>
        <v/>
      </c>
      <c r="BU83">
        <f>SUMPRODUCT((M_BOM[Part Name]=$A83)*M_BOM[RM_Qty_Per_Batch]*IFERROR(INDEX(PP_Grid[#Data],M_BOM[PPGridRow],73),0))/29.82</f>
        <v/>
      </c>
      <c r="BV83">
        <f>SUMPRODUCT((M_BOM[Part Name]=$A83)*M_BOM[RM_Qty_Per_Batch]*IFERROR(INDEX(PP_Grid[#Data],M_BOM[PPGridRow],74),0))/29.82</f>
        <v/>
      </c>
      <c r="BW83">
        <f>SUMPRODUCT((M_BOM[Part Name]=$A83)*M_BOM[RM_Qty_Per_Batch]*IFERROR(INDEX(PP_Grid[#Data],M_BOM[PPGridRow],75),0))/29.82</f>
        <v/>
      </c>
      <c r="BX83">
        <f>SUMPRODUCT((M_BOM[Part Name]=$A83)*M_BOM[RM_Qty_Per_Batch]*IFERROR(INDEX(PP_Grid[#Data],M_BOM[PPGridRow],76),0))/29.82</f>
        <v/>
      </c>
      <c r="BY83">
        <f>SUMPRODUCT((M_BOM[Part Name]=$A83)*M_BOM[RM_Qty_Per_Batch]*IFERROR(INDEX(PP_Grid[#Data],M_BOM[PPGridRow],77),0))/29.82</f>
        <v/>
      </c>
      <c r="BZ83">
        <f>SUMPRODUCT((M_BOM[Part Name]=$A83)*M_BOM[RM_Qty_Per_Batch]*IFERROR(INDEX(PP_Grid[#Data],M_BOM[PPGridRow],78),0))/29.82</f>
        <v/>
      </c>
      <c r="CA83">
        <f>SUMPRODUCT((M_BOM[Part Name]=$A83)*M_BOM[RM_Qty_Per_Batch]*IFERROR(INDEX(PP_Grid[#Data],M_BOM[PPGridRow],79),0))/29.82</f>
        <v/>
      </c>
      <c r="CB83">
        <f>SUMPRODUCT((M_BOM[Part Name]=$A83)*M_BOM[RM_Qty_Per_Batch]*IFERROR(INDEX(PP_Grid[#Data],M_BOM[PPGridRow],80),0))/29.82</f>
        <v/>
      </c>
      <c r="CC83">
        <f>SUMPRODUCT((M_BOM[Part Name]=$A83)*M_BOM[RM_Qty_Per_Batch]*IFERROR(INDEX(PP_Grid[#Data],M_BOM[PPGridRow],81),0))/29.82</f>
        <v/>
      </c>
      <c r="CD83">
        <f>SUMPRODUCT((M_BOM[Part Name]=$A83)*M_BOM[RM_Qty_Per_Batch]*IFERROR(INDEX(PP_Grid[#Data],M_BOM[PPGridRow],82),0))/29.82</f>
        <v/>
      </c>
      <c r="CE83">
        <f>SUMPRODUCT((M_BOM[Part Name]=$A83)*M_BOM[RM_Qty_Per_Batch]*IFERROR(INDEX(PP_Grid[#Data],M_BOM[PPGridRow],83),0))/29.82</f>
        <v/>
      </c>
      <c r="CF83">
        <f>SUMPRODUCT((M_BOM[Part Name]=$A83)*M_BOM[RM_Qty_Per_Batch]*IFERROR(INDEX(PP_Grid[#Data],M_BOM[PPGridRow],84),0))/29.82</f>
        <v/>
      </c>
      <c r="CG83">
        <f>SUMPRODUCT((M_BOM[Part Name]=$A83)*M_BOM[RM_Qty_Per_Batch]*IFERROR(INDEX(PP_Grid[#Data],M_BOM[PPGridRow],85),0))/29.82</f>
        <v/>
      </c>
      <c r="CH83">
        <f>SUMPRODUCT((M_BOM[Part Name]=$A83)*M_BOM[RM_Qty_Per_Batch]*IFERROR(INDEX(PP_Grid[#Data],M_BOM[PPGridRow],86),0))/29.82</f>
        <v/>
      </c>
      <c r="CI83">
        <f>SUMPRODUCT((M_BOM[Part Name]=$A83)*M_BOM[RM_Qty_Per_Batch]*IFERROR(INDEX(PP_Grid[#Data],M_BOM[PPGridRow],87),0))/29.82</f>
        <v/>
      </c>
      <c r="CJ83">
        <f>SUMPRODUCT((M_BOM[Part Name]=$A83)*M_BOM[RM_Qty_Per_Batch]*IFERROR(INDEX(PP_Grid[#Data],M_BOM[PPGridRow],88),0))/29.82</f>
        <v/>
      </c>
      <c r="CK83">
        <f>SUMPRODUCT((M_BOM[Part Name]=$A83)*M_BOM[RM_Qty_Per_Batch]*IFERROR(INDEX(PP_Grid[#Data],M_BOM[PPGridRow],89),0))/29.82</f>
        <v/>
      </c>
      <c r="CL83">
        <f>SUMPRODUCT((M_BOM[Part Name]=$A83)*M_BOM[RM_Qty_Per_Batch]*IFERROR(INDEX(PP_Grid[#Data],M_BOM[PPGridRow],90),0))/29.82</f>
        <v/>
      </c>
      <c r="CM83">
        <f>SUMPRODUCT((M_BOM[Part Name]=$A83)*M_BOM[RM_Qty_Per_Batch]*IFERROR(INDEX(PP_Grid[#Data],M_BOM[PPGridRow],91),0))/29.82</f>
        <v/>
      </c>
      <c r="CN83">
        <f>SUMPRODUCT((M_BOM[Part Name]=$A83)*M_BOM[RM_Qty_Per_Batch]*IFERROR(INDEX(PP_Grid[#Data],M_BOM[PPGridRow],92),0))/29.82</f>
        <v/>
      </c>
      <c r="CO83">
        <f>SUMPRODUCT((M_BOM[Part Name]=$A83)*M_BOM[RM_Qty_Per_Batch]*IFERROR(INDEX(PP_Grid[#Data],M_BOM[PPGridRow],93),0))/29.82</f>
        <v/>
      </c>
      <c r="CP83">
        <f>SUMPRODUCT((M_BOM[Part Name]=$A83)*M_BOM[RM_Qty_Per_Batch]*IFERROR(INDEX(PP_Grid[#Data],M_BOM[PPGridRow],94),0))/29.82</f>
        <v/>
      </c>
      <c r="CQ83">
        <f>SUMPRODUCT((M_BOM[Part Name]=$A83)*M_BOM[RM_Qty_Per_Batch]*IFERROR(INDEX(PP_Grid[#Data],M_BOM[PPGridRow],95),0))/29.82</f>
        <v/>
      </c>
      <c r="CR83">
        <f>SUMPRODUCT((M_BOM[Part Name]=$A83)*M_BOM[RM_Qty_Per_Batch]*IFERROR(INDEX(PP_Grid[#Data],M_BOM[PPGridRow],96),0))/29.82</f>
        <v/>
      </c>
      <c r="CS83">
        <f>SUMPRODUCT((M_BOM[Part Name]=$A83)*M_BOM[RM_Qty_Per_Batch]*IFERROR(INDEX(PP_Grid[#Data],M_BOM[PPGridRow],97),0))/29.82</f>
        <v/>
      </c>
      <c r="CT83">
        <f>SUMPRODUCT((M_BOM[Part Name]=$A83)*M_BOM[RM_Qty_Per_Batch]*IFERROR(INDEX(PP_Grid[#Data],M_BOM[PPGridRow],98),0))/29.82</f>
        <v/>
      </c>
      <c r="CU83">
        <f>SUMPRODUCT((M_BOM[Part Name]=$A83)*M_BOM[RM_Qty_Per_Batch]*IFERROR(INDEX(PP_Grid[#Data],M_BOM[PPGridRow],99),0))/29.82</f>
        <v/>
      </c>
      <c r="CV83">
        <f>SUMPRODUCT((M_BOM[Part Name]=$A83)*M_BOM[RM_Qty_Per_Batch]*IFERROR(INDEX(PP_Grid[#Data],M_BOM[PPGridRow],100),0))/29.82</f>
        <v/>
      </c>
      <c r="CW83">
        <f>SUMPRODUCT((M_BOM[Part Name]=$A83)*M_BOM[RM_Qty_Per_Batch]*IFERROR(INDEX(PP_Grid[#Data],M_BOM[PPGridRow],101),0))/29.82</f>
        <v/>
      </c>
      <c r="CX83">
        <f>SUMPRODUCT((M_BOM[Part Name]=$A83)*M_BOM[RM_Qty_Per_Batch]*IFERROR(INDEX(PP_Grid[#Data],M_BOM[PPGridRow],102),0))/29.82</f>
        <v/>
      </c>
      <c r="CY83">
        <f>SUMPRODUCT((M_BOM[Part Name]=$A83)*M_BOM[RM_Qty_Per_Batch]*IFERROR(INDEX(PP_Grid[#Data],M_BOM[PPGridRow],103),0))/29.82</f>
        <v/>
      </c>
      <c r="CZ83">
        <f>SUMPRODUCT((M_BOM[Part Name]=$A83)*M_BOM[RM_Qty_Per_Batch]*IFERROR(INDEX(PP_Grid[#Data],M_BOM[PPGridRow],104),0))/29.82</f>
        <v/>
      </c>
      <c r="DA83">
        <f>SUMPRODUCT((M_BOM[Part Name]=$A83)*M_BOM[RM_Qty_Per_Batch]*IFERROR(INDEX(PP_Grid[#Data],M_BOM[PPGridRow],105),0))/29.82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Name]=$A84)*M_BOM[RM_Qty_Per_Batch]*IFERROR(INDEX(PP_Grid[#Data],M_BOM[PPGridRow],2),0))/52.15</f>
        <v/>
      </c>
      <c r="C84">
        <f>SUMPRODUCT((M_BOM[Part Name]=$A84)*M_BOM[RM_Qty_Per_Batch]*IFERROR(INDEX(PP_Grid[#Data],M_BOM[PPGridRow],3),0))/52.15</f>
        <v/>
      </c>
      <c r="D84">
        <f>SUMPRODUCT((M_BOM[Part Name]=$A84)*M_BOM[RM_Qty_Per_Batch]*IFERROR(INDEX(PP_Grid[#Data],M_BOM[PPGridRow],4),0))/52.15</f>
        <v/>
      </c>
      <c r="E84">
        <f>SUMPRODUCT((M_BOM[Part Name]=$A84)*M_BOM[RM_Qty_Per_Batch]*IFERROR(INDEX(PP_Grid[#Data],M_BOM[PPGridRow],5),0))/52.15</f>
        <v/>
      </c>
      <c r="F84">
        <f>SUMPRODUCT((M_BOM[Part Name]=$A84)*M_BOM[RM_Qty_Per_Batch]*IFERROR(INDEX(PP_Grid[#Data],M_BOM[PPGridRow],6),0))/52.15</f>
        <v/>
      </c>
      <c r="G84">
        <f>SUMPRODUCT((M_BOM[Part Name]=$A84)*M_BOM[RM_Qty_Per_Batch]*IFERROR(INDEX(PP_Grid[#Data],M_BOM[PPGridRow],7),0))/52.15</f>
        <v/>
      </c>
      <c r="H84">
        <f>SUMPRODUCT((M_BOM[Part Name]=$A84)*M_BOM[RM_Qty_Per_Batch]*IFERROR(INDEX(PP_Grid[#Data],M_BOM[PPGridRow],8),0))/52.15</f>
        <v/>
      </c>
      <c r="I84">
        <f>SUMPRODUCT((M_BOM[Part Name]=$A84)*M_BOM[RM_Qty_Per_Batch]*IFERROR(INDEX(PP_Grid[#Data],M_BOM[PPGridRow],9),0))/52.15</f>
        <v/>
      </c>
      <c r="J84">
        <f>SUMPRODUCT((M_BOM[Part Name]=$A84)*M_BOM[RM_Qty_Per_Batch]*IFERROR(INDEX(PP_Grid[#Data],M_BOM[PPGridRow],10),0))/52.15</f>
        <v/>
      </c>
      <c r="K84">
        <f>SUMPRODUCT((M_BOM[Part Name]=$A84)*M_BOM[RM_Qty_Per_Batch]*IFERROR(INDEX(PP_Grid[#Data],M_BOM[PPGridRow],11),0))/52.15</f>
        <v/>
      </c>
      <c r="L84">
        <f>SUMPRODUCT((M_BOM[Part Name]=$A84)*M_BOM[RM_Qty_Per_Batch]*IFERROR(INDEX(PP_Grid[#Data],M_BOM[PPGridRow],12),0))/52.15</f>
        <v/>
      </c>
      <c r="M84">
        <f>SUMPRODUCT((M_BOM[Part Name]=$A84)*M_BOM[RM_Qty_Per_Batch]*IFERROR(INDEX(PP_Grid[#Data],M_BOM[PPGridRow],13),0))/52.15</f>
        <v/>
      </c>
      <c r="N84">
        <f>SUMPRODUCT((M_BOM[Part Name]=$A84)*M_BOM[RM_Qty_Per_Batch]*IFERROR(INDEX(PP_Grid[#Data],M_BOM[PPGridRow],14),0))/52.15</f>
        <v/>
      </c>
      <c r="O84">
        <f>SUMPRODUCT((M_BOM[Part Name]=$A84)*M_BOM[RM_Qty_Per_Batch]*IFERROR(INDEX(PP_Grid[#Data],M_BOM[PPGridRow],15),0))/52.15</f>
        <v/>
      </c>
      <c r="P84">
        <f>SUMPRODUCT((M_BOM[Part Name]=$A84)*M_BOM[RM_Qty_Per_Batch]*IFERROR(INDEX(PP_Grid[#Data],M_BOM[PPGridRow],16),0))/52.15</f>
        <v/>
      </c>
      <c r="Q84">
        <f>SUMPRODUCT((M_BOM[Part Name]=$A84)*M_BOM[RM_Qty_Per_Batch]*IFERROR(INDEX(PP_Grid[#Data],M_BOM[PPGridRow],17),0))/52.15</f>
        <v/>
      </c>
      <c r="R84">
        <f>SUMPRODUCT((M_BOM[Part Name]=$A84)*M_BOM[RM_Qty_Per_Batch]*IFERROR(INDEX(PP_Grid[#Data],M_BOM[PPGridRow],18),0))/52.15</f>
        <v/>
      </c>
      <c r="S84">
        <f>SUMPRODUCT((M_BOM[Part Name]=$A84)*M_BOM[RM_Qty_Per_Batch]*IFERROR(INDEX(PP_Grid[#Data],M_BOM[PPGridRow],19),0))/52.15</f>
        <v/>
      </c>
      <c r="T84">
        <f>SUMPRODUCT((M_BOM[Part Name]=$A84)*M_BOM[RM_Qty_Per_Batch]*IFERROR(INDEX(PP_Grid[#Data],M_BOM[PPGridRow],20),0))/52.15</f>
        <v/>
      </c>
      <c r="U84">
        <f>SUMPRODUCT((M_BOM[Part Name]=$A84)*M_BOM[RM_Qty_Per_Batch]*IFERROR(INDEX(PP_Grid[#Data],M_BOM[PPGridRow],21),0))/52.15</f>
        <v/>
      </c>
      <c r="V84">
        <f>SUMPRODUCT((M_BOM[Part Name]=$A84)*M_BOM[RM_Qty_Per_Batch]*IFERROR(INDEX(PP_Grid[#Data],M_BOM[PPGridRow],22),0))/52.15</f>
        <v/>
      </c>
      <c r="W84">
        <f>SUMPRODUCT((M_BOM[Part Name]=$A84)*M_BOM[RM_Qty_Per_Batch]*IFERROR(INDEX(PP_Grid[#Data],M_BOM[PPGridRow],23),0))/52.15</f>
        <v/>
      </c>
      <c r="X84">
        <f>SUMPRODUCT((M_BOM[Part Name]=$A84)*M_BOM[RM_Qty_Per_Batch]*IFERROR(INDEX(PP_Grid[#Data],M_BOM[PPGridRow],24),0))/52.15</f>
        <v/>
      </c>
      <c r="Y84">
        <f>SUMPRODUCT((M_BOM[Part Name]=$A84)*M_BOM[RM_Qty_Per_Batch]*IFERROR(INDEX(PP_Grid[#Data],M_BOM[PPGridRow],25),0))/52.15</f>
        <v/>
      </c>
      <c r="Z84">
        <f>SUMPRODUCT((M_BOM[Part Name]=$A84)*M_BOM[RM_Qty_Per_Batch]*IFERROR(INDEX(PP_Grid[#Data],M_BOM[PPGridRow],26),0))/52.15</f>
        <v/>
      </c>
      <c r="AA84">
        <f>SUMPRODUCT((M_BOM[Part Name]=$A84)*M_BOM[RM_Qty_Per_Batch]*IFERROR(INDEX(PP_Grid[#Data],M_BOM[PPGridRow],27),0))/52.15</f>
        <v/>
      </c>
      <c r="AB84">
        <f>SUMPRODUCT((M_BOM[Part Name]=$A84)*M_BOM[RM_Qty_Per_Batch]*IFERROR(INDEX(PP_Grid[#Data],M_BOM[PPGridRow],28),0))/52.15</f>
        <v/>
      </c>
      <c r="AC84">
        <f>SUMPRODUCT((M_BOM[Part Name]=$A84)*M_BOM[RM_Qty_Per_Batch]*IFERROR(INDEX(PP_Grid[#Data],M_BOM[PPGridRow],29),0))/52.15</f>
        <v/>
      </c>
      <c r="AD84">
        <f>SUMPRODUCT((M_BOM[Part Name]=$A84)*M_BOM[RM_Qty_Per_Batch]*IFERROR(INDEX(PP_Grid[#Data],M_BOM[PPGridRow],30),0))/52.15</f>
        <v/>
      </c>
      <c r="AE84">
        <f>SUMPRODUCT((M_BOM[Part Name]=$A84)*M_BOM[RM_Qty_Per_Batch]*IFERROR(INDEX(PP_Grid[#Data],M_BOM[PPGridRow],31),0))/52.15</f>
        <v/>
      </c>
      <c r="AF84">
        <f>SUMPRODUCT((M_BOM[Part Name]=$A84)*M_BOM[RM_Qty_Per_Batch]*IFERROR(INDEX(PP_Grid[#Data],M_BOM[PPGridRow],32),0))/52.15</f>
        <v/>
      </c>
      <c r="AG84">
        <f>SUMPRODUCT((M_BOM[Part Name]=$A84)*M_BOM[RM_Qty_Per_Batch]*IFERROR(INDEX(PP_Grid[#Data],M_BOM[PPGridRow],33),0))/52.15</f>
        <v/>
      </c>
      <c r="AH84">
        <f>SUMPRODUCT((M_BOM[Part Name]=$A84)*M_BOM[RM_Qty_Per_Batch]*IFERROR(INDEX(PP_Grid[#Data],M_BOM[PPGridRow],34),0))/52.15</f>
        <v/>
      </c>
      <c r="AI84">
        <f>SUMPRODUCT((M_BOM[Part Name]=$A84)*M_BOM[RM_Qty_Per_Batch]*IFERROR(INDEX(PP_Grid[#Data],M_BOM[PPGridRow],35),0))/52.15</f>
        <v/>
      </c>
      <c r="AJ84">
        <f>SUMPRODUCT((M_BOM[Part Name]=$A84)*M_BOM[RM_Qty_Per_Batch]*IFERROR(INDEX(PP_Grid[#Data],M_BOM[PPGridRow],36),0))/52.15</f>
        <v/>
      </c>
      <c r="AK84">
        <f>SUMPRODUCT((M_BOM[Part Name]=$A84)*M_BOM[RM_Qty_Per_Batch]*IFERROR(INDEX(PP_Grid[#Data],M_BOM[PPGridRow],37),0))/52.15</f>
        <v/>
      </c>
      <c r="AL84">
        <f>SUMPRODUCT((M_BOM[Part Name]=$A84)*M_BOM[RM_Qty_Per_Batch]*IFERROR(INDEX(PP_Grid[#Data],M_BOM[PPGridRow],38),0))/52.15</f>
        <v/>
      </c>
      <c r="AM84">
        <f>SUMPRODUCT((M_BOM[Part Name]=$A84)*M_BOM[RM_Qty_Per_Batch]*IFERROR(INDEX(PP_Grid[#Data],M_BOM[PPGridRow],39),0))/52.15</f>
        <v/>
      </c>
      <c r="AN84">
        <f>SUMPRODUCT((M_BOM[Part Name]=$A84)*M_BOM[RM_Qty_Per_Batch]*IFERROR(INDEX(PP_Grid[#Data],M_BOM[PPGridRow],40),0))/52.15</f>
        <v/>
      </c>
      <c r="AO84">
        <f>SUMPRODUCT((M_BOM[Part Name]=$A84)*M_BOM[RM_Qty_Per_Batch]*IFERROR(INDEX(PP_Grid[#Data],M_BOM[PPGridRow],41),0))/52.15</f>
        <v/>
      </c>
      <c r="AP84">
        <f>SUMPRODUCT((M_BOM[Part Name]=$A84)*M_BOM[RM_Qty_Per_Batch]*IFERROR(INDEX(PP_Grid[#Data],M_BOM[PPGridRow],42),0))/52.15</f>
        <v/>
      </c>
      <c r="AQ84">
        <f>SUMPRODUCT((M_BOM[Part Name]=$A84)*M_BOM[RM_Qty_Per_Batch]*IFERROR(INDEX(PP_Grid[#Data],M_BOM[PPGridRow],43),0))/52.15</f>
        <v/>
      </c>
      <c r="AR84">
        <f>SUMPRODUCT((M_BOM[Part Name]=$A84)*M_BOM[RM_Qty_Per_Batch]*IFERROR(INDEX(PP_Grid[#Data],M_BOM[PPGridRow],44),0))/52.15</f>
        <v/>
      </c>
      <c r="AS84">
        <f>SUMPRODUCT((M_BOM[Part Name]=$A84)*M_BOM[RM_Qty_Per_Batch]*IFERROR(INDEX(PP_Grid[#Data],M_BOM[PPGridRow],45),0))/52.15</f>
        <v/>
      </c>
      <c r="AT84">
        <f>SUMPRODUCT((M_BOM[Part Name]=$A84)*M_BOM[RM_Qty_Per_Batch]*IFERROR(INDEX(PP_Grid[#Data],M_BOM[PPGridRow],46),0))/52.15</f>
        <v/>
      </c>
      <c r="AU84">
        <f>SUMPRODUCT((M_BOM[Part Name]=$A84)*M_BOM[RM_Qty_Per_Batch]*IFERROR(INDEX(PP_Grid[#Data],M_BOM[PPGridRow],47),0))/52.15</f>
        <v/>
      </c>
      <c r="AV84">
        <f>SUMPRODUCT((M_BOM[Part Name]=$A84)*M_BOM[RM_Qty_Per_Batch]*IFERROR(INDEX(PP_Grid[#Data],M_BOM[PPGridRow],48),0))/52.15</f>
        <v/>
      </c>
      <c r="AW84">
        <f>SUMPRODUCT((M_BOM[Part Name]=$A84)*M_BOM[RM_Qty_Per_Batch]*IFERROR(INDEX(PP_Grid[#Data],M_BOM[PPGridRow],49),0))/52.15</f>
        <v/>
      </c>
      <c r="AX84">
        <f>SUMPRODUCT((M_BOM[Part Name]=$A84)*M_BOM[RM_Qty_Per_Batch]*IFERROR(INDEX(PP_Grid[#Data],M_BOM[PPGridRow],50),0))/52.15</f>
        <v/>
      </c>
      <c r="AY84">
        <f>SUMPRODUCT((M_BOM[Part Name]=$A84)*M_BOM[RM_Qty_Per_Batch]*IFERROR(INDEX(PP_Grid[#Data],M_BOM[PPGridRow],51),0))/52.15</f>
        <v/>
      </c>
      <c r="AZ84">
        <f>SUMPRODUCT((M_BOM[Part Name]=$A84)*M_BOM[RM_Qty_Per_Batch]*IFERROR(INDEX(PP_Grid[#Data],M_BOM[PPGridRow],52),0))/52.15</f>
        <v/>
      </c>
      <c r="BA84">
        <f>SUMPRODUCT((M_BOM[Part Name]=$A84)*M_BOM[RM_Qty_Per_Batch]*IFERROR(INDEX(PP_Grid[#Data],M_BOM[PPGridRow],53),0))/52.15</f>
        <v/>
      </c>
      <c r="BB84">
        <f>SUMPRODUCT((M_BOM[Part Name]=$A84)*M_BOM[RM_Qty_Per_Batch]*IFERROR(INDEX(PP_Grid[#Data],M_BOM[PPGridRow],54),0))/52.15</f>
        <v/>
      </c>
      <c r="BC84">
        <f>SUMPRODUCT((M_BOM[Part Name]=$A84)*M_BOM[RM_Qty_Per_Batch]*IFERROR(INDEX(PP_Grid[#Data],M_BOM[PPGridRow],55),0))/52.15</f>
        <v/>
      </c>
      <c r="BD84">
        <f>SUMPRODUCT((M_BOM[Part Name]=$A84)*M_BOM[RM_Qty_Per_Batch]*IFERROR(INDEX(PP_Grid[#Data],M_BOM[PPGridRow],56),0))/52.15</f>
        <v/>
      </c>
      <c r="BE84">
        <f>SUMPRODUCT((M_BOM[Part Name]=$A84)*M_BOM[RM_Qty_Per_Batch]*IFERROR(INDEX(PP_Grid[#Data],M_BOM[PPGridRow],57),0))/52.15</f>
        <v/>
      </c>
      <c r="BF84">
        <f>SUMPRODUCT((M_BOM[Part Name]=$A84)*M_BOM[RM_Qty_Per_Batch]*IFERROR(INDEX(PP_Grid[#Data],M_BOM[PPGridRow],58),0))/52.15</f>
        <v/>
      </c>
      <c r="BG84">
        <f>SUMPRODUCT((M_BOM[Part Name]=$A84)*M_BOM[RM_Qty_Per_Batch]*IFERROR(INDEX(PP_Grid[#Data],M_BOM[PPGridRow],59),0))/52.15</f>
        <v/>
      </c>
      <c r="BH84">
        <f>SUMPRODUCT((M_BOM[Part Name]=$A84)*M_BOM[RM_Qty_Per_Batch]*IFERROR(INDEX(PP_Grid[#Data],M_BOM[PPGridRow],60),0))/52.15</f>
        <v/>
      </c>
      <c r="BI84">
        <f>SUMPRODUCT((M_BOM[Part Name]=$A84)*M_BOM[RM_Qty_Per_Batch]*IFERROR(INDEX(PP_Grid[#Data],M_BOM[PPGridRow],61),0))/52.15</f>
        <v/>
      </c>
      <c r="BJ84">
        <f>SUMPRODUCT((M_BOM[Part Name]=$A84)*M_BOM[RM_Qty_Per_Batch]*IFERROR(INDEX(PP_Grid[#Data],M_BOM[PPGridRow],62),0))/52.15</f>
        <v/>
      </c>
      <c r="BK84">
        <f>SUMPRODUCT((M_BOM[Part Name]=$A84)*M_BOM[RM_Qty_Per_Batch]*IFERROR(INDEX(PP_Grid[#Data],M_BOM[PPGridRow],63),0))/52.15</f>
        <v/>
      </c>
      <c r="BL84">
        <f>SUMPRODUCT((M_BOM[Part Name]=$A84)*M_BOM[RM_Qty_Per_Batch]*IFERROR(INDEX(PP_Grid[#Data],M_BOM[PPGridRow],64),0))/52.15</f>
        <v/>
      </c>
      <c r="BM84">
        <f>SUMPRODUCT((M_BOM[Part Name]=$A84)*M_BOM[RM_Qty_Per_Batch]*IFERROR(INDEX(PP_Grid[#Data],M_BOM[PPGridRow],65),0))/52.15</f>
        <v/>
      </c>
      <c r="BN84">
        <f>SUMPRODUCT((M_BOM[Part Name]=$A84)*M_BOM[RM_Qty_Per_Batch]*IFERROR(INDEX(PP_Grid[#Data],M_BOM[PPGridRow],66),0))/52.15</f>
        <v/>
      </c>
      <c r="BO84">
        <f>SUMPRODUCT((M_BOM[Part Name]=$A84)*M_BOM[RM_Qty_Per_Batch]*IFERROR(INDEX(PP_Grid[#Data],M_BOM[PPGridRow],67),0))/52.15</f>
        <v/>
      </c>
      <c r="BP84">
        <f>SUMPRODUCT((M_BOM[Part Name]=$A84)*M_BOM[RM_Qty_Per_Batch]*IFERROR(INDEX(PP_Grid[#Data],M_BOM[PPGridRow],68),0))/52.15</f>
        <v/>
      </c>
      <c r="BQ84">
        <f>SUMPRODUCT((M_BOM[Part Name]=$A84)*M_BOM[RM_Qty_Per_Batch]*IFERROR(INDEX(PP_Grid[#Data],M_BOM[PPGridRow],69),0))/52.15</f>
        <v/>
      </c>
      <c r="BR84">
        <f>SUMPRODUCT((M_BOM[Part Name]=$A84)*M_BOM[RM_Qty_Per_Batch]*IFERROR(INDEX(PP_Grid[#Data],M_BOM[PPGridRow],70),0))/52.15</f>
        <v/>
      </c>
      <c r="BS84">
        <f>SUMPRODUCT((M_BOM[Part Name]=$A84)*M_BOM[RM_Qty_Per_Batch]*IFERROR(INDEX(PP_Grid[#Data],M_BOM[PPGridRow],71),0))/52.15</f>
        <v/>
      </c>
      <c r="BT84">
        <f>SUMPRODUCT((M_BOM[Part Name]=$A84)*M_BOM[RM_Qty_Per_Batch]*IFERROR(INDEX(PP_Grid[#Data],M_BOM[PPGridRow],72),0))/52.15</f>
        <v/>
      </c>
      <c r="BU84">
        <f>SUMPRODUCT((M_BOM[Part Name]=$A84)*M_BOM[RM_Qty_Per_Batch]*IFERROR(INDEX(PP_Grid[#Data],M_BOM[PPGridRow],73),0))/52.15</f>
        <v/>
      </c>
      <c r="BV84">
        <f>SUMPRODUCT((M_BOM[Part Name]=$A84)*M_BOM[RM_Qty_Per_Batch]*IFERROR(INDEX(PP_Grid[#Data],M_BOM[PPGridRow],74),0))/52.15</f>
        <v/>
      </c>
      <c r="BW84">
        <f>SUMPRODUCT((M_BOM[Part Name]=$A84)*M_BOM[RM_Qty_Per_Batch]*IFERROR(INDEX(PP_Grid[#Data],M_BOM[PPGridRow],75),0))/52.15</f>
        <v/>
      </c>
      <c r="BX84">
        <f>SUMPRODUCT((M_BOM[Part Name]=$A84)*M_BOM[RM_Qty_Per_Batch]*IFERROR(INDEX(PP_Grid[#Data],M_BOM[PPGridRow],76),0))/52.15</f>
        <v/>
      </c>
      <c r="BY84">
        <f>SUMPRODUCT((M_BOM[Part Name]=$A84)*M_BOM[RM_Qty_Per_Batch]*IFERROR(INDEX(PP_Grid[#Data],M_BOM[PPGridRow],77),0))/52.15</f>
        <v/>
      </c>
      <c r="BZ84">
        <f>SUMPRODUCT((M_BOM[Part Name]=$A84)*M_BOM[RM_Qty_Per_Batch]*IFERROR(INDEX(PP_Grid[#Data],M_BOM[PPGridRow],78),0))/52.15</f>
        <v/>
      </c>
      <c r="CA84">
        <f>SUMPRODUCT((M_BOM[Part Name]=$A84)*M_BOM[RM_Qty_Per_Batch]*IFERROR(INDEX(PP_Grid[#Data],M_BOM[PPGridRow],79),0))/52.15</f>
        <v/>
      </c>
      <c r="CB84">
        <f>SUMPRODUCT((M_BOM[Part Name]=$A84)*M_BOM[RM_Qty_Per_Batch]*IFERROR(INDEX(PP_Grid[#Data],M_BOM[PPGridRow],80),0))/52.15</f>
        <v/>
      </c>
      <c r="CC84">
        <f>SUMPRODUCT((M_BOM[Part Name]=$A84)*M_BOM[RM_Qty_Per_Batch]*IFERROR(INDEX(PP_Grid[#Data],M_BOM[PPGridRow],81),0))/52.15</f>
        <v/>
      </c>
      <c r="CD84">
        <f>SUMPRODUCT((M_BOM[Part Name]=$A84)*M_BOM[RM_Qty_Per_Batch]*IFERROR(INDEX(PP_Grid[#Data],M_BOM[PPGridRow],82),0))/52.15</f>
        <v/>
      </c>
      <c r="CE84">
        <f>SUMPRODUCT((M_BOM[Part Name]=$A84)*M_BOM[RM_Qty_Per_Batch]*IFERROR(INDEX(PP_Grid[#Data],M_BOM[PPGridRow],83),0))/52.15</f>
        <v/>
      </c>
      <c r="CF84">
        <f>SUMPRODUCT((M_BOM[Part Name]=$A84)*M_BOM[RM_Qty_Per_Batch]*IFERROR(INDEX(PP_Grid[#Data],M_BOM[PPGridRow],84),0))/52.15</f>
        <v/>
      </c>
      <c r="CG84">
        <f>SUMPRODUCT((M_BOM[Part Name]=$A84)*M_BOM[RM_Qty_Per_Batch]*IFERROR(INDEX(PP_Grid[#Data],M_BOM[PPGridRow],85),0))/52.15</f>
        <v/>
      </c>
      <c r="CH84">
        <f>SUMPRODUCT((M_BOM[Part Name]=$A84)*M_BOM[RM_Qty_Per_Batch]*IFERROR(INDEX(PP_Grid[#Data],M_BOM[PPGridRow],86),0))/52.15</f>
        <v/>
      </c>
      <c r="CI84">
        <f>SUMPRODUCT((M_BOM[Part Name]=$A84)*M_BOM[RM_Qty_Per_Batch]*IFERROR(INDEX(PP_Grid[#Data],M_BOM[PPGridRow],87),0))/52.15</f>
        <v/>
      </c>
      <c r="CJ84">
        <f>SUMPRODUCT((M_BOM[Part Name]=$A84)*M_BOM[RM_Qty_Per_Batch]*IFERROR(INDEX(PP_Grid[#Data],M_BOM[PPGridRow],88),0))/52.15</f>
        <v/>
      </c>
      <c r="CK84">
        <f>SUMPRODUCT((M_BOM[Part Name]=$A84)*M_BOM[RM_Qty_Per_Batch]*IFERROR(INDEX(PP_Grid[#Data],M_BOM[PPGridRow],89),0))/52.15</f>
        <v/>
      </c>
      <c r="CL84">
        <f>SUMPRODUCT((M_BOM[Part Name]=$A84)*M_BOM[RM_Qty_Per_Batch]*IFERROR(INDEX(PP_Grid[#Data],M_BOM[PPGridRow],90),0))/52.15</f>
        <v/>
      </c>
      <c r="CM84">
        <f>SUMPRODUCT((M_BOM[Part Name]=$A84)*M_BOM[RM_Qty_Per_Batch]*IFERROR(INDEX(PP_Grid[#Data],M_BOM[PPGridRow],91),0))/52.15</f>
        <v/>
      </c>
      <c r="CN84">
        <f>SUMPRODUCT((M_BOM[Part Name]=$A84)*M_BOM[RM_Qty_Per_Batch]*IFERROR(INDEX(PP_Grid[#Data],M_BOM[PPGridRow],92),0))/52.15</f>
        <v/>
      </c>
      <c r="CO84">
        <f>SUMPRODUCT((M_BOM[Part Name]=$A84)*M_BOM[RM_Qty_Per_Batch]*IFERROR(INDEX(PP_Grid[#Data],M_BOM[PPGridRow],93),0))/52.15</f>
        <v/>
      </c>
      <c r="CP84">
        <f>SUMPRODUCT((M_BOM[Part Name]=$A84)*M_BOM[RM_Qty_Per_Batch]*IFERROR(INDEX(PP_Grid[#Data],M_BOM[PPGridRow],94),0))/52.15</f>
        <v/>
      </c>
      <c r="CQ84">
        <f>SUMPRODUCT((M_BOM[Part Name]=$A84)*M_BOM[RM_Qty_Per_Batch]*IFERROR(INDEX(PP_Grid[#Data],M_BOM[PPGridRow],95),0))/52.15</f>
        <v/>
      </c>
      <c r="CR84">
        <f>SUMPRODUCT((M_BOM[Part Name]=$A84)*M_BOM[RM_Qty_Per_Batch]*IFERROR(INDEX(PP_Grid[#Data],M_BOM[PPGridRow],96),0))/52.15</f>
        <v/>
      </c>
      <c r="CS84">
        <f>SUMPRODUCT((M_BOM[Part Name]=$A84)*M_BOM[RM_Qty_Per_Batch]*IFERROR(INDEX(PP_Grid[#Data],M_BOM[PPGridRow],97),0))/52.15</f>
        <v/>
      </c>
      <c r="CT84">
        <f>SUMPRODUCT((M_BOM[Part Name]=$A84)*M_BOM[RM_Qty_Per_Batch]*IFERROR(INDEX(PP_Grid[#Data],M_BOM[PPGridRow],98),0))/52.15</f>
        <v/>
      </c>
      <c r="CU84">
        <f>SUMPRODUCT((M_BOM[Part Name]=$A84)*M_BOM[RM_Qty_Per_Batch]*IFERROR(INDEX(PP_Grid[#Data],M_BOM[PPGridRow],99),0))/52.15</f>
        <v/>
      </c>
      <c r="CV84">
        <f>SUMPRODUCT((M_BOM[Part Name]=$A84)*M_BOM[RM_Qty_Per_Batch]*IFERROR(INDEX(PP_Grid[#Data],M_BOM[PPGridRow],100),0))/52.15</f>
        <v/>
      </c>
      <c r="CW84">
        <f>SUMPRODUCT((M_BOM[Part Name]=$A84)*M_BOM[RM_Qty_Per_Batch]*IFERROR(INDEX(PP_Grid[#Data],M_BOM[PPGridRow],101),0))/52.15</f>
        <v/>
      </c>
      <c r="CX84">
        <f>SUMPRODUCT((M_BOM[Part Name]=$A84)*M_BOM[RM_Qty_Per_Batch]*IFERROR(INDEX(PP_Grid[#Data],M_BOM[PPGridRow],102),0))/52.15</f>
        <v/>
      </c>
      <c r="CY84">
        <f>SUMPRODUCT((M_BOM[Part Name]=$A84)*M_BOM[RM_Qty_Per_Batch]*IFERROR(INDEX(PP_Grid[#Data],M_BOM[PPGridRow],103),0))/52.15</f>
        <v/>
      </c>
      <c r="CZ84">
        <f>SUMPRODUCT((M_BOM[Part Name]=$A84)*M_BOM[RM_Qty_Per_Batch]*IFERROR(INDEX(PP_Grid[#Data],M_BOM[PPGridRow],104),0))/52.15</f>
        <v/>
      </c>
      <c r="DA84">
        <f>SUMPRODUCT((M_BOM[Part Name]=$A84)*M_BOM[RM_Qty_Per_Batch]*IFERROR(INDEX(PP_Grid[#Data],M_BOM[PPGridRow],105),0))/52.15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Name]=$A85)*M_BOM[RM_Qty_Per_Batch]*IFERROR(INDEX(PP_Grid[#Data],M_BOM[PPGridRow],2),0))/51.73</f>
        <v/>
      </c>
      <c r="C85">
        <f>SUMPRODUCT((M_BOM[Part Name]=$A85)*M_BOM[RM_Qty_Per_Batch]*IFERROR(INDEX(PP_Grid[#Data],M_BOM[PPGridRow],3),0))/51.73</f>
        <v/>
      </c>
      <c r="D85">
        <f>SUMPRODUCT((M_BOM[Part Name]=$A85)*M_BOM[RM_Qty_Per_Batch]*IFERROR(INDEX(PP_Grid[#Data],M_BOM[PPGridRow],4),0))/51.73</f>
        <v/>
      </c>
      <c r="E85">
        <f>SUMPRODUCT((M_BOM[Part Name]=$A85)*M_BOM[RM_Qty_Per_Batch]*IFERROR(INDEX(PP_Grid[#Data],M_BOM[PPGridRow],5),0))/51.73</f>
        <v/>
      </c>
      <c r="F85">
        <f>SUMPRODUCT((M_BOM[Part Name]=$A85)*M_BOM[RM_Qty_Per_Batch]*IFERROR(INDEX(PP_Grid[#Data],M_BOM[PPGridRow],6),0))/51.73</f>
        <v/>
      </c>
      <c r="G85">
        <f>SUMPRODUCT((M_BOM[Part Name]=$A85)*M_BOM[RM_Qty_Per_Batch]*IFERROR(INDEX(PP_Grid[#Data],M_BOM[PPGridRow],7),0))/51.73</f>
        <v/>
      </c>
      <c r="H85">
        <f>SUMPRODUCT((M_BOM[Part Name]=$A85)*M_BOM[RM_Qty_Per_Batch]*IFERROR(INDEX(PP_Grid[#Data],M_BOM[PPGridRow],8),0))/51.73</f>
        <v/>
      </c>
      <c r="I85">
        <f>SUMPRODUCT((M_BOM[Part Name]=$A85)*M_BOM[RM_Qty_Per_Batch]*IFERROR(INDEX(PP_Grid[#Data],M_BOM[PPGridRow],9),0))/51.73</f>
        <v/>
      </c>
      <c r="J85">
        <f>SUMPRODUCT((M_BOM[Part Name]=$A85)*M_BOM[RM_Qty_Per_Batch]*IFERROR(INDEX(PP_Grid[#Data],M_BOM[PPGridRow],10),0))/51.73</f>
        <v/>
      </c>
      <c r="K85">
        <f>SUMPRODUCT((M_BOM[Part Name]=$A85)*M_BOM[RM_Qty_Per_Batch]*IFERROR(INDEX(PP_Grid[#Data],M_BOM[PPGridRow],11),0))/51.73</f>
        <v/>
      </c>
      <c r="L85">
        <f>SUMPRODUCT((M_BOM[Part Name]=$A85)*M_BOM[RM_Qty_Per_Batch]*IFERROR(INDEX(PP_Grid[#Data],M_BOM[PPGridRow],12),0))/51.73</f>
        <v/>
      </c>
      <c r="M85">
        <f>SUMPRODUCT((M_BOM[Part Name]=$A85)*M_BOM[RM_Qty_Per_Batch]*IFERROR(INDEX(PP_Grid[#Data],M_BOM[PPGridRow],13),0))/51.73</f>
        <v/>
      </c>
      <c r="N85">
        <f>SUMPRODUCT((M_BOM[Part Name]=$A85)*M_BOM[RM_Qty_Per_Batch]*IFERROR(INDEX(PP_Grid[#Data],M_BOM[PPGridRow],14),0))/51.73</f>
        <v/>
      </c>
      <c r="O85">
        <f>SUMPRODUCT((M_BOM[Part Name]=$A85)*M_BOM[RM_Qty_Per_Batch]*IFERROR(INDEX(PP_Grid[#Data],M_BOM[PPGridRow],15),0))/51.73</f>
        <v/>
      </c>
      <c r="P85">
        <f>SUMPRODUCT((M_BOM[Part Name]=$A85)*M_BOM[RM_Qty_Per_Batch]*IFERROR(INDEX(PP_Grid[#Data],M_BOM[PPGridRow],16),0))/51.73</f>
        <v/>
      </c>
      <c r="Q85">
        <f>SUMPRODUCT((M_BOM[Part Name]=$A85)*M_BOM[RM_Qty_Per_Batch]*IFERROR(INDEX(PP_Grid[#Data],M_BOM[PPGridRow],17),0))/51.73</f>
        <v/>
      </c>
      <c r="R85">
        <f>SUMPRODUCT((M_BOM[Part Name]=$A85)*M_BOM[RM_Qty_Per_Batch]*IFERROR(INDEX(PP_Grid[#Data],M_BOM[PPGridRow],18),0))/51.73</f>
        <v/>
      </c>
      <c r="S85">
        <f>SUMPRODUCT((M_BOM[Part Name]=$A85)*M_BOM[RM_Qty_Per_Batch]*IFERROR(INDEX(PP_Grid[#Data],M_BOM[PPGridRow],19),0))/51.73</f>
        <v/>
      </c>
      <c r="T85">
        <f>SUMPRODUCT((M_BOM[Part Name]=$A85)*M_BOM[RM_Qty_Per_Batch]*IFERROR(INDEX(PP_Grid[#Data],M_BOM[PPGridRow],20),0))/51.73</f>
        <v/>
      </c>
      <c r="U85">
        <f>SUMPRODUCT((M_BOM[Part Name]=$A85)*M_BOM[RM_Qty_Per_Batch]*IFERROR(INDEX(PP_Grid[#Data],M_BOM[PPGridRow],21),0))/51.73</f>
        <v/>
      </c>
      <c r="V85">
        <f>SUMPRODUCT((M_BOM[Part Name]=$A85)*M_BOM[RM_Qty_Per_Batch]*IFERROR(INDEX(PP_Grid[#Data],M_BOM[PPGridRow],22),0))/51.73</f>
        <v/>
      </c>
      <c r="W85">
        <f>SUMPRODUCT((M_BOM[Part Name]=$A85)*M_BOM[RM_Qty_Per_Batch]*IFERROR(INDEX(PP_Grid[#Data],M_BOM[PPGridRow],23),0))/51.73</f>
        <v/>
      </c>
      <c r="X85">
        <f>SUMPRODUCT((M_BOM[Part Name]=$A85)*M_BOM[RM_Qty_Per_Batch]*IFERROR(INDEX(PP_Grid[#Data],M_BOM[PPGridRow],24),0))/51.73</f>
        <v/>
      </c>
      <c r="Y85">
        <f>SUMPRODUCT((M_BOM[Part Name]=$A85)*M_BOM[RM_Qty_Per_Batch]*IFERROR(INDEX(PP_Grid[#Data],M_BOM[PPGridRow],25),0))/51.73</f>
        <v/>
      </c>
      <c r="Z85">
        <f>SUMPRODUCT((M_BOM[Part Name]=$A85)*M_BOM[RM_Qty_Per_Batch]*IFERROR(INDEX(PP_Grid[#Data],M_BOM[PPGridRow],26),0))/51.73</f>
        <v/>
      </c>
      <c r="AA85">
        <f>SUMPRODUCT((M_BOM[Part Name]=$A85)*M_BOM[RM_Qty_Per_Batch]*IFERROR(INDEX(PP_Grid[#Data],M_BOM[PPGridRow],27),0))/51.73</f>
        <v/>
      </c>
      <c r="AB85">
        <f>SUMPRODUCT((M_BOM[Part Name]=$A85)*M_BOM[RM_Qty_Per_Batch]*IFERROR(INDEX(PP_Grid[#Data],M_BOM[PPGridRow],28),0))/51.73</f>
        <v/>
      </c>
      <c r="AC85">
        <f>SUMPRODUCT((M_BOM[Part Name]=$A85)*M_BOM[RM_Qty_Per_Batch]*IFERROR(INDEX(PP_Grid[#Data],M_BOM[PPGridRow],29),0))/51.73</f>
        <v/>
      </c>
      <c r="AD85">
        <f>SUMPRODUCT((M_BOM[Part Name]=$A85)*M_BOM[RM_Qty_Per_Batch]*IFERROR(INDEX(PP_Grid[#Data],M_BOM[PPGridRow],30),0))/51.73</f>
        <v/>
      </c>
      <c r="AE85">
        <f>SUMPRODUCT((M_BOM[Part Name]=$A85)*M_BOM[RM_Qty_Per_Batch]*IFERROR(INDEX(PP_Grid[#Data],M_BOM[PPGridRow],31),0))/51.73</f>
        <v/>
      </c>
      <c r="AF85">
        <f>SUMPRODUCT((M_BOM[Part Name]=$A85)*M_BOM[RM_Qty_Per_Batch]*IFERROR(INDEX(PP_Grid[#Data],M_BOM[PPGridRow],32),0))/51.73</f>
        <v/>
      </c>
      <c r="AG85">
        <f>SUMPRODUCT((M_BOM[Part Name]=$A85)*M_BOM[RM_Qty_Per_Batch]*IFERROR(INDEX(PP_Grid[#Data],M_BOM[PPGridRow],33),0))/51.73</f>
        <v/>
      </c>
      <c r="AH85">
        <f>SUMPRODUCT((M_BOM[Part Name]=$A85)*M_BOM[RM_Qty_Per_Batch]*IFERROR(INDEX(PP_Grid[#Data],M_BOM[PPGridRow],34),0))/51.73</f>
        <v/>
      </c>
      <c r="AI85">
        <f>SUMPRODUCT((M_BOM[Part Name]=$A85)*M_BOM[RM_Qty_Per_Batch]*IFERROR(INDEX(PP_Grid[#Data],M_BOM[PPGridRow],35),0))/51.73</f>
        <v/>
      </c>
      <c r="AJ85">
        <f>SUMPRODUCT((M_BOM[Part Name]=$A85)*M_BOM[RM_Qty_Per_Batch]*IFERROR(INDEX(PP_Grid[#Data],M_BOM[PPGridRow],36),0))/51.73</f>
        <v/>
      </c>
      <c r="AK85">
        <f>SUMPRODUCT((M_BOM[Part Name]=$A85)*M_BOM[RM_Qty_Per_Batch]*IFERROR(INDEX(PP_Grid[#Data],M_BOM[PPGridRow],37),0))/51.73</f>
        <v/>
      </c>
      <c r="AL85">
        <f>SUMPRODUCT((M_BOM[Part Name]=$A85)*M_BOM[RM_Qty_Per_Batch]*IFERROR(INDEX(PP_Grid[#Data],M_BOM[PPGridRow],38),0))/51.73</f>
        <v/>
      </c>
      <c r="AM85">
        <f>SUMPRODUCT((M_BOM[Part Name]=$A85)*M_BOM[RM_Qty_Per_Batch]*IFERROR(INDEX(PP_Grid[#Data],M_BOM[PPGridRow],39),0))/51.73</f>
        <v/>
      </c>
      <c r="AN85">
        <f>SUMPRODUCT((M_BOM[Part Name]=$A85)*M_BOM[RM_Qty_Per_Batch]*IFERROR(INDEX(PP_Grid[#Data],M_BOM[PPGridRow],40),0))/51.73</f>
        <v/>
      </c>
      <c r="AO85">
        <f>SUMPRODUCT((M_BOM[Part Name]=$A85)*M_BOM[RM_Qty_Per_Batch]*IFERROR(INDEX(PP_Grid[#Data],M_BOM[PPGridRow],41),0))/51.73</f>
        <v/>
      </c>
      <c r="AP85">
        <f>SUMPRODUCT((M_BOM[Part Name]=$A85)*M_BOM[RM_Qty_Per_Batch]*IFERROR(INDEX(PP_Grid[#Data],M_BOM[PPGridRow],42),0))/51.73</f>
        <v/>
      </c>
      <c r="AQ85">
        <f>SUMPRODUCT((M_BOM[Part Name]=$A85)*M_BOM[RM_Qty_Per_Batch]*IFERROR(INDEX(PP_Grid[#Data],M_BOM[PPGridRow],43),0))/51.73</f>
        <v/>
      </c>
      <c r="AR85">
        <f>SUMPRODUCT((M_BOM[Part Name]=$A85)*M_BOM[RM_Qty_Per_Batch]*IFERROR(INDEX(PP_Grid[#Data],M_BOM[PPGridRow],44),0))/51.73</f>
        <v/>
      </c>
      <c r="AS85">
        <f>SUMPRODUCT((M_BOM[Part Name]=$A85)*M_BOM[RM_Qty_Per_Batch]*IFERROR(INDEX(PP_Grid[#Data],M_BOM[PPGridRow],45),0))/51.73</f>
        <v/>
      </c>
      <c r="AT85">
        <f>SUMPRODUCT((M_BOM[Part Name]=$A85)*M_BOM[RM_Qty_Per_Batch]*IFERROR(INDEX(PP_Grid[#Data],M_BOM[PPGridRow],46),0))/51.73</f>
        <v/>
      </c>
      <c r="AU85">
        <f>SUMPRODUCT((M_BOM[Part Name]=$A85)*M_BOM[RM_Qty_Per_Batch]*IFERROR(INDEX(PP_Grid[#Data],M_BOM[PPGridRow],47),0))/51.73</f>
        <v/>
      </c>
      <c r="AV85">
        <f>SUMPRODUCT((M_BOM[Part Name]=$A85)*M_BOM[RM_Qty_Per_Batch]*IFERROR(INDEX(PP_Grid[#Data],M_BOM[PPGridRow],48),0))/51.73</f>
        <v/>
      </c>
      <c r="AW85">
        <f>SUMPRODUCT((M_BOM[Part Name]=$A85)*M_BOM[RM_Qty_Per_Batch]*IFERROR(INDEX(PP_Grid[#Data],M_BOM[PPGridRow],49),0))/51.73</f>
        <v/>
      </c>
      <c r="AX85">
        <f>SUMPRODUCT((M_BOM[Part Name]=$A85)*M_BOM[RM_Qty_Per_Batch]*IFERROR(INDEX(PP_Grid[#Data],M_BOM[PPGridRow],50),0))/51.73</f>
        <v/>
      </c>
      <c r="AY85">
        <f>SUMPRODUCT((M_BOM[Part Name]=$A85)*M_BOM[RM_Qty_Per_Batch]*IFERROR(INDEX(PP_Grid[#Data],M_BOM[PPGridRow],51),0))/51.73</f>
        <v/>
      </c>
      <c r="AZ85">
        <f>SUMPRODUCT((M_BOM[Part Name]=$A85)*M_BOM[RM_Qty_Per_Batch]*IFERROR(INDEX(PP_Grid[#Data],M_BOM[PPGridRow],52),0))/51.73</f>
        <v/>
      </c>
      <c r="BA85">
        <f>SUMPRODUCT((M_BOM[Part Name]=$A85)*M_BOM[RM_Qty_Per_Batch]*IFERROR(INDEX(PP_Grid[#Data],M_BOM[PPGridRow],53),0))/51.73</f>
        <v/>
      </c>
      <c r="BB85">
        <f>SUMPRODUCT((M_BOM[Part Name]=$A85)*M_BOM[RM_Qty_Per_Batch]*IFERROR(INDEX(PP_Grid[#Data],M_BOM[PPGridRow],54),0))/51.73</f>
        <v/>
      </c>
      <c r="BC85">
        <f>SUMPRODUCT((M_BOM[Part Name]=$A85)*M_BOM[RM_Qty_Per_Batch]*IFERROR(INDEX(PP_Grid[#Data],M_BOM[PPGridRow],55),0))/51.73</f>
        <v/>
      </c>
      <c r="BD85">
        <f>SUMPRODUCT((M_BOM[Part Name]=$A85)*M_BOM[RM_Qty_Per_Batch]*IFERROR(INDEX(PP_Grid[#Data],M_BOM[PPGridRow],56),0))/51.73</f>
        <v/>
      </c>
      <c r="BE85">
        <f>SUMPRODUCT((M_BOM[Part Name]=$A85)*M_BOM[RM_Qty_Per_Batch]*IFERROR(INDEX(PP_Grid[#Data],M_BOM[PPGridRow],57),0))/51.73</f>
        <v/>
      </c>
      <c r="BF85">
        <f>SUMPRODUCT((M_BOM[Part Name]=$A85)*M_BOM[RM_Qty_Per_Batch]*IFERROR(INDEX(PP_Grid[#Data],M_BOM[PPGridRow],58),0))/51.73</f>
        <v/>
      </c>
      <c r="BG85">
        <f>SUMPRODUCT((M_BOM[Part Name]=$A85)*M_BOM[RM_Qty_Per_Batch]*IFERROR(INDEX(PP_Grid[#Data],M_BOM[PPGridRow],59),0))/51.73</f>
        <v/>
      </c>
      <c r="BH85">
        <f>SUMPRODUCT((M_BOM[Part Name]=$A85)*M_BOM[RM_Qty_Per_Batch]*IFERROR(INDEX(PP_Grid[#Data],M_BOM[PPGridRow],60),0))/51.73</f>
        <v/>
      </c>
      <c r="BI85">
        <f>SUMPRODUCT((M_BOM[Part Name]=$A85)*M_BOM[RM_Qty_Per_Batch]*IFERROR(INDEX(PP_Grid[#Data],M_BOM[PPGridRow],61),0))/51.73</f>
        <v/>
      </c>
      <c r="BJ85">
        <f>SUMPRODUCT((M_BOM[Part Name]=$A85)*M_BOM[RM_Qty_Per_Batch]*IFERROR(INDEX(PP_Grid[#Data],M_BOM[PPGridRow],62),0))/51.73</f>
        <v/>
      </c>
      <c r="BK85">
        <f>SUMPRODUCT((M_BOM[Part Name]=$A85)*M_BOM[RM_Qty_Per_Batch]*IFERROR(INDEX(PP_Grid[#Data],M_BOM[PPGridRow],63),0))/51.73</f>
        <v/>
      </c>
      <c r="BL85">
        <f>SUMPRODUCT((M_BOM[Part Name]=$A85)*M_BOM[RM_Qty_Per_Batch]*IFERROR(INDEX(PP_Grid[#Data],M_BOM[PPGridRow],64),0))/51.73</f>
        <v/>
      </c>
      <c r="BM85">
        <f>SUMPRODUCT((M_BOM[Part Name]=$A85)*M_BOM[RM_Qty_Per_Batch]*IFERROR(INDEX(PP_Grid[#Data],M_BOM[PPGridRow],65),0))/51.73</f>
        <v/>
      </c>
      <c r="BN85">
        <f>SUMPRODUCT((M_BOM[Part Name]=$A85)*M_BOM[RM_Qty_Per_Batch]*IFERROR(INDEX(PP_Grid[#Data],M_BOM[PPGridRow],66),0))/51.73</f>
        <v/>
      </c>
      <c r="BO85">
        <f>SUMPRODUCT((M_BOM[Part Name]=$A85)*M_BOM[RM_Qty_Per_Batch]*IFERROR(INDEX(PP_Grid[#Data],M_BOM[PPGridRow],67),0))/51.73</f>
        <v/>
      </c>
      <c r="BP85">
        <f>SUMPRODUCT((M_BOM[Part Name]=$A85)*M_BOM[RM_Qty_Per_Batch]*IFERROR(INDEX(PP_Grid[#Data],M_BOM[PPGridRow],68),0))/51.73</f>
        <v/>
      </c>
      <c r="BQ85">
        <f>SUMPRODUCT((M_BOM[Part Name]=$A85)*M_BOM[RM_Qty_Per_Batch]*IFERROR(INDEX(PP_Grid[#Data],M_BOM[PPGridRow],69),0))/51.73</f>
        <v/>
      </c>
      <c r="BR85">
        <f>SUMPRODUCT((M_BOM[Part Name]=$A85)*M_BOM[RM_Qty_Per_Batch]*IFERROR(INDEX(PP_Grid[#Data],M_BOM[PPGridRow],70),0))/51.73</f>
        <v/>
      </c>
      <c r="BS85">
        <f>SUMPRODUCT((M_BOM[Part Name]=$A85)*M_BOM[RM_Qty_Per_Batch]*IFERROR(INDEX(PP_Grid[#Data],M_BOM[PPGridRow],71),0))/51.73</f>
        <v/>
      </c>
      <c r="BT85">
        <f>SUMPRODUCT((M_BOM[Part Name]=$A85)*M_BOM[RM_Qty_Per_Batch]*IFERROR(INDEX(PP_Grid[#Data],M_BOM[PPGridRow],72),0))/51.73</f>
        <v/>
      </c>
      <c r="BU85">
        <f>SUMPRODUCT((M_BOM[Part Name]=$A85)*M_BOM[RM_Qty_Per_Batch]*IFERROR(INDEX(PP_Grid[#Data],M_BOM[PPGridRow],73),0))/51.73</f>
        <v/>
      </c>
      <c r="BV85">
        <f>SUMPRODUCT((M_BOM[Part Name]=$A85)*M_BOM[RM_Qty_Per_Batch]*IFERROR(INDEX(PP_Grid[#Data],M_BOM[PPGridRow],74),0))/51.73</f>
        <v/>
      </c>
      <c r="BW85">
        <f>SUMPRODUCT((M_BOM[Part Name]=$A85)*M_BOM[RM_Qty_Per_Batch]*IFERROR(INDEX(PP_Grid[#Data],M_BOM[PPGridRow],75),0))/51.73</f>
        <v/>
      </c>
      <c r="BX85">
        <f>SUMPRODUCT((M_BOM[Part Name]=$A85)*M_BOM[RM_Qty_Per_Batch]*IFERROR(INDEX(PP_Grid[#Data],M_BOM[PPGridRow],76),0))/51.73</f>
        <v/>
      </c>
      <c r="BY85">
        <f>SUMPRODUCT((M_BOM[Part Name]=$A85)*M_BOM[RM_Qty_Per_Batch]*IFERROR(INDEX(PP_Grid[#Data],M_BOM[PPGridRow],77),0))/51.73</f>
        <v/>
      </c>
      <c r="BZ85">
        <f>SUMPRODUCT((M_BOM[Part Name]=$A85)*M_BOM[RM_Qty_Per_Batch]*IFERROR(INDEX(PP_Grid[#Data],M_BOM[PPGridRow],78),0))/51.73</f>
        <v/>
      </c>
      <c r="CA85">
        <f>SUMPRODUCT((M_BOM[Part Name]=$A85)*M_BOM[RM_Qty_Per_Batch]*IFERROR(INDEX(PP_Grid[#Data],M_BOM[PPGridRow],79),0))/51.73</f>
        <v/>
      </c>
      <c r="CB85">
        <f>SUMPRODUCT((M_BOM[Part Name]=$A85)*M_BOM[RM_Qty_Per_Batch]*IFERROR(INDEX(PP_Grid[#Data],M_BOM[PPGridRow],80),0))/51.73</f>
        <v/>
      </c>
      <c r="CC85">
        <f>SUMPRODUCT((M_BOM[Part Name]=$A85)*M_BOM[RM_Qty_Per_Batch]*IFERROR(INDEX(PP_Grid[#Data],M_BOM[PPGridRow],81),0))/51.73</f>
        <v/>
      </c>
      <c r="CD85">
        <f>SUMPRODUCT((M_BOM[Part Name]=$A85)*M_BOM[RM_Qty_Per_Batch]*IFERROR(INDEX(PP_Grid[#Data],M_BOM[PPGridRow],82),0))/51.73</f>
        <v/>
      </c>
      <c r="CE85">
        <f>SUMPRODUCT((M_BOM[Part Name]=$A85)*M_BOM[RM_Qty_Per_Batch]*IFERROR(INDEX(PP_Grid[#Data],M_BOM[PPGridRow],83),0))/51.73</f>
        <v/>
      </c>
      <c r="CF85">
        <f>SUMPRODUCT((M_BOM[Part Name]=$A85)*M_BOM[RM_Qty_Per_Batch]*IFERROR(INDEX(PP_Grid[#Data],M_BOM[PPGridRow],84),0))/51.73</f>
        <v/>
      </c>
      <c r="CG85">
        <f>SUMPRODUCT((M_BOM[Part Name]=$A85)*M_BOM[RM_Qty_Per_Batch]*IFERROR(INDEX(PP_Grid[#Data],M_BOM[PPGridRow],85),0))/51.73</f>
        <v/>
      </c>
      <c r="CH85">
        <f>SUMPRODUCT((M_BOM[Part Name]=$A85)*M_BOM[RM_Qty_Per_Batch]*IFERROR(INDEX(PP_Grid[#Data],M_BOM[PPGridRow],86),0))/51.73</f>
        <v/>
      </c>
      <c r="CI85">
        <f>SUMPRODUCT((M_BOM[Part Name]=$A85)*M_BOM[RM_Qty_Per_Batch]*IFERROR(INDEX(PP_Grid[#Data],M_BOM[PPGridRow],87),0))/51.73</f>
        <v/>
      </c>
      <c r="CJ85">
        <f>SUMPRODUCT((M_BOM[Part Name]=$A85)*M_BOM[RM_Qty_Per_Batch]*IFERROR(INDEX(PP_Grid[#Data],M_BOM[PPGridRow],88),0))/51.73</f>
        <v/>
      </c>
      <c r="CK85">
        <f>SUMPRODUCT((M_BOM[Part Name]=$A85)*M_BOM[RM_Qty_Per_Batch]*IFERROR(INDEX(PP_Grid[#Data],M_BOM[PPGridRow],89),0))/51.73</f>
        <v/>
      </c>
      <c r="CL85">
        <f>SUMPRODUCT((M_BOM[Part Name]=$A85)*M_BOM[RM_Qty_Per_Batch]*IFERROR(INDEX(PP_Grid[#Data],M_BOM[PPGridRow],90),0))/51.73</f>
        <v/>
      </c>
      <c r="CM85">
        <f>SUMPRODUCT((M_BOM[Part Name]=$A85)*M_BOM[RM_Qty_Per_Batch]*IFERROR(INDEX(PP_Grid[#Data],M_BOM[PPGridRow],91),0))/51.73</f>
        <v/>
      </c>
      <c r="CN85">
        <f>SUMPRODUCT((M_BOM[Part Name]=$A85)*M_BOM[RM_Qty_Per_Batch]*IFERROR(INDEX(PP_Grid[#Data],M_BOM[PPGridRow],92),0))/51.73</f>
        <v/>
      </c>
      <c r="CO85">
        <f>SUMPRODUCT((M_BOM[Part Name]=$A85)*M_BOM[RM_Qty_Per_Batch]*IFERROR(INDEX(PP_Grid[#Data],M_BOM[PPGridRow],93),0))/51.73</f>
        <v/>
      </c>
      <c r="CP85">
        <f>SUMPRODUCT((M_BOM[Part Name]=$A85)*M_BOM[RM_Qty_Per_Batch]*IFERROR(INDEX(PP_Grid[#Data],M_BOM[PPGridRow],94),0))/51.73</f>
        <v/>
      </c>
      <c r="CQ85">
        <f>SUMPRODUCT((M_BOM[Part Name]=$A85)*M_BOM[RM_Qty_Per_Batch]*IFERROR(INDEX(PP_Grid[#Data],M_BOM[PPGridRow],95),0))/51.73</f>
        <v/>
      </c>
      <c r="CR85">
        <f>SUMPRODUCT((M_BOM[Part Name]=$A85)*M_BOM[RM_Qty_Per_Batch]*IFERROR(INDEX(PP_Grid[#Data],M_BOM[PPGridRow],96),0))/51.73</f>
        <v/>
      </c>
      <c r="CS85">
        <f>SUMPRODUCT((M_BOM[Part Name]=$A85)*M_BOM[RM_Qty_Per_Batch]*IFERROR(INDEX(PP_Grid[#Data],M_BOM[PPGridRow],97),0))/51.73</f>
        <v/>
      </c>
      <c r="CT85">
        <f>SUMPRODUCT((M_BOM[Part Name]=$A85)*M_BOM[RM_Qty_Per_Batch]*IFERROR(INDEX(PP_Grid[#Data],M_BOM[PPGridRow],98),0))/51.73</f>
        <v/>
      </c>
      <c r="CU85">
        <f>SUMPRODUCT((M_BOM[Part Name]=$A85)*M_BOM[RM_Qty_Per_Batch]*IFERROR(INDEX(PP_Grid[#Data],M_BOM[PPGridRow],99),0))/51.73</f>
        <v/>
      </c>
      <c r="CV85">
        <f>SUMPRODUCT((M_BOM[Part Name]=$A85)*M_BOM[RM_Qty_Per_Batch]*IFERROR(INDEX(PP_Grid[#Data],M_BOM[PPGridRow],100),0))/51.73</f>
        <v/>
      </c>
      <c r="CW85">
        <f>SUMPRODUCT((M_BOM[Part Name]=$A85)*M_BOM[RM_Qty_Per_Batch]*IFERROR(INDEX(PP_Grid[#Data],M_BOM[PPGridRow],101),0))/51.73</f>
        <v/>
      </c>
      <c r="CX85">
        <f>SUMPRODUCT((M_BOM[Part Name]=$A85)*M_BOM[RM_Qty_Per_Batch]*IFERROR(INDEX(PP_Grid[#Data],M_BOM[PPGridRow],102),0))/51.73</f>
        <v/>
      </c>
      <c r="CY85">
        <f>SUMPRODUCT((M_BOM[Part Name]=$A85)*M_BOM[RM_Qty_Per_Batch]*IFERROR(INDEX(PP_Grid[#Data],M_BOM[PPGridRow],103),0))/51.73</f>
        <v/>
      </c>
      <c r="CZ85">
        <f>SUMPRODUCT((M_BOM[Part Name]=$A85)*M_BOM[RM_Qty_Per_Batch]*IFERROR(INDEX(PP_Grid[#Data],M_BOM[PPGridRow],104),0))/51.73</f>
        <v/>
      </c>
      <c r="DA85">
        <f>SUMPRODUCT((M_BOM[Part Name]=$A85)*M_BOM[RM_Qty_Per_Batch]*IFERROR(INDEX(PP_Grid[#Data],M_BOM[PPGridRow],105),0))/51.73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Name]=$A86)*M_BOM[RM_Qty_Per_Batch]*IFERROR(INDEX(PP_Grid[#Data],M_BOM[PPGridRow],2),0))/25.69</f>
        <v/>
      </c>
      <c r="C86">
        <f>SUMPRODUCT((M_BOM[Part Name]=$A86)*M_BOM[RM_Qty_Per_Batch]*IFERROR(INDEX(PP_Grid[#Data],M_BOM[PPGridRow],3),0))/25.69</f>
        <v/>
      </c>
      <c r="D86">
        <f>SUMPRODUCT((M_BOM[Part Name]=$A86)*M_BOM[RM_Qty_Per_Batch]*IFERROR(INDEX(PP_Grid[#Data],M_BOM[PPGridRow],4),0))/25.69</f>
        <v/>
      </c>
      <c r="E86">
        <f>SUMPRODUCT((M_BOM[Part Name]=$A86)*M_BOM[RM_Qty_Per_Batch]*IFERROR(INDEX(PP_Grid[#Data],M_BOM[PPGridRow],5),0))/25.69</f>
        <v/>
      </c>
      <c r="F86">
        <f>SUMPRODUCT((M_BOM[Part Name]=$A86)*M_BOM[RM_Qty_Per_Batch]*IFERROR(INDEX(PP_Grid[#Data],M_BOM[PPGridRow],6),0))/25.69</f>
        <v/>
      </c>
      <c r="G86">
        <f>SUMPRODUCT((M_BOM[Part Name]=$A86)*M_BOM[RM_Qty_Per_Batch]*IFERROR(INDEX(PP_Grid[#Data],M_BOM[PPGridRow],7),0))/25.69</f>
        <v/>
      </c>
      <c r="H86">
        <f>SUMPRODUCT((M_BOM[Part Name]=$A86)*M_BOM[RM_Qty_Per_Batch]*IFERROR(INDEX(PP_Grid[#Data],M_BOM[PPGridRow],8),0))/25.69</f>
        <v/>
      </c>
      <c r="I86">
        <f>SUMPRODUCT((M_BOM[Part Name]=$A86)*M_BOM[RM_Qty_Per_Batch]*IFERROR(INDEX(PP_Grid[#Data],M_BOM[PPGridRow],9),0))/25.69</f>
        <v/>
      </c>
      <c r="J86">
        <f>SUMPRODUCT((M_BOM[Part Name]=$A86)*M_BOM[RM_Qty_Per_Batch]*IFERROR(INDEX(PP_Grid[#Data],M_BOM[PPGridRow],10),0))/25.69</f>
        <v/>
      </c>
      <c r="K86">
        <f>SUMPRODUCT((M_BOM[Part Name]=$A86)*M_BOM[RM_Qty_Per_Batch]*IFERROR(INDEX(PP_Grid[#Data],M_BOM[PPGridRow],11),0))/25.69</f>
        <v/>
      </c>
      <c r="L86">
        <f>SUMPRODUCT((M_BOM[Part Name]=$A86)*M_BOM[RM_Qty_Per_Batch]*IFERROR(INDEX(PP_Grid[#Data],M_BOM[PPGridRow],12),0))/25.69</f>
        <v/>
      </c>
      <c r="M86">
        <f>SUMPRODUCT((M_BOM[Part Name]=$A86)*M_BOM[RM_Qty_Per_Batch]*IFERROR(INDEX(PP_Grid[#Data],M_BOM[PPGridRow],13),0))/25.69</f>
        <v/>
      </c>
      <c r="N86">
        <f>SUMPRODUCT((M_BOM[Part Name]=$A86)*M_BOM[RM_Qty_Per_Batch]*IFERROR(INDEX(PP_Grid[#Data],M_BOM[PPGridRow],14),0))/25.69</f>
        <v/>
      </c>
      <c r="O86">
        <f>SUMPRODUCT((M_BOM[Part Name]=$A86)*M_BOM[RM_Qty_Per_Batch]*IFERROR(INDEX(PP_Grid[#Data],M_BOM[PPGridRow],15),0))/25.69</f>
        <v/>
      </c>
      <c r="P86">
        <f>SUMPRODUCT((M_BOM[Part Name]=$A86)*M_BOM[RM_Qty_Per_Batch]*IFERROR(INDEX(PP_Grid[#Data],M_BOM[PPGridRow],16),0))/25.69</f>
        <v/>
      </c>
      <c r="Q86">
        <f>SUMPRODUCT((M_BOM[Part Name]=$A86)*M_BOM[RM_Qty_Per_Batch]*IFERROR(INDEX(PP_Grid[#Data],M_BOM[PPGridRow],17),0))/25.69</f>
        <v/>
      </c>
      <c r="R86">
        <f>SUMPRODUCT((M_BOM[Part Name]=$A86)*M_BOM[RM_Qty_Per_Batch]*IFERROR(INDEX(PP_Grid[#Data],M_BOM[PPGridRow],18),0))/25.69</f>
        <v/>
      </c>
      <c r="S86">
        <f>SUMPRODUCT((M_BOM[Part Name]=$A86)*M_BOM[RM_Qty_Per_Batch]*IFERROR(INDEX(PP_Grid[#Data],M_BOM[PPGridRow],19),0))/25.69</f>
        <v/>
      </c>
      <c r="T86">
        <f>SUMPRODUCT((M_BOM[Part Name]=$A86)*M_BOM[RM_Qty_Per_Batch]*IFERROR(INDEX(PP_Grid[#Data],M_BOM[PPGridRow],20),0))/25.69</f>
        <v/>
      </c>
      <c r="U86">
        <f>SUMPRODUCT((M_BOM[Part Name]=$A86)*M_BOM[RM_Qty_Per_Batch]*IFERROR(INDEX(PP_Grid[#Data],M_BOM[PPGridRow],21),0))/25.69</f>
        <v/>
      </c>
      <c r="V86">
        <f>SUMPRODUCT((M_BOM[Part Name]=$A86)*M_BOM[RM_Qty_Per_Batch]*IFERROR(INDEX(PP_Grid[#Data],M_BOM[PPGridRow],22),0))/25.69</f>
        <v/>
      </c>
      <c r="W86">
        <f>SUMPRODUCT((M_BOM[Part Name]=$A86)*M_BOM[RM_Qty_Per_Batch]*IFERROR(INDEX(PP_Grid[#Data],M_BOM[PPGridRow],23),0))/25.69</f>
        <v/>
      </c>
      <c r="X86">
        <f>SUMPRODUCT((M_BOM[Part Name]=$A86)*M_BOM[RM_Qty_Per_Batch]*IFERROR(INDEX(PP_Grid[#Data],M_BOM[PPGridRow],24),0))/25.69</f>
        <v/>
      </c>
      <c r="Y86">
        <f>SUMPRODUCT((M_BOM[Part Name]=$A86)*M_BOM[RM_Qty_Per_Batch]*IFERROR(INDEX(PP_Grid[#Data],M_BOM[PPGridRow],25),0))/25.69</f>
        <v/>
      </c>
      <c r="Z86">
        <f>SUMPRODUCT((M_BOM[Part Name]=$A86)*M_BOM[RM_Qty_Per_Batch]*IFERROR(INDEX(PP_Grid[#Data],M_BOM[PPGridRow],26),0))/25.69</f>
        <v/>
      </c>
      <c r="AA86">
        <f>SUMPRODUCT((M_BOM[Part Name]=$A86)*M_BOM[RM_Qty_Per_Batch]*IFERROR(INDEX(PP_Grid[#Data],M_BOM[PPGridRow],27),0))/25.69</f>
        <v/>
      </c>
      <c r="AB86">
        <f>SUMPRODUCT((M_BOM[Part Name]=$A86)*M_BOM[RM_Qty_Per_Batch]*IFERROR(INDEX(PP_Grid[#Data],M_BOM[PPGridRow],28),0))/25.69</f>
        <v/>
      </c>
      <c r="AC86">
        <f>SUMPRODUCT((M_BOM[Part Name]=$A86)*M_BOM[RM_Qty_Per_Batch]*IFERROR(INDEX(PP_Grid[#Data],M_BOM[PPGridRow],29),0))/25.69</f>
        <v/>
      </c>
      <c r="AD86">
        <f>SUMPRODUCT((M_BOM[Part Name]=$A86)*M_BOM[RM_Qty_Per_Batch]*IFERROR(INDEX(PP_Grid[#Data],M_BOM[PPGridRow],30),0))/25.69</f>
        <v/>
      </c>
      <c r="AE86">
        <f>SUMPRODUCT((M_BOM[Part Name]=$A86)*M_BOM[RM_Qty_Per_Batch]*IFERROR(INDEX(PP_Grid[#Data],M_BOM[PPGridRow],31),0))/25.69</f>
        <v/>
      </c>
      <c r="AF86">
        <f>SUMPRODUCT((M_BOM[Part Name]=$A86)*M_BOM[RM_Qty_Per_Batch]*IFERROR(INDEX(PP_Grid[#Data],M_BOM[PPGridRow],32),0))/25.69</f>
        <v/>
      </c>
      <c r="AG86">
        <f>SUMPRODUCT((M_BOM[Part Name]=$A86)*M_BOM[RM_Qty_Per_Batch]*IFERROR(INDEX(PP_Grid[#Data],M_BOM[PPGridRow],33),0))/25.69</f>
        <v/>
      </c>
      <c r="AH86">
        <f>SUMPRODUCT((M_BOM[Part Name]=$A86)*M_BOM[RM_Qty_Per_Batch]*IFERROR(INDEX(PP_Grid[#Data],M_BOM[PPGridRow],34),0))/25.69</f>
        <v/>
      </c>
      <c r="AI86">
        <f>SUMPRODUCT((M_BOM[Part Name]=$A86)*M_BOM[RM_Qty_Per_Batch]*IFERROR(INDEX(PP_Grid[#Data],M_BOM[PPGridRow],35),0))/25.69</f>
        <v/>
      </c>
      <c r="AJ86">
        <f>SUMPRODUCT((M_BOM[Part Name]=$A86)*M_BOM[RM_Qty_Per_Batch]*IFERROR(INDEX(PP_Grid[#Data],M_BOM[PPGridRow],36),0))/25.69</f>
        <v/>
      </c>
      <c r="AK86">
        <f>SUMPRODUCT((M_BOM[Part Name]=$A86)*M_BOM[RM_Qty_Per_Batch]*IFERROR(INDEX(PP_Grid[#Data],M_BOM[PPGridRow],37),0))/25.69</f>
        <v/>
      </c>
      <c r="AL86">
        <f>SUMPRODUCT((M_BOM[Part Name]=$A86)*M_BOM[RM_Qty_Per_Batch]*IFERROR(INDEX(PP_Grid[#Data],M_BOM[PPGridRow],38),0))/25.69</f>
        <v/>
      </c>
      <c r="AM86">
        <f>SUMPRODUCT((M_BOM[Part Name]=$A86)*M_BOM[RM_Qty_Per_Batch]*IFERROR(INDEX(PP_Grid[#Data],M_BOM[PPGridRow],39),0))/25.69</f>
        <v/>
      </c>
      <c r="AN86">
        <f>SUMPRODUCT((M_BOM[Part Name]=$A86)*M_BOM[RM_Qty_Per_Batch]*IFERROR(INDEX(PP_Grid[#Data],M_BOM[PPGridRow],40),0))/25.69</f>
        <v/>
      </c>
      <c r="AO86">
        <f>SUMPRODUCT((M_BOM[Part Name]=$A86)*M_BOM[RM_Qty_Per_Batch]*IFERROR(INDEX(PP_Grid[#Data],M_BOM[PPGridRow],41),0))/25.69</f>
        <v/>
      </c>
      <c r="AP86">
        <f>SUMPRODUCT((M_BOM[Part Name]=$A86)*M_BOM[RM_Qty_Per_Batch]*IFERROR(INDEX(PP_Grid[#Data],M_BOM[PPGridRow],42),0))/25.69</f>
        <v/>
      </c>
      <c r="AQ86">
        <f>SUMPRODUCT((M_BOM[Part Name]=$A86)*M_BOM[RM_Qty_Per_Batch]*IFERROR(INDEX(PP_Grid[#Data],M_BOM[PPGridRow],43),0))/25.69</f>
        <v/>
      </c>
      <c r="AR86">
        <f>SUMPRODUCT((M_BOM[Part Name]=$A86)*M_BOM[RM_Qty_Per_Batch]*IFERROR(INDEX(PP_Grid[#Data],M_BOM[PPGridRow],44),0))/25.69</f>
        <v/>
      </c>
      <c r="AS86">
        <f>SUMPRODUCT((M_BOM[Part Name]=$A86)*M_BOM[RM_Qty_Per_Batch]*IFERROR(INDEX(PP_Grid[#Data],M_BOM[PPGridRow],45),0))/25.69</f>
        <v/>
      </c>
      <c r="AT86">
        <f>SUMPRODUCT((M_BOM[Part Name]=$A86)*M_BOM[RM_Qty_Per_Batch]*IFERROR(INDEX(PP_Grid[#Data],M_BOM[PPGridRow],46),0))/25.69</f>
        <v/>
      </c>
      <c r="AU86">
        <f>SUMPRODUCT((M_BOM[Part Name]=$A86)*M_BOM[RM_Qty_Per_Batch]*IFERROR(INDEX(PP_Grid[#Data],M_BOM[PPGridRow],47),0))/25.69</f>
        <v/>
      </c>
      <c r="AV86">
        <f>SUMPRODUCT((M_BOM[Part Name]=$A86)*M_BOM[RM_Qty_Per_Batch]*IFERROR(INDEX(PP_Grid[#Data],M_BOM[PPGridRow],48),0))/25.69</f>
        <v/>
      </c>
      <c r="AW86">
        <f>SUMPRODUCT((M_BOM[Part Name]=$A86)*M_BOM[RM_Qty_Per_Batch]*IFERROR(INDEX(PP_Grid[#Data],M_BOM[PPGridRow],49),0))/25.69</f>
        <v/>
      </c>
      <c r="AX86">
        <f>SUMPRODUCT((M_BOM[Part Name]=$A86)*M_BOM[RM_Qty_Per_Batch]*IFERROR(INDEX(PP_Grid[#Data],M_BOM[PPGridRow],50),0))/25.69</f>
        <v/>
      </c>
      <c r="AY86">
        <f>SUMPRODUCT((M_BOM[Part Name]=$A86)*M_BOM[RM_Qty_Per_Batch]*IFERROR(INDEX(PP_Grid[#Data],M_BOM[PPGridRow],51),0))/25.69</f>
        <v/>
      </c>
      <c r="AZ86">
        <f>SUMPRODUCT((M_BOM[Part Name]=$A86)*M_BOM[RM_Qty_Per_Batch]*IFERROR(INDEX(PP_Grid[#Data],M_BOM[PPGridRow],52),0))/25.69</f>
        <v/>
      </c>
      <c r="BA86">
        <f>SUMPRODUCT((M_BOM[Part Name]=$A86)*M_BOM[RM_Qty_Per_Batch]*IFERROR(INDEX(PP_Grid[#Data],M_BOM[PPGridRow],53),0))/25.69</f>
        <v/>
      </c>
      <c r="BB86">
        <f>SUMPRODUCT((M_BOM[Part Name]=$A86)*M_BOM[RM_Qty_Per_Batch]*IFERROR(INDEX(PP_Grid[#Data],M_BOM[PPGridRow],54),0))/25.69</f>
        <v/>
      </c>
      <c r="BC86">
        <f>SUMPRODUCT((M_BOM[Part Name]=$A86)*M_BOM[RM_Qty_Per_Batch]*IFERROR(INDEX(PP_Grid[#Data],M_BOM[PPGridRow],55),0))/25.69</f>
        <v/>
      </c>
      <c r="BD86">
        <f>SUMPRODUCT((M_BOM[Part Name]=$A86)*M_BOM[RM_Qty_Per_Batch]*IFERROR(INDEX(PP_Grid[#Data],M_BOM[PPGridRow],56),0))/25.69</f>
        <v/>
      </c>
      <c r="BE86">
        <f>SUMPRODUCT((M_BOM[Part Name]=$A86)*M_BOM[RM_Qty_Per_Batch]*IFERROR(INDEX(PP_Grid[#Data],M_BOM[PPGridRow],57),0))/25.69</f>
        <v/>
      </c>
      <c r="BF86">
        <f>SUMPRODUCT((M_BOM[Part Name]=$A86)*M_BOM[RM_Qty_Per_Batch]*IFERROR(INDEX(PP_Grid[#Data],M_BOM[PPGridRow],58),0))/25.69</f>
        <v/>
      </c>
      <c r="BG86">
        <f>SUMPRODUCT((M_BOM[Part Name]=$A86)*M_BOM[RM_Qty_Per_Batch]*IFERROR(INDEX(PP_Grid[#Data],M_BOM[PPGridRow],59),0))/25.69</f>
        <v/>
      </c>
      <c r="BH86">
        <f>SUMPRODUCT((M_BOM[Part Name]=$A86)*M_BOM[RM_Qty_Per_Batch]*IFERROR(INDEX(PP_Grid[#Data],M_BOM[PPGridRow],60),0))/25.69</f>
        <v/>
      </c>
      <c r="BI86">
        <f>SUMPRODUCT((M_BOM[Part Name]=$A86)*M_BOM[RM_Qty_Per_Batch]*IFERROR(INDEX(PP_Grid[#Data],M_BOM[PPGridRow],61),0))/25.69</f>
        <v/>
      </c>
      <c r="BJ86">
        <f>SUMPRODUCT((M_BOM[Part Name]=$A86)*M_BOM[RM_Qty_Per_Batch]*IFERROR(INDEX(PP_Grid[#Data],M_BOM[PPGridRow],62),0))/25.69</f>
        <v/>
      </c>
      <c r="BK86">
        <f>SUMPRODUCT((M_BOM[Part Name]=$A86)*M_BOM[RM_Qty_Per_Batch]*IFERROR(INDEX(PP_Grid[#Data],M_BOM[PPGridRow],63),0))/25.69</f>
        <v/>
      </c>
      <c r="BL86">
        <f>SUMPRODUCT((M_BOM[Part Name]=$A86)*M_BOM[RM_Qty_Per_Batch]*IFERROR(INDEX(PP_Grid[#Data],M_BOM[PPGridRow],64),0))/25.69</f>
        <v/>
      </c>
      <c r="BM86">
        <f>SUMPRODUCT((M_BOM[Part Name]=$A86)*M_BOM[RM_Qty_Per_Batch]*IFERROR(INDEX(PP_Grid[#Data],M_BOM[PPGridRow],65),0))/25.69</f>
        <v/>
      </c>
      <c r="BN86">
        <f>SUMPRODUCT((M_BOM[Part Name]=$A86)*M_BOM[RM_Qty_Per_Batch]*IFERROR(INDEX(PP_Grid[#Data],M_BOM[PPGridRow],66),0))/25.69</f>
        <v/>
      </c>
      <c r="BO86">
        <f>SUMPRODUCT((M_BOM[Part Name]=$A86)*M_BOM[RM_Qty_Per_Batch]*IFERROR(INDEX(PP_Grid[#Data],M_BOM[PPGridRow],67),0))/25.69</f>
        <v/>
      </c>
      <c r="BP86">
        <f>SUMPRODUCT((M_BOM[Part Name]=$A86)*M_BOM[RM_Qty_Per_Batch]*IFERROR(INDEX(PP_Grid[#Data],M_BOM[PPGridRow],68),0))/25.69</f>
        <v/>
      </c>
      <c r="BQ86">
        <f>SUMPRODUCT((M_BOM[Part Name]=$A86)*M_BOM[RM_Qty_Per_Batch]*IFERROR(INDEX(PP_Grid[#Data],M_BOM[PPGridRow],69),0))/25.69</f>
        <v/>
      </c>
      <c r="BR86">
        <f>SUMPRODUCT((M_BOM[Part Name]=$A86)*M_BOM[RM_Qty_Per_Batch]*IFERROR(INDEX(PP_Grid[#Data],M_BOM[PPGridRow],70),0))/25.69</f>
        <v/>
      </c>
      <c r="BS86">
        <f>SUMPRODUCT((M_BOM[Part Name]=$A86)*M_BOM[RM_Qty_Per_Batch]*IFERROR(INDEX(PP_Grid[#Data],M_BOM[PPGridRow],71),0))/25.69</f>
        <v/>
      </c>
      <c r="BT86">
        <f>SUMPRODUCT((M_BOM[Part Name]=$A86)*M_BOM[RM_Qty_Per_Batch]*IFERROR(INDEX(PP_Grid[#Data],M_BOM[PPGridRow],72),0))/25.69</f>
        <v/>
      </c>
      <c r="BU86">
        <f>SUMPRODUCT((M_BOM[Part Name]=$A86)*M_BOM[RM_Qty_Per_Batch]*IFERROR(INDEX(PP_Grid[#Data],M_BOM[PPGridRow],73),0))/25.69</f>
        <v/>
      </c>
      <c r="BV86">
        <f>SUMPRODUCT((M_BOM[Part Name]=$A86)*M_BOM[RM_Qty_Per_Batch]*IFERROR(INDEX(PP_Grid[#Data],M_BOM[PPGridRow],74),0))/25.69</f>
        <v/>
      </c>
      <c r="BW86">
        <f>SUMPRODUCT((M_BOM[Part Name]=$A86)*M_BOM[RM_Qty_Per_Batch]*IFERROR(INDEX(PP_Grid[#Data],M_BOM[PPGridRow],75),0))/25.69</f>
        <v/>
      </c>
      <c r="BX86">
        <f>SUMPRODUCT((M_BOM[Part Name]=$A86)*M_BOM[RM_Qty_Per_Batch]*IFERROR(INDEX(PP_Grid[#Data],M_BOM[PPGridRow],76),0))/25.69</f>
        <v/>
      </c>
      <c r="BY86">
        <f>SUMPRODUCT((M_BOM[Part Name]=$A86)*M_BOM[RM_Qty_Per_Batch]*IFERROR(INDEX(PP_Grid[#Data],M_BOM[PPGridRow],77),0))/25.69</f>
        <v/>
      </c>
      <c r="BZ86">
        <f>SUMPRODUCT((M_BOM[Part Name]=$A86)*M_BOM[RM_Qty_Per_Batch]*IFERROR(INDEX(PP_Grid[#Data],M_BOM[PPGridRow],78),0))/25.69</f>
        <v/>
      </c>
      <c r="CA86">
        <f>SUMPRODUCT((M_BOM[Part Name]=$A86)*M_BOM[RM_Qty_Per_Batch]*IFERROR(INDEX(PP_Grid[#Data],M_BOM[PPGridRow],79),0))/25.69</f>
        <v/>
      </c>
      <c r="CB86">
        <f>SUMPRODUCT((M_BOM[Part Name]=$A86)*M_BOM[RM_Qty_Per_Batch]*IFERROR(INDEX(PP_Grid[#Data],M_BOM[PPGridRow],80),0))/25.69</f>
        <v/>
      </c>
      <c r="CC86">
        <f>SUMPRODUCT((M_BOM[Part Name]=$A86)*M_BOM[RM_Qty_Per_Batch]*IFERROR(INDEX(PP_Grid[#Data],M_BOM[PPGridRow],81),0))/25.69</f>
        <v/>
      </c>
      <c r="CD86">
        <f>SUMPRODUCT((M_BOM[Part Name]=$A86)*M_BOM[RM_Qty_Per_Batch]*IFERROR(INDEX(PP_Grid[#Data],M_BOM[PPGridRow],82),0))/25.69</f>
        <v/>
      </c>
      <c r="CE86">
        <f>SUMPRODUCT((M_BOM[Part Name]=$A86)*M_BOM[RM_Qty_Per_Batch]*IFERROR(INDEX(PP_Grid[#Data],M_BOM[PPGridRow],83),0))/25.69</f>
        <v/>
      </c>
      <c r="CF86">
        <f>SUMPRODUCT((M_BOM[Part Name]=$A86)*M_BOM[RM_Qty_Per_Batch]*IFERROR(INDEX(PP_Grid[#Data],M_BOM[PPGridRow],84),0))/25.69</f>
        <v/>
      </c>
      <c r="CG86">
        <f>SUMPRODUCT((M_BOM[Part Name]=$A86)*M_BOM[RM_Qty_Per_Batch]*IFERROR(INDEX(PP_Grid[#Data],M_BOM[PPGridRow],85),0))/25.69</f>
        <v/>
      </c>
      <c r="CH86">
        <f>SUMPRODUCT((M_BOM[Part Name]=$A86)*M_BOM[RM_Qty_Per_Batch]*IFERROR(INDEX(PP_Grid[#Data],M_BOM[PPGridRow],86),0))/25.69</f>
        <v/>
      </c>
      <c r="CI86">
        <f>SUMPRODUCT((M_BOM[Part Name]=$A86)*M_BOM[RM_Qty_Per_Batch]*IFERROR(INDEX(PP_Grid[#Data],M_BOM[PPGridRow],87),0))/25.69</f>
        <v/>
      </c>
      <c r="CJ86">
        <f>SUMPRODUCT((M_BOM[Part Name]=$A86)*M_BOM[RM_Qty_Per_Batch]*IFERROR(INDEX(PP_Grid[#Data],M_BOM[PPGridRow],88),0))/25.69</f>
        <v/>
      </c>
      <c r="CK86">
        <f>SUMPRODUCT((M_BOM[Part Name]=$A86)*M_BOM[RM_Qty_Per_Batch]*IFERROR(INDEX(PP_Grid[#Data],M_BOM[PPGridRow],89),0))/25.69</f>
        <v/>
      </c>
      <c r="CL86">
        <f>SUMPRODUCT((M_BOM[Part Name]=$A86)*M_BOM[RM_Qty_Per_Batch]*IFERROR(INDEX(PP_Grid[#Data],M_BOM[PPGridRow],90),0))/25.69</f>
        <v/>
      </c>
      <c r="CM86">
        <f>SUMPRODUCT((M_BOM[Part Name]=$A86)*M_BOM[RM_Qty_Per_Batch]*IFERROR(INDEX(PP_Grid[#Data],M_BOM[PPGridRow],91),0))/25.69</f>
        <v/>
      </c>
      <c r="CN86">
        <f>SUMPRODUCT((M_BOM[Part Name]=$A86)*M_BOM[RM_Qty_Per_Batch]*IFERROR(INDEX(PP_Grid[#Data],M_BOM[PPGridRow],92),0))/25.69</f>
        <v/>
      </c>
      <c r="CO86">
        <f>SUMPRODUCT((M_BOM[Part Name]=$A86)*M_BOM[RM_Qty_Per_Batch]*IFERROR(INDEX(PP_Grid[#Data],M_BOM[PPGridRow],93),0))/25.69</f>
        <v/>
      </c>
      <c r="CP86">
        <f>SUMPRODUCT((M_BOM[Part Name]=$A86)*M_BOM[RM_Qty_Per_Batch]*IFERROR(INDEX(PP_Grid[#Data],M_BOM[PPGridRow],94),0))/25.69</f>
        <v/>
      </c>
      <c r="CQ86">
        <f>SUMPRODUCT((M_BOM[Part Name]=$A86)*M_BOM[RM_Qty_Per_Batch]*IFERROR(INDEX(PP_Grid[#Data],M_BOM[PPGridRow],95),0))/25.69</f>
        <v/>
      </c>
      <c r="CR86">
        <f>SUMPRODUCT((M_BOM[Part Name]=$A86)*M_BOM[RM_Qty_Per_Batch]*IFERROR(INDEX(PP_Grid[#Data],M_BOM[PPGridRow],96),0))/25.69</f>
        <v/>
      </c>
      <c r="CS86">
        <f>SUMPRODUCT((M_BOM[Part Name]=$A86)*M_BOM[RM_Qty_Per_Batch]*IFERROR(INDEX(PP_Grid[#Data],M_BOM[PPGridRow],97),0))/25.69</f>
        <v/>
      </c>
      <c r="CT86">
        <f>SUMPRODUCT((M_BOM[Part Name]=$A86)*M_BOM[RM_Qty_Per_Batch]*IFERROR(INDEX(PP_Grid[#Data],M_BOM[PPGridRow],98),0))/25.69</f>
        <v/>
      </c>
      <c r="CU86">
        <f>SUMPRODUCT((M_BOM[Part Name]=$A86)*M_BOM[RM_Qty_Per_Batch]*IFERROR(INDEX(PP_Grid[#Data],M_BOM[PPGridRow],99),0))/25.69</f>
        <v/>
      </c>
      <c r="CV86">
        <f>SUMPRODUCT((M_BOM[Part Name]=$A86)*M_BOM[RM_Qty_Per_Batch]*IFERROR(INDEX(PP_Grid[#Data],M_BOM[PPGridRow],100),0))/25.69</f>
        <v/>
      </c>
      <c r="CW86">
        <f>SUMPRODUCT((M_BOM[Part Name]=$A86)*M_BOM[RM_Qty_Per_Batch]*IFERROR(INDEX(PP_Grid[#Data],M_BOM[PPGridRow],101),0))/25.69</f>
        <v/>
      </c>
      <c r="CX86">
        <f>SUMPRODUCT((M_BOM[Part Name]=$A86)*M_BOM[RM_Qty_Per_Batch]*IFERROR(INDEX(PP_Grid[#Data],M_BOM[PPGridRow],102),0))/25.69</f>
        <v/>
      </c>
      <c r="CY86">
        <f>SUMPRODUCT((M_BOM[Part Name]=$A86)*M_BOM[RM_Qty_Per_Batch]*IFERROR(INDEX(PP_Grid[#Data],M_BOM[PPGridRow],103),0))/25.69</f>
        <v/>
      </c>
      <c r="CZ86">
        <f>SUMPRODUCT((M_BOM[Part Name]=$A86)*M_BOM[RM_Qty_Per_Batch]*IFERROR(INDEX(PP_Grid[#Data],M_BOM[PPGridRow],104),0))/25.69</f>
        <v/>
      </c>
      <c r="DA86">
        <f>SUMPRODUCT((M_BOM[Part Name]=$A86)*M_BOM[RM_Qty_Per_Batch]*IFERROR(INDEX(PP_Grid[#Data],M_BOM[PPGridRow],105),0))/25.69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Name]=$A87)*M_BOM[RM_Qty_Per_Batch]*IFERROR(INDEX(PP_Grid[#Data],M_BOM[PPGridRow],2),0))/25.35</f>
        <v/>
      </c>
      <c r="C87">
        <f>SUMPRODUCT((M_BOM[Part Name]=$A87)*M_BOM[RM_Qty_Per_Batch]*IFERROR(INDEX(PP_Grid[#Data],M_BOM[PPGridRow],3),0))/25.35</f>
        <v/>
      </c>
      <c r="D87">
        <f>SUMPRODUCT((M_BOM[Part Name]=$A87)*M_BOM[RM_Qty_Per_Batch]*IFERROR(INDEX(PP_Grid[#Data],M_BOM[PPGridRow],4),0))/25.35</f>
        <v/>
      </c>
      <c r="E87">
        <f>SUMPRODUCT((M_BOM[Part Name]=$A87)*M_BOM[RM_Qty_Per_Batch]*IFERROR(INDEX(PP_Grid[#Data],M_BOM[PPGridRow],5),0))/25.35</f>
        <v/>
      </c>
      <c r="F87">
        <f>SUMPRODUCT((M_BOM[Part Name]=$A87)*M_BOM[RM_Qty_Per_Batch]*IFERROR(INDEX(PP_Grid[#Data],M_BOM[PPGridRow],6),0))/25.35</f>
        <v/>
      </c>
      <c r="G87">
        <f>SUMPRODUCT((M_BOM[Part Name]=$A87)*M_BOM[RM_Qty_Per_Batch]*IFERROR(INDEX(PP_Grid[#Data],M_BOM[PPGridRow],7),0))/25.35</f>
        <v/>
      </c>
      <c r="H87">
        <f>SUMPRODUCT((M_BOM[Part Name]=$A87)*M_BOM[RM_Qty_Per_Batch]*IFERROR(INDEX(PP_Grid[#Data],M_BOM[PPGridRow],8),0))/25.35</f>
        <v/>
      </c>
      <c r="I87">
        <f>SUMPRODUCT((M_BOM[Part Name]=$A87)*M_BOM[RM_Qty_Per_Batch]*IFERROR(INDEX(PP_Grid[#Data],M_BOM[PPGridRow],9),0))/25.35</f>
        <v/>
      </c>
      <c r="J87">
        <f>SUMPRODUCT((M_BOM[Part Name]=$A87)*M_BOM[RM_Qty_Per_Batch]*IFERROR(INDEX(PP_Grid[#Data],M_BOM[PPGridRow],10),0))/25.35</f>
        <v/>
      </c>
      <c r="K87">
        <f>SUMPRODUCT((M_BOM[Part Name]=$A87)*M_BOM[RM_Qty_Per_Batch]*IFERROR(INDEX(PP_Grid[#Data],M_BOM[PPGridRow],11),0))/25.35</f>
        <v/>
      </c>
      <c r="L87">
        <f>SUMPRODUCT((M_BOM[Part Name]=$A87)*M_BOM[RM_Qty_Per_Batch]*IFERROR(INDEX(PP_Grid[#Data],M_BOM[PPGridRow],12),0))/25.35</f>
        <v/>
      </c>
      <c r="M87">
        <f>SUMPRODUCT((M_BOM[Part Name]=$A87)*M_BOM[RM_Qty_Per_Batch]*IFERROR(INDEX(PP_Grid[#Data],M_BOM[PPGridRow],13),0))/25.35</f>
        <v/>
      </c>
      <c r="N87">
        <f>SUMPRODUCT((M_BOM[Part Name]=$A87)*M_BOM[RM_Qty_Per_Batch]*IFERROR(INDEX(PP_Grid[#Data],M_BOM[PPGridRow],14),0))/25.35</f>
        <v/>
      </c>
      <c r="O87">
        <f>SUMPRODUCT((M_BOM[Part Name]=$A87)*M_BOM[RM_Qty_Per_Batch]*IFERROR(INDEX(PP_Grid[#Data],M_BOM[PPGridRow],15),0))/25.35</f>
        <v/>
      </c>
      <c r="P87">
        <f>SUMPRODUCT((M_BOM[Part Name]=$A87)*M_BOM[RM_Qty_Per_Batch]*IFERROR(INDEX(PP_Grid[#Data],M_BOM[PPGridRow],16),0))/25.35</f>
        <v/>
      </c>
      <c r="Q87">
        <f>SUMPRODUCT((M_BOM[Part Name]=$A87)*M_BOM[RM_Qty_Per_Batch]*IFERROR(INDEX(PP_Grid[#Data],M_BOM[PPGridRow],17),0))/25.35</f>
        <v/>
      </c>
      <c r="R87">
        <f>SUMPRODUCT((M_BOM[Part Name]=$A87)*M_BOM[RM_Qty_Per_Batch]*IFERROR(INDEX(PP_Grid[#Data],M_BOM[PPGridRow],18),0))/25.35</f>
        <v/>
      </c>
      <c r="S87">
        <f>SUMPRODUCT((M_BOM[Part Name]=$A87)*M_BOM[RM_Qty_Per_Batch]*IFERROR(INDEX(PP_Grid[#Data],M_BOM[PPGridRow],19),0))/25.35</f>
        <v/>
      </c>
      <c r="T87">
        <f>SUMPRODUCT((M_BOM[Part Name]=$A87)*M_BOM[RM_Qty_Per_Batch]*IFERROR(INDEX(PP_Grid[#Data],M_BOM[PPGridRow],20),0))/25.35</f>
        <v/>
      </c>
      <c r="U87">
        <f>SUMPRODUCT((M_BOM[Part Name]=$A87)*M_BOM[RM_Qty_Per_Batch]*IFERROR(INDEX(PP_Grid[#Data],M_BOM[PPGridRow],21),0))/25.35</f>
        <v/>
      </c>
      <c r="V87">
        <f>SUMPRODUCT((M_BOM[Part Name]=$A87)*M_BOM[RM_Qty_Per_Batch]*IFERROR(INDEX(PP_Grid[#Data],M_BOM[PPGridRow],22),0))/25.35</f>
        <v/>
      </c>
      <c r="W87">
        <f>SUMPRODUCT((M_BOM[Part Name]=$A87)*M_BOM[RM_Qty_Per_Batch]*IFERROR(INDEX(PP_Grid[#Data],M_BOM[PPGridRow],23),0))/25.35</f>
        <v/>
      </c>
      <c r="X87">
        <f>SUMPRODUCT((M_BOM[Part Name]=$A87)*M_BOM[RM_Qty_Per_Batch]*IFERROR(INDEX(PP_Grid[#Data],M_BOM[PPGridRow],24),0))/25.35</f>
        <v/>
      </c>
      <c r="Y87">
        <f>SUMPRODUCT((M_BOM[Part Name]=$A87)*M_BOM[RM_Qty_Per_Batch]*IFERROR(INDEX(PP_Grid[#Data],M_BOM[PPGridRow],25),0))/25.35</f>
        <v/>
      </c>
      <c r="Z87">
        <f>SUMPRODUCT((M_BOM[Part Name]=$A87)*M_BOM[RM_Qty_Per_Batch]*IFERROR(INDEX(PP_Grid[#Data],M_BOM[PPGridRow],26),0))/25.35</f>
        <v/>
      </c>
      <c r="AA87">
        <f>SUMPRODUCT((M_BOM[Part Name]=$A87)*M_BOM[RM_Qty_Per_Batch]*IFERROR(INDEX(PP_Grid[#Data],M_BOM[PPGridRow],27),0))/25.35</f>
        <v/>
      </c>
      <c r="AB87">
        <f>SUMPRODUCT((M_BOM[Part Name]=$A87)*M_BOM[RM_Qty_Per_Batch]*IFERROR(INDEX(PP_Grid[#Data],M_BOM[PPGridRow],28),0))/25.35</f>
        <v/>
      </c>
      <c r="AC87">
        <f>SUMPRODUCT((M_BOM[Part Name]=$A87)*M_BOM[RM_Qty_Per_Batch]*IFERROR(INDEX(PP_Grid[#Data],M_BOM[PPGridRow],29),0))/25.35</f>
        <v/>
      </c>
      <c r="AD87">
        <f>SUMPRODUCT((M_BOM[Part Name]=$A87)*M_BOM[RM_Qty_Per_Batch]*IFERROR(INDEX(PP_Grid[#Data],M_BOM[PPGridRow],30),0))/25.35</f>
        <v/>
      </c>
      <c r="AE87">
        <f>SUMPRODUCT((M_BOM[Part Name]=$A87)*M_BOM[RM_Qty_Per_Batch]*IFERROR(INDEX(PP_Grid[#Data],M_BOM[PPGridRow],31),0))/25.35</f>
        <v/>
      </c>
      <c r="AF87">
        <f>SUMPRODUCT((M_BOM[Part Name]=$A87)*M_BOM[RM_Qty_Per_Batch]*IFERROR(INDEX(PP_Grid[#Data],M_BOM[PPGridRow],32),0))/25.35</f>
        <v/>
      </c>
      <c r="AG87">
        <f>SUMPRODUCT((M_BOM[Part Name]=$A87)*M_BOM[RM_Qty_Per_Batch]*IFERROR(INDEX(PP_Grid[#Data],M_BOM[PPGridRow],33),0))/25.35</f>
        <v/>
      </c>
      <c r="AH87">
        <f>SUMPRODUCT((M_BOM[Part Name]=$A87)*M_BOM[RM_Qty_Per_Batch]*IFERROR(INDEX(PP_Grid[#Data],M_BOM[PPGridRow],34),0))/25.35</f>
        <v/>
      </c>
      <c r="AI87">
        <f>SUMPRODUCT((M_BOM[Part Name]=$A87)*M_BOM[RM_Qty_Per_Batch]*IFERROR(INDEX(PP_Grid[#Data],M_BOM[PPGridRow],35),0))/25.35</f>
        <v/>
      </c>
      <c r="AJ87">
        <f>SUMPRODUCT((M_BOM[Part Name]=$A87)*M_BOM[RM_Qty_Per_Batch]*IFERROR(INDEX(PP_Grid[#Data],M_BOM[PPGridRow],36),0))/25.35</f>
        <v/>
      </c>
      <c r="AK87">
        <f>SUMPRODUCT((M_BOM[Part Name]=$A87)*M_BOM[RM_Qty_Per_Batch]*IFERROR(INDEX(PP_Grid[#Data],M_BOM[PPGridRow],37),0))/25.35</f>
        <v/>
      </c>
      <c r="AL87">
        <f>SUMPRODUCT((M_BOM[Part Name]=$A87)*M_BOM[RM_Qty_Per_Batch]*IFERROR(INDEX(PP_Grid[#Data],M_BOM[PPGridRow],38),0))/25.35</f>
        <v/>
      </c>
      <c r="AM87">
        <f>SUMPRODUCT((M_BOM[Part Name]=$A87)*M_BOM[RM_Qty_Per_Batch]*IFERROR(INDEX(PP_Grid[#Data],M_BOM[PPGridRow],39),0))/25.35</f>
        <v/>
      </c>
      <c r="AN87">
        <f>SUMPRODUCT((M_BOM[Part Name]=$A87)*M_BOM[RM_Qty_Per_Batch]*IFERROR(INDEX(PP_Grid[#Data],M_BOM[PPGridRow],40),0))/25.35</f>
        <v/>
      </c>
      <c r="AO87">
        <f>SUMPRODUCT((M_BOM[Part Name]=$A87)*M_BOM[RM_Qty_Per_Batch]*IFERROR(INDEX(PP_Grid[#Data],M_BOM[PPGridRow],41),0))/25.35</f>
        <v/>
      </c>
      <c r="AP87">
        <f>SUMPRODUCT((M_BOM[Part Name]=$A87)*M_BOM[RM_Qty_Per_Batch]*IFERROR(INDEX(PP_Grid[#Data],M_BOM[PPGridRow],42),0))/25.35</f>
        <v/>
      </c>
      <c r="AQ87">
        <f>SUMPRODUCT((M_BOM[Part Name]=$A87)*M_BOM[RM_Qty_Per_Batch]*IFERROR(INDEX(PP_Grid[#Data],M_BOM[PPGridRow],43),0))/25.35</f>
        <v/>
      </c>
      <c r="AR87">
        <f>SUMPRODUCT((M_BOM[Part Name]=$A87)*M_BOM[RM_Qty_Per_Batch]*IFERROR(INDEX(PP_Grid[#Data],M_BOM[PPGridRow],44),0))/25.35</f>
        <v/>
      </c>
      <c r="AS87">
        <f>SUMPRODUCT((M_BOM[Part Name]=$A87)*M_BOM[RM_Qty_Per_Batch]*IFERROR(INDEX(PP_Grid[#Data],M_BOM[PPGridRow],45),0))/25.35</f>
        <v/>
      </c>
      <c r="AT87">
        <f>SUMPRODUCT((M_BOM[Part Name]=$A87)*M_BOM[RM_Qty_Per_Batch]*IFERROR(INDEX(PP_Grid[#Data],M_BOM[PPGridRow],46),0))/25.35</f>
        <v/>
      </c>
      <c r="AU87">
        <f>SUMPRODUCT((M_BOM[Part Name]=$A87)*M_BOM[RM_Qty_Per_Batch]*IFERROR(INDEX(PP_Grid[#Data],M_BOM[PPGridRow],47),0))/25.35</f>
        <v/>
      </c>
      <c r="AV87">
        <f>SUMPRODUCT((M_BOM[Part Name]=$A87)*M_BOM[RM_Qty_Per_Batch]*IFERROR(INDEX(PP_Grid[#Data],M_BOM[PPGridRow],48),0))/25.35</f>
        <v/>
      </c>
      <c r="AW87">
        <f>SUMPRODUCT((M_BOM[Part Name]=$A87)*M_BOM[RM_Qty_Per_Batch]*IFERROR(INDEX(PP_Grid[#Data],M_BOM[PPGridRow],49),0))/25.35</f>
        <v/>
      </c>
      <c r="AX87">
        <f>SUMPRODUCT((M_BOM[Part Name]=$A87)*M_BOM[RM_Qty_Per_Batch]*IFERROR(INDEX(PP_Grid[#Data],M_BOM[PPGridRow],50),0))/25.35</f>
        <v/>
      </c>
      <c r="AY87">
        <f>SUMPRODUCT((M_BOM[Part Name]=$A87)*M_BOM[RM_Qty_Per_Batch]*IFERROR(INDEX(PP_Grid[#Data],M_BOM[PPGridRow],51),0))/25.35</f>
        <v/>
      </c>
      <c r="AZ87">
        <f>SUMPRODUCT((M_BOM[Part Name]=$A87)*M_BOM[RM_Qty_Per_Batch]*IFERROR(INDEX(PP_Grid[#Data],M_BOM[PPGridRow],52),0))/25.35</f>
        <v/>
      </c>
      <c r="BA87">
        <f>SUMPRODUCT((M_BOM[Part Name]=$A87)*M_BOM[RM_Qty_Per_Batch]*IFERROR(INDEX(PP_Grid[#Data],M_BOM[PPGridRow],53),0))/25.35</f>
        <v/>
      </c>
      <c r="BB87">
        <f>SUMPRODUCT((M_BOM[Part Name]=$A87)*M_BOM[RM_Qty_Per_Batch]*IFERROR(INDEX(PP_Grid[#Data],M_BOM[PPGridRow],54),0))/25.35</f>
        <v/>
      </c>
      <c r="BC87">
        <f>SUMPRODUCT((M_BOM[Part Name]=$A87)*M_BOM[RM_Qty_Per_Batch]*IFERROR(INDEX(PP_Grid[#Data],M_BOM[PPGridRow],55),0))/25.35</f>
        <v/>
      </c>
      <c r="BD87">
        <f>SUMPRODUCT((M_BOM[Part Name]=$A87)*M_BOM[RM_Qty_Per_Batch]*IFERROR(INDEX(PP_Grid[#Data],M_BOM[PPGridRow],56),0))/25.35</f>
        <v/>
      </c>
      <c r="BE87">
        <f>SUMPRODUCT((M_BOM[Part Name]=$A87)*M_BOM[RM_Qty_Per_Batch]*IFERROR(INDEX(PP_Grid[#Data],M_BOM[PPGridRow],57),0))/25.35</f>
        <v/>
      </c>
      <c r="BF87">
        <f>SUMPRODUCT((M_BOM[Part Name]=$A87)*M_BOM[RM_Qty_Per_Batch]*IFERROR(INDEX(PP_Grid[#Data],M_BOM[PPGridRow],58),0))/25.35</f>
        <v/>
      </c>
      <c r="BG87">
        <f>SUMPRODUCT((M_BOM[Part Name]=$A87)*M_BOM[RM_Qty_Per_Batch]*IFERROR(INDEX(PP_Grid[#Data],M_BOM[PPGridRow],59),0))/25.35</f>
        <v/>
      </c>
      <c r="BH87">
        <f>SUMPRODUCT((M_BOM[Part Name]=$A87)*M_BOM[RM_Qty_Per_Batch]*IFERROR(INDEX(PP_Grid[#Data],M_BOM[PPGridRow],60),0))/25.35</f>
        <v/>
      </c>
      <c r="BI87">
        <f>SUMPRODUCT((M_BOM[Part Name]=$A87)*M_BOM[RM_Qty_Per_Batch]*IFERROR(INDEX(PP_Grid[#Data],M_BOM[PPGridRow],61),0))/25.35</f>
        <v/>
      </c>
      <c r="BJ87">
        <f>SUMPRODUCT((M_BOM[Part Name]=$A87)*M_BOM[RM_Qty_Per_Batch]*IFERROR(INDEX(PP_Grid[#Data],M_BOM[PPGridRow],62),0))/25.35</f>
        <v/>
      </c>
      <c r="BK87">
        <f>SUMPRODUCT((M_BOM[Part Name]=$A87)*M_BOM[RM_Qty_Per_Batch]*IFERROR(INDEX(PP_Grid[#Data],M_BOM[PPGridRow],63),0))/25.35</f>
        <v/>
      </c>
      <c r="BL87">
        <f>SUMPRODUCT((M_BOM[Part Name]=$A87)*M_BOM[RM_Qty_Per_Batch]*IFERROR(INDEX(PP_Grid[#Data],M_BOM[PPGridRow],64),0))/25.35</f>
        <v/>
      </c>
      <c r="BM87">
        <f>SUMPRODUCT((M_BOM[Part Name]=$A87)*M_BOM[RM_Qty_Per_Batch]*IFERROR(INDEX(PP_Grid[#Data],M_BOM[PPGridRow],65),0))/25.35</f>
        <v/>
      </c>
      <c r="BN87">
        <f>SUMPRODUCT((M_BOM[Part Name]=$A87)*M_BOM[RM_Qty_Per_Batch]*IFERROR(INDEX(PP_Grid[#Data],M_BOM[PPGridRow],66),0))/25.35</f>
        <v/>
      </c>
      <c r="BO87">
        <f>SUMPRODUCT((M_BOM[Part Name]=$A87)*M_BOM[RM_Qty_Per_Batch]*IFERROR(INDEX(PP_Grid[#Data],M_BOM[PPGridRow],67),0))/25.35</f>
        <v/>
      </c>
      <c r="BP87">
        <f>SUMPRODUCT((M_BOM[Part Name]=$A87)*M_BOM[RM_Qty_Per_Batch]*IFERROR(INDEX(PP_Grid[#Data],M_BOM[PPGridRow],68),0))/25.35</f>
        <v/>
      </c>
      <c r="BQ87">
        <f>SUMPRODUCT((M_BOM[Part Name]=$A87)*M_BOM[RM_Qty_Per_Batch]*IFERROR(INDEX(PP_Grid[#Data],M_BOM[PPGridRow],69),0))/25.35</f>
        <v/>
      </c>
      <c r="BR87">
        <f>SUMPRODUCT((M_BOM[Part Name]=$A87)*M_BOM[RM_Qty_Per_Batch]*IFERROR(INDEX(PP_Grid[#Data],M_BOM[PPGridRow],70),0))/25.35</f>
        <v/>
      </c>
      <c r="BS87">
        <f>SUMPRODUCT((M_BOM[Part Name]=$A87)*M_BOM[RM_Qty_Per_Batch]*IFERROR(INDEX(PP_Grid[#Data],M_BOM[PPGridRow],71),0))/25.35</f>
        <v/>
      </c>
      <c r="BT87">
        <f>SUMPRODUCT((M_BOM[Part Name]=$A87)*M_BOM[RM_Qty_Per_Batch]*IFERROR(INDEX(PP_Grid[#Data],M_BOM[PPGridRow],72),0))/25.35</f>
        <v/>
      </c>
      <c r="BU87">
        <f>SUMPRODUCT((M_BOM[Part Name]=$A87)*M_BOM[RM_Qty_Per_Batch]*IFERROR(INDEX(PP_Grid[#Data],M_BOM[PPGridRow],73),0))/25.35</f>
        <v/>
      </c>
      <c r="BV87">
        <f>SUMPRODUCT((M_BOM[Part Name]=$A87)*M_BOM[RM_Qty_Per_Batch]*IFERROR(INDEX(PP_Grid[#Data],M_BOM[PPGridRow],74),0))/25.35</f>
        <v/>
      </c>
      <c r="BW87">
        <f>SUMPRODUCT((M_BOM[Part Name]=$A87)*M_BOM[RM_Qty_Per_Batch]*IFERROR(INDEX(PP_Grid[#Data],M_BOM[PPGridRow],75),0))/25.35</f>
        <v/>
      </c>
      <c r="BX87">
        <f>SUMPRODUCT((M_BOM[Part Name]=$A87)*M_BOM[RM_Qty_Per_Batch]*IFERROR(INDEX(PP_Grid[#Data],M_BOM[PPGridRow],76),0))/25.35</f>
        <v/>
      </c>
      <c r="BY87">
        <f>SUMPRODUCT((M_BOM[Part Name]=$A87)*M_BOM[RM_Qty_Per_Batch]*IFERROR(INDEX(PP_Grid[#Data],M_BOM[PPGridRow],77),0))/25.35</f>
        <v/>
      </c>
      <c r="BZ87">
        <f>SUMPRODUCT((M_BOM[Part Name]=$A87)*M_BOM[RM_Qty_Per_Batch]*IFERROR(INDEX(PP_Grid[#Data],M_BOM[PPGridRow],78),0))/25.35</f>
        <v/>
      </c>
      <c r="CA87">
        <f>SUMPRODUCT((M_BOM[Part Name]=$A87)*M_BOM[RM_Qty_Per_Batch]*IFERROR(INDEX(PP_Grid[#Data],M_BOM[PPGridRow],79),0))/25.35</f>
        <v/>
      </c>
      <c r="CB87">
        <f>SUMPRODUCT((M_BOM[Part Name]=$A87)*M_BOM[RM_Qty_Per_Batch]*IFERROR(INDEX(PP_Grid[#Data],M_BOM[PPGridRow],80),0))/25.35</f>
        <v/>
      </c>
      <c r="CC87">
        <f>SUMPRODUCT((M_BOM[Part Name]=$A87)*M_BOM[RM_Qty_Per_Batch]*IFERROR(INDEX(PP_Grid[#Data],M_BOM[PPGridRow],81),0))/25.35</f>
        <v/>
      </c>
      <c r="CD87">
        <f>SUMPRODUCT((M_BOM[Part Name]=$A87)*M_BOM[RM_Qty_Per_Batch]*IFERROR(INDEX(PP_Grid[#Data],M_BOM[PPGridRow],82),0))/25.35</f>
        <v/>
      </c>
      <c r="CE87">
        <f>SUMPRODUCT((M_BOM[Part Name]=$A87)*M_BOM[RM_Qty_Per_Batch]*IFERROR(INDEX(PP_Grid[#Data],M_BOM[PPGridRow],83),0))/25.35</f>
        <v/>
      </c>
      <c r="CF87">
        <f>SUMPRODUCT((M_BOM[Part Name]=$A87)*M_BOM[RM_Qty_Per_Batch]*IFERROR(INDEX(PP_Grid[#Data],M_BOM[PPGridRow],84),0))/25.35</f>
        <v/>
      </c>
      <c r="CG87">
        <f>SUMPRODUCT((M_BOM[Part Name]=$A87)*M_BOM[RM_Qty_Per_Batch]*IFERROR(INDEX(PP_Grid[#Data],M_BOM[PPGridRow],85),0))/25.35</f>
        <v/>
      </c>
      <c r="CH87">
        <f>SUMPRODUCT((M_BOM[Part Name]=$A87)*M_BOM[RM_Qty_Per_Batch]*IFERROR(INDEX(PP_Grid[#Data],M_BOM[PPGridRow],86),0))/25.35</f>
        <v/>
      </c>
      <c r="CI87">
        <f>SUMPRODUCT((M_BOM[Part Name]=$A87)*M_BOM[RM_Qty_Per_Batch]*IFERROR(INDEX(PP_Grid[#Data],M_BOM[PPGridRow],87),0))/25.35</f>
        <v/>
      </c>
      <c r="CJ87">
        <f>SUMPRODUCT((M_BOM[Part Name]=$A87)*M_BOM[RM_Qty_Per_Batch]*IFERROR(INDEX(PP_Grid[#Data],M_BOM[PPGridRow],88),0))/25.35</f>
        <v/>
      </c>
      <c r="CK87">
        <f>SUMPRODUCT((M_BOM[Part Name]=$A87)*M_BOM[RM_Qty_Per_Batch]*IFERROR(INDEX(PP_Grid[#Data],M_BOM[PPGridRow],89),0))/25.35</f>
        <v/>
      </c>
      <c r="CL87">
        <f>SUMPRODUCT((M_BOM[Part Name]=$A87)*M_BOM[RM_Qty_Per_Batch]*IFERROR(INDEX(PP_Grid[#Data],M_BOM[PPGridRow],90),0))/25.35</f>
        <v/>
      </c>
      <c r="CM87">
        <f>SUMPRODUCT((M_BOM[Part Name]=$A87)*M_BOM[RM_Qty_Per_Batch]*IFERROR(INDEX(PP_Grid[#Data],M_BOM[PPGridRow],91),0))/25.35</f>
        <v/>
      </c>
      <c r="CN87">
        <f>SUMPRODUCT((M_BOM[Part Name]=$A87)*M_BOM[RM_Qty_Per_Batch]*IFERROR(INDEX(PP_Grid[#Data],M_BOM[PPGridRow],92),0))/25.35</f>
        <v/>
      </c>
      <c r="CO87">
        <f>SUMPRODUCT((M_BOM[Part Name]=$A87)*M_BOM[RM_Qty_Per_Batch]*IFERROR(INDEX(PP_Grid[#Data],M_BOM[PPGridRow],93),0))/25.35</f>
        <v/>
      </c>
      <c r="CP87">
        <f>SUMPRODUCT((M_BOM[Part Name]=$A87)*M_BOM[RM_Qty_Per_Batch]*IFERROR(INDEX(PP_Grid[#Data],M_BOM[PPGridRow],94),0))/25.35</f>
        <v/>
      </c>
      <c r="CQ87">
        <f>SUMPRODUCT((M_BOM[Part Name]=$A87)*M_BOM[RM_Qty_Per_Batch]*IFERROR(INDEX(PP_Grid[#Data],M_BOM[PPGridRow],95),0))/25.35</f>
        <v/>
      </c>
      <c r="CR87">
        <f>SUMPRODUCT((M_BOM[Part Name]=$A87)*M_BOM[RM_Qty_Per_Batch]*IFERROR(INDEX(PP_Grid[#Data],M_BOM[PPGridRow],96),0))/25.35</f>
        <v/>
      </c>
      <c r="CS87">
        <f>SUMPRODUCT((M_BOM[Part Name]=$A87)*M_BOM[RM_Qty_Per_Batch]*IFERROR(INDEX(PP_Grid[#Data],M_BOM[PPGridRow],97),0))/25.35</f>
        <v/>
      </c>
      <c r="CT87">
        <f>SUMPRODUCT((M_BOM[Part Name]=$A87)*M_BOM[RM_Qty_Per_Batch]*IFERROR(INDEX(PP_Grid[#Data],M_BOM[PPGridRow],98),0))/25.35</f>
        <v/>
      </c>
      <c r="CU87">
        <f>SUMPRODUCT((M_BOM[Part Name]=$A87)*M_BOM[RM_Qty_Per_Batch]*IFERROR(INDEX(PP_Grid[#Data],M_BOM[PPGridRow],99),0))/25.35</f>
        <v/>
      </c>
      <c r="CV87">
        <f>SUMPRODUCT((M_BOM[Part Name]=$A87)*M_BOM[RM_Qty_Per_Batch]*IFERROR(INDEX(PP_Grid[#Data],M_BOM[PPGridRow],100),0))/25.35</f>
        <v/>
      </c>
      <c r="CW87">
        <f>SUMPRODUCT((M_BOM[Part Name]=$A87)*M_BOM[RM_Qty_Per_Batch]*IFERROR(INDEX(PP_Grid[#Data],M_BOM[PPGridRow],101),0))/25.35</f>
        <v/>
      </c>
      <c r="CX87">
        <f>SUMPRODUCT((M_BOM[Part Name]=$A87)*M_BOM[RM_Qty_Per_Batch]*IFERROR(INDEX(PP_Grid[#Data],M_BOM[PPGridRow],102),0))/25.35</f>
        <v/>
      </c>
      <c r="CY87">
        <f>SUMPRODUCT((M_BOM[Part Name]=$A87)*M_BOM[RM_Qty_Per_Batch]*IFERROR(INDEX(PP_Grid[#Data],M_BOM[PPGridRow],103),0))/25.35</f>
        <v/>
      </c>
      <c r="CZ87">
        <f>SUMPRODUCT((M_BOM[Part Name]=$A87)*M_BOM[RM_Qty_Per_Batch]*IFERROR(INDEX(PP_Grid[#Data],M_BOM[PPGridRow],104),0))/25.35</f>
        <v/>
      </c>
      <c r="DA87">
        <f>SUMPRODUCT((M_BOM[Part Name]=$A87)*M_BOM[RM_Qty_Per_Batch]*IFERROR(INDEX(PP_Grid[#Data],M_BOM[PPGridRow],105),0))/25.35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Name]=$A88)*M_BOM[RM_Qty_Per_Batch]*IFERROR(INDEX(PP_Grid[#Data],M_BOM[PPGridRow],2),0))/25.91</f>
        <v/>
      </c>
      <c r="C88">
        <f>SUMPRODUCT((M_BOM[Part Name]=$A88)*M_BOM[RM_Qty_Per_Batch]*IFERROR(INDEX(PP_Grid[#Data],M_BOM[PPGridRow],3),0))/25.91</f>
        <v/>
      </c>
      <c r="D88">
        <f>SUMPRODUCT((M_BOM[Part Name]=$A88)*M_BOM[RM_Qty_Per_Batch]*IFERROR(INDEX(PP_Grid[#Data],M_BOM[PPGridRow],4),0))/25.91</f>
        <v/>
      </c>
      <c r="E88">
        <f>SUMPRODUCT((M_BOM[Part Name]=$A88)*M_BOM[RM_Qty_Per_Batch]*IFERROR(INDEX(PP_Grid[#Data],M_BOM[PPGridRow],5),0))/25.91</f>
        <v/>
      </c>
      <c r="F88">
        <f>SUMPRODUCT((M_BOM[Part Name]=$A88)*M_BOM[RM_Qty_Per_Batch]*IFERROR(INDEX(PP_Grid[#Data],M_BOM[PPGridRow],6),0))/25.91</f>
        <v/>
      </c>
      <c r="G88">
        <f>SUMPRODUCT((M_BOM[Part Name]=$A88)*M_BOM[RM_Qty_Per_Batch]*IFERROR(INDEX(PP_Grid[#Data],M_BOM[PPGridRow],7),0))/25.91</f>
        <v/>
      </c>
      <c r="H88">
        <f>SUMPRODUCT((M_BOM[Part Name]=$A88)*M_BOM[RM_Qty_Per_Batch]*IFERROR(INDEX(PP_Grid[#Data],M_BOM[PPGridRow],8),0))/25.91</f>
        <v/>
      </c>
      <c r="I88">
        <f>SUMPRODUCT((M_BOM[Part Name]=$A88)*M_BOM[RM_Qty_Per_Batch]*IFERROR(INDEX(PP_Grid[#Data],M_BOM[PPGridRow],9),0))/25.91</f>
        <v/>
      </c>
      <c r="J88">
        <f>SUMPRODUCT((M_BOM[Part Name]=$A88)*M_BOM[RM_Qty_Per_Batch]*IFERROR(INDEX(PP_Grid[#Data],M_BOM[PPGridRow],10),0))/25.91</f>
        <v/>
      </c>
      <c r="K88">
        <f>SUMPRODUCT((M_BOM[Part Name]=$A88)*M_BOM[RM_Qty_Per_Batch]*IFERROR(INDEX(PP_Grid[#Data],M_BOM[PPGridRow],11),0))/25.91</f>
        <v/>
      </c>
      <c r="L88">
        <f>SUMPRODUCT((M_BOM[Part Name]=$A88)*M_BOM[RM_Qty_Per_Batch]*IFERROR(INDEX(PP_Grid[#Data],M_BOM[PPGridRow],12),0))/25.91</f>
        <v/>
      </c>
      <c r="M88">
        <f>SUMPRODUCT((M_BOM[Part Name]=$A88)*M_BOM[RM_Qty_Per_Batch]*IFERROR(INDEX(PP_Grid[#Data],M_BOM[PPGridRow],13),0))/25.91</f>
        <v/>
      </c>
      <c r="N88">
        <f>SUMPRODUCT((M_BOM[Part Name]=$A88)*M_BOM[RM_Qty_Per_Batch]*IFERROR(INDEX(PP_Grid[#Data],M_BOM[PPGridRow],14),0))/25.91</f>
        <v/>
      </c>
      <c r="O88">
        <f>SUMPRODUCT((M_BOM[Part Name]=$A88)*M_BOM[RM_Qty_Per_Batch]*IFERROR(INDEX(PP_Grid[#Data],M_BOM[PPGridRow],15),0))/25.91</f>
        <v/>
      </c>
      <c r="P88">
        <f>SUMPRODUCT((M_BOM[Part Name]=$A88)*M_BOM[RM_Qty_Per_Batch]*IFERROR(INDEX(PP_Grid[#Data],M_BOM[PPGridRow],16),0))/25.91</f>
        <v/>
      </c>
      <c r="Q88">
        <f>SUMPRODUCT((M_BOM[Part Name]=$A88)*M_BOM[RM_Qty_Per_Batch]*IFERROR(INDEX(PP_Grid[#Data],M_BOM[PPGridRow],17),0))/25.91</f>
        <v/>
      </c>
      <c r="R88">
        <f>SUMPRODUCT((M_BOM[Part Name]=$A88)*M_BOM[RM_Qty_Per_Batch]*IFERROR(INDEX(PP_Grid[#Data],M_BOM[PPGridRow],18),0))/25.91</f>
        <v/>
      </c>
      <c r="S88">
        <f>SUMPRODUCT((M_BOM[Part Name]=$A88)*M_BOM[RM_Qty_Per_Batch]*IFERROR(INDEX(PP_Grid[#Data],M_BOM[PPGridRow],19),0))/25.91</f>
        <v/>
      </c>
      <c r="T88">
        <f>SUMPRODUCT((M_BOM[Part Name]=$A88)*M_BOM[RM_Qty_Per_Batch]*IFERROR(INDEX(PP_Grid[#Data],M_BOM[PPGridRow],20),0))/25.91</f>
        <v/>
      </c>
      <c r="U88">
        <f>SUMPRODUCT((M_BOM[Part Name]=$A88)*M_BOM[RM_Qty_Per_Batch]*IFERROR(INDEX(PP_Grid[#Data],M_BOM[PPGridRow],21),0))/25.91</f>
        <v/>
      </c>
      <c r="V88">
        <f>SUMPRODUCT((M_BOM[Part Name]=$A88)*M_BOM[RM_Qty_Per_Batch]*IFERROR(INDEX(PP_Grid[#Data],M_BOM[PPGridRow],22),0))/25.91</f>
        <v/>
      </c>
      <c r="W88">
        <f>SUMPRODUCT((M_BOM[Part Name]=$A88)*M_BOM[RM_Qty_Per_Batch]*IFERROR(INDEX(PP_Grid[#Data],M_BOM[PPGridRow],23),0))/25.91</f>
        <v/>
      </c>
      <c r="X88">
        <f>SUMPRODUCT((M_BOM[Part Name]=$A88)*M_BOM[RM_Qty_Per_Batch]*IFERROR(INDEX(PP_Grid[#Data],M_BOM[PPGridRow],24),0))/25.91</f>
        <v/>
      </c>
      <c r="Y88">
        <f>SUMPRODUCT((M_BOM[Part Name]=$A88)*M_BOM[RM_Qty_Per_Batch]*IFERROR(INDEX(PP_Grid[#Data],M_BOM[PPGridRow],25),0))/25.91</f>
        <v/>
      </c>
      <c r="Z88">
        <f>SUMPRODUCT((M_BOM[Part Name]=$A88)*M_BOM[RM_Qty_Per_Batch]*IFERROR(INDEX(PP_Grid[#Data],M_BOM[PPGridRow],26),0))/25.91</f>
        <v/>
      </c>
      <c r="AA88">
        <f>SUMPRODUCT((M_BOM[Part Name]=$A88)*M_BOM[RM_Qty_Per_Batch]*IFERROR(INDEX(PP_Grid[#Data],M_BOM[PPGridRow],27),0))/25.91</f>
        <v/>
      </c>
      <c r="AB88">
        <f>SUMPRODUCT((M_BOM[Part Name]=$A88)*M_BOM[RM_Qty_Per_Batch]*IFERROR(INDEX(PP_Grid[#Data],M_BOM[PPGridRow],28),0))/25.91</f>
        <v/>
      </c>
      <c r="AC88">
        <f>SUMPRODUCT((M_BOM[Part Name]=$A88)*M_BOM[RM_Qty_Per_Batch]*IFERROR(INDEX(PP_Grid[#Data],M_BOM[PPGridRow],29),0))/25.91</f>
        <v/>
      </c>
      <c r="AD88">
        <f>SUMPRODUCT((M_BOM[Part Name]=$A88)*M_BOM[RM_Qty_Per_Batch]*IFERROR(INDEX(PP_Grid[#Data],M_BOM[PPGridRow],30),0))/25.91</f>
        <v/>
      </c>
      <c r="AE88">
        <f>SUMPRODUCT((M_BOM[Part Name]=$A88)*M_BOM[RM_Qty_Per_Batch]*IFERROR(INDEX(PP_Grid[#Data],M_BOM[PPGridRow],31),0))/25.91</f>
        <v/>
      </c>
      <c r="AF88">
        <f>SUMPRODUCT((M_BOM[Part Name]=$A88)*M_BOM[RM_Qty_Per_Batch]*IFERROR(INDEX(PP_Grid[#Data],M_BOM[PPGridRow],32),0))/25.91</f>
        <v/>
      </c>
      <c r="AG88">
        <f>SUMPRODUCT((M_BOM[Part Name]=$A88)*M_BOM[RM_Qty_Per_Batch]*IFERROR(INDEX(PP_Grid[#Data],M_BOM[PPGridRow],33),0))/25.91</f>
        <v/>
      </c>
      <c r="AH88">
        <f>SUMPRODUCT((M_BOM[Part Name]=$A88)*M_BOM[RM_Qty_Per_Batch]*IFERROR(INDEX(PP_Grid[#Data],M_BOM[PPGridRow],34),0))/25.91</f>
        <v/>
      </c>
      <c r="AI88">
        <f>SUMPRODUCT((M_BOM[Part Name]=$A88)*M_BOM[RM_Qty_Per_Batch]*IFERROR(INDEX(PP_Grid[#Data],M_BOM[PPGridRow],35),0))/25.91</f>
        <v/>
      </c>
      <c r="AJ88">
        <f>SUMPRODUCT((M_BOM[Part Name]=$A88)*M_BOM[RM_Qty_Per_Batch]*IFERROR(INDEX(PP_Grid[#Data],M_BOM[PPGridRow],36),0))/25.91</f>
        <v/>
      </c>
      <c r="AK88">
        <f>SUMPRODUCT((M_BOM[Part Name]=$A88)*M_BOM[RM_Qty_Per_Batch]*IFERROR(INDEX(PP_Grid[#Data],M_BOM[PPGridRow],37),0))/25.91</f>
        <v/>
      </c>
      <c r="AL88">
        <f>SUMPRODUCT((M_BOM[Part Name]=$A88)*M_BOM[RM_Qty_Per_Batch]*IFERROR(INDEX(PP_Grid[#Data],M_BOM[PPGridRow],38),0))/25.91</f>
        <v/>
      </c>
      <c r="AM88">
        <f>SUMPRODUCT((M_BOM[Part Name]=$A88)*M_BOM[RM_Qty_Per_Batch]*IFERROR(INDEX(PP_Grid[#Data],M_BOM[PPGridRow],39),0))/25.91</f>
        <v/>
      </c>
      <c r="AN88">
        <f>SUMPRODUCT((M_BOM[Part Name]=$A88)*M_BOM[RM_Qty_Per_Batch]*IFERROR(INDEX(PP_Grid[#Data],M_BOM[PPGridRow],40),0))/25.91</f>
        <v/>
      </c>
      <c r="AO88">
        <f>SUMPRODUCT((M_BOM[Part Name]=$A88)*M_BOM[RM_Qty_Per_Batch]*IFERROR(INDEX(PP_Grid[#Data],M_BOM[PPGridRow],41),0))/25.91</f>
        <v/>
      </c>
      <c r="AP88">
        <f>SUMPRODUCT((M_BOM[Part Name]=$A88)*M_BOM[RM_Qty_Per_Batch]*IFERROR(INDEX(PP_Grid[#Data],M_BOM[PPGridRow],42),0))/25.91</f>
        <v/>
      </c>
      <c r="AQ88">
        <f>SUMPRODUCT((M_BOM[Part Name]=$A88)*M_BOM[RM_Qty_Per_Batch]*IFERROR(INDEX(PP_Grid[#Data],M_BOM[PPGridRow],43),0))/25.91</f>
        <v/>
      </c>
      <c r="AR88">
        <f>SUMPRODUCT((M_BOM[Part Name]=$A88)*M_BOM[RM_Qty_Per_Batch]*IFERROR(INDEX(PP_Grid[#Data],M_BOM[PPGridRow],44),0))/25.91</f>
        <v/>
      </c>
      <c r="AS88">
        <f>SUMPRODUCT((M_BOM[Part Name]=$A88)*M_BOM[RM_Qty_Per_Batch]*IFERROR(INDEX(PP_Grid[#Data],M_BOM[PPGridRow],45),0))/25.91</f>
        <v/>
      </c>
      <c r="AT88">
        <f>SUMPRODUCT((M_BOM[Part Name]=$A88)*M_BOM[RM_Qty_Per_Batch]*IFERROR(INDEX(PP_Grid[#Data],M_BOM[PPGridRow],46),0))/25.91</f>
        <v/>
      </c>
      <c r="AU88">
        <f>SUMPRODUCT((M_BOM[Part Name]=$A88)*M_BOM[RM_Qty_Per_Batch]*IFERROR(INDEX(PP_Grid[#Data],M_BOM[PPGridRow],47),0))/25.91</f>
        <v/>
      </c>
      <c r="AV88">
        <f>SUMPRODUCT((M_BOM[Part Name]=$A88)*M_BOM[RM_Qty_Per_Batch]*IFERROR(INDEX(PP_Grid[#Data],M_BOM[PPGridRow],48),0))/25.91</f>
        <v/>
      </c>
      <c r="AW88">
        <f>SUMPRODUCT((M_BOM[Part Name]=$A88)*M_BOM[RM_Qty_Per_Batch]*IFERROR(INDEX(PP_Grid[#Data],M_BOM[PPGridRow],49),0))/25.91</f>
        <v/>
      </c>
      <c r="AX88">
        <f>SUMPRODUCT((M_BOM[Part Name]=$A88)*M_BOM[RM_Qty_Per_Batch]*IFERROR(INDEX(PP_Grid[#Data],M_BOM[PPGridRow],50),0))/25.91</f>
        <v/>
      </c>
      <c r="AY88">
        <f>SUMPRODUCT((M_BOM[Part Name]=$A88)*M_BOM[RM_Qty_Per_Batch]*IFERROR(INDEX(PP_Grid[#Data],M_BOM[PPGridRow],51),0))/25.91</f>
        <v/>
      </c>
      <c r="AZ88">
        <f>SUMPRODUCT((M_BOM[Part Name]=$A88)*M_BOM[RM_Qty_Per_Batch]*IFERROR(INDEX(PP_Grid[#Data],M_BOM[PPGridRow],52),0))/25.91</f>
        <v/>
      </c>
      <c r="BA88">
        <f>SUMPRODUCT((M_BOM[Part Name]=$A88)*M_BOM[RM_Qty_Per_Batch]*IFERROR(INDEX(PP_Grid[#Data],M_BOM[PPGridRow],53),0))/25.91</f>
        <v/>
      </c>
      <c r="BB88">
        <f>SUMPRODUCT((M_BOM[Part Name]=$A88)*M_BOM[RM_Qty_Per_Batch]*IFERROR(INDEX(PP_Grid[#Data],M_BOM[PPGridRow],54),0))/25.91</f>
        <v/>
      </c>
      <c r="BC88">
        <f>SUMPRODUCT((M_BOM[Part Name]=$A88)*M_BOM[RM_Qty_Per_Batch]*IFERROR(INDEX(PP_Grid[#Data],M_BOM[PPGridRow],55),0))/25.91</f>
        <v/>
      </c>
      <c r="BD88">
        <f>SUMPRODUCT((M_BOM[Part Name]=$A88)*M_BOM[RM_Qty_Per_Batch]*IFERROR(INDEX(PP_Grid[#Data],M_BOM[PPGridRow],56),0))/25.91</f>
        <v/>
      </c>
      <c r="BE88">
        <f>SUMPRODUCT((M_BOM[Part Name]=$A88)*M_BOM[RM_Qty_Per_Batch]*IFERROR(INDEX(PP_Grid[#Data],M_BOM[PPGridRow],57),0))/25.91</f>
        <v/>
      </c>
      <c r="BF88">
        <f>SUMPRODUCT((M_BOM[Part Name]=$A88)*M_BOM[RM_Qty_Per_Batch]*IFERROR(INDEX(PP_Grid[#Data],M_BOM[PPGridRow],58),0))/25.91</f>
        <v/>
      </c>
      <c r="BG88">
        <f>SUMPRODUCT((M_BOM[Part Name]=$A88)*M_BOM[RM_Qty_Per_Batch]*IFERROR(INDEX(PP_Grid[#Data],M_BOM[PPGridRow],59),0))/25.91</f>
        <v/>
      </c>
      <c r="BH88">
        <f>SUMPRODUCT((M_BOM[Part Name]=$A88)*M_BOM[RM_Qty_Per_Batch]*IFERROR(INDEX(PP_Grid[#Data],M_BOM[PPGridRow],60),0))/25.91</f>
        <v/>
      </c>
      <c r="BI88">
        <f>SUMPRODUCT((M_BOM[Part Name]=$A88)*M_BOM[RM_Qty_Per_Batch]*IFERROR(INDEX(PP_Grid[#Data],M_BOM[PPGridRow],61),0))/25.91</f>
        <v/>
      </c>
      <c r="BJ88">
        <f>SUMPRODUCT((M_BOM[Part Name]=$A88)*M_BOM[RM_Qty_Per_Batch]*IFERROR(INDEX(PP_Grid[#Data],M_BOM[PPGridRow],62),0))/25.91</f>
        <v/>
      </c>
      <c r="BK88">
        <f>SUMPRODUCT((M_BOM[Part Name]=$A88)*M_BOM[RM_Qty_Per_Batch]*IFERROR(INDEX(PP_Grid[#Data],M_BOM[PPGridRow],63),0))/25.91</f>
        <v/>
      </c>
      <c r="BL88">
        <f>SUMPRODUCT((M_BOM[Part Name]=$A88)*M_BOM[RM_Qty_Per_Batch]*IFERROR(INDEX(PP_Grid[#Data],M_BOM[PPGridRow],64),0))/25.91</f>
        <v/>
      </c>
      <c r="BM88">
        <f>SUMPRODUCT((M_BOM[Part Name]=$A88)*M_BOM[RM_Qty_Per_Batch]*IFERROR(INDEX(PP_Grid[#Data],M_BOM[PPGridRow],65),0))/25.91</f>
        <v/>
      </c>
      <c r="BN88">
        <f>SUMPRODUCT((M_BOM[Part Name]=$A88)*M_BOM[RM_Qty_Per_Batch]*IFERROR(INDEX(PP_Grid[#Data],M_BOM[PPGridRow],66),0))/25.91</f>
        <v/>
      </c>
      <c r="BO88">
        <f>SUMPRODUCT((M_BOM[Part Name]=$A88)*M_BOM[RM_Qty_Per_Batch]*IFERROR(INDEX(PP_Grid[#Data],M_BOM[PPGridRow],67),0))/25.91</f>
        <v/>
      </c>
      <c r="BP88">
        <f>SUMPRODUCT((M_BOM[Part Name]=$A88)*M_BOM[RM_Qty_Per_Batch]*IFERROR(INDEX(PP_Grid[#Data],M_BOM[PPGridRow],68),0))/25.91</f>
        <v/>
      </c>
      <c r="BQ88">
        <f>SUMPRODUCT((M_BOM[Part Name]=$A88)*M_BOM[RM_Qty_Per_Batch]*IFERROR(INDEX(PP_Grid[#Data],M_BOM[PPGridRow],69),0))/25.91</f>
        <v/>
      </c>
      <c r="BR88">
        <f>SUMPRODUCT((M_BOM[Part Name]=$A88)*M_BOM[RM_Qty_Per_Batch]*IFERROR(INDEX(PP_Grid[#Data],M_BOM[PPGridRow],70),0))/25.91</f>
        <v/>
      </c>
      <c r="BS88">
        <f>SUMPRODUCT((M_BOM[Part Name]=$A88)*M_BOM[RM_Qty_Per_Batch]*IFERROR(INDEX(PP_Grid[#Data],M_BOM[PPGridRow],71),0))/25.91</f>
        <v/>
      </c>
      <c r="BT88">
        <f>SUMPRODUCT((M_BOM[Part Name]=$A88)*M_BOM[RM_Qty_Per_Batch]*IFERROR(INDEX(PP_Grid[#Data],M_BOM[PPGridRow],72),0))/25.91</f>
        <v/>
      </c>
      <c r="BU88">
        <f>SUMPRODUCT((M_BOM[Part Name]=$A88)*M_BOM[RM_Qty_Per_Batch]*IFERROR(INDEX(PP_Grid[#Data],M_BOM[PPGridRow],73),0))/25.91</f>
        <v/>
      </c>
      <c r="BV88">
        <f>SUMPRODUCT((M_BOM[Part Name]=$A88)*M_BOM[RM_Qty_Per_Batch]*IFERROR(INDEX(PP_Grid[#Data],M_BOM[PPGridRow],74),0))/25.91</f>
        <v/>
      </c>
      <c r="BW88">
        <f>SUMPRODUCT((M_BOM[Part Name]=$A88)*M_BOM[RM_Qty_Per_Batch]*IFERROR(INDEX(PP_Grid[#Data],M_BOM[PPGridRow],75),0))/25.91</f>
        <v/>
      </c>
      <c r="BX88">
        <f>SUMPRODUCT((M_BOM[Part Name]=$A88)*M_BOM[RM_Qty_Per_Batch]*IFERROR(INDEX(PP_Grid[#Data],M_BOM[PPGridRow],76),0))/25.91</f>
        <v/>
      </c>
      <c r="BY88">
        <f>SUMPRODUCT((M_BOM[Part Name]=$A88)*M_BOM[RM_Qty_Per_Batch]*IFERROR(INDEX(PP_Grid[#Data],M_BOM[PPGridRow],77),0))/25.91</f>
        <v/>
      </c>
      <c r="BZ88">
        <f>SUMPRODUCT((M_BOM[Part Name]=$A88)*M_BOM[RM_Qty_Per_Batch]*IFERROR(INDEX(PP_Grid[#Data],M_BOM[PPGridRow],78),0))/25.91</f>
        <v/>
      </c>
      <c r="CA88">
        <f>SUMPRODUCT((M_BOM[Part Name]=$A88)*M_BOM[RM_Qty_Per_Batch]*IFERROR(INDEX(PP_Grid[#Data],M_BOM[PPGridRow],79),0))/25.91</f>
        <v/>
      </c>
      <c r="CB88">
        <f>SUMPRODUCT((M_BOM[Part Name]=$A88)*M_BOM[RM_Qty_Per_Batch]*IFERROR(INDEX(PP_Grid[#Data],M_BOM[PPGridRow],80),0))/25.91</f>
        <v/>
      </c>
      <c r="CC88">
        <f>SUMPRODUCT((M_BOM[Part Name]=$A88)*M_BOM[RM_Qty_Per_Batch]*IFERROR(INDEX(PP_Grid[#Data],M_BOM[PPGridRow],81),0))/25.91</f>
        <v/>
      </c>
      <c r="CD88">
        <f>SUMPRODUCT((M_BOM[Part Name]=$A88)*M_BOM[RM_Qty_Per_Batch]*IFERROR(INDEX(PP_Grid[#Data],M_BOM[PPGridRow],82),0))/25.91</f>
        <v/>
      </c>
      <c r="CE88">
        <f>SUMPRODUCT((M_BOM[Part Name]=$A88)*M_BOM[RM_Qty_Per_Batch]*IFERROR(INDEX(PP_Grid[#Data],M_BOM[PPGridRow],83),0))/25.91</f>
        <v/>
      </c>
      <c r="CF88">
        <f>SUMPRODUCT((M_BOM[Part Name]=$A88)*M_BOM[RM_Qty_Per_Batch]*IFERROR(INDEX(PP_Grid[#Data],M_BOM[PPGridRow],84),0))/25.91</f>
        <v/>
      </c>
      <c r="CG88">
        <f>SUMPRODUCT((M_BOM[Part Name]=$A88)*M_BOM[RM_Qty_Per_Batch]*IFERROR(INDEX(PP_Grid[#Data],M_BOM[PPGridRow],85),0))/25.91</f>
        <v/>
      </c>
      <c r="CH88">
        <f>SUMPRODUCT((M_BOM[Part Name]=$A88)*M_BOM[RM_Qty_Per_Batch]*IFERROR(INDEX(PP_Grid[#Data],M_BOM[PPGridRow],86),0))/25.91</f>
        <v/>
      </c>
      <c r="CI88">
        <f>SUMPRODUCT((M_BOM[Part Name]=$A88)*M_BOM[RM_Qty_Per_Batch]*IFERROR(INDEX(PP_Grid[#Data],M_BOM[PPGridRow],87),0))/25.91</f>
        <v/>
      </c>
      <c r="CJ88">
        <f>SUMPRODUCT((M_BOM[Part Name]=$A88)*M_BOM[RM_Qty_Per_Batch]*IFERROR(INDEX(PP_Grid[#Data],M_BOM[PPGridRow],88),0))/25.91</f>
        <v/>
      </c>
      <c r="CK88">
        <f>SUMPRODUCT((M_BOM[Part Name]=$A88)*M_BOM[RM_Qty_Per_Batch]*IFERROR(INDEX(PP_Grid[#Data],M_BOM[PPGridRow],89),0))/25.91</f>
        <v/>
      </c>
      <c r="CL88">
        <f>SUMPRODUCT((M_BOM[Part Name]=$A88)*M_BOM[RM_Qty_Per_Batch]*IFERROR(INDEX(PP_Grid[#Data],M_BOM[PPGridRow],90),0))/25.91</f>
        <v/>
      </c>
      <c r="CM88">
        <f>SUMPRODUCT((M_BOM[Part Name]=$A88)*M_BOM[RM_Qty_Per_Batch]*IFERROR(INDEX(PP_Grid[#Data],M_BOM[PPGridRow],91),0))/25.91</f>
        <v/>
      </c>
      <c r="CN88">
        <f>SUMPRODUCT((M_BOM[Part Name]=$A88)*M_BOM[RM_Qty_Per_Batch]*IFERROR(INDEX(PP_Grid[#Data],M_BOM[PPGridRow],92),0))/25.91</f>
        <v/>
      </c>
      <c r="CO88">
        <f>SUMPRODUCT((M_BOM[Part Name]=$A88)*M_BOM[RM_Qty_Per_Batch]*IFERROR(INDEX(PP_Grid[#Data],M_BOM[PPGridRow],93),0))/25.91</f>
        <v/>
      </c>
      <c r="CP88">
        <f>SUMPRODUCT((M_BOM[Part Name]=$A88)*M_BOM[RM_Qty_Per_Batch]*IFERROR(INDEX(PP_Grid[#Data],M_BOM[PPGridRow],94),0))/25.91</f>
        <v/>
      </c>
      <c r="CQ88">
        <f>SUMPRODUCT((M_BOM[Part Name]=$A88)*M_BOM[RM_Qty_Per_Batch]*IFERROR(INDEX(PP_Grid[#Data],M_BOM[PPGridRow],95),0))/25.91</f>
        <v/>
      </c>
      <c r="CR88">
        <f>SUMPRODUCT((M_BOM[Part Name]=$A88)*M_BOM[RM_Qty_Per_Batch]*IFERROR(INDEX(PP_Grid[#Data],M_BOM[PPGridRow],96),0))/25.91</f>
        <v/>
      </c>
      <c r="CS88">
        <f>SUMPRODUCT((M_BOM[Part Name]=$A88)*M_BOM[RM_Qty_Per_Batch]*IFERROR(INDEX(PP_Grid[#Data],M_BOM[PPGridRow],97),0))/25.91</f>
        <v/>
      </c>
      <c r="CT88">
        <f>SUMPRODUCT((M_BOM[Part Name]=$A88)*M_BOM[RM_Qty_Per_Batch]*IFERROR(INDEX(PP_Grid[#Data],M_BOM[PPGridRow],98),0))/25.91</f>
        <v/>
      </c>
      <c r="CU88">
        <f>SUMPRODUCT((M_BOM[Part Name]=$A88)*M_BOM[RM_Qty_Per_Batch]*IFERROR(INDEX(PP_Grid[#Data],M_BOM[PPGridRow],99),0))/25.91</f>
        <v/>
      </c>
      <c r="CV88">
        <f>SUMPRODUCT((M_BOM[Part Name]=$A88)*M_BOM[RM_Qty_Per_Batch]*IFERROR(INDEX(PP_Grid[#Data],M_BOM[PPGridRow],100),0))/25.91</f>
        <v/>
      </c>
      <c r="CW88">
        <f>SUMPRODUCT((M_BOM[Part Name]=$A88)*M_BOM[RM_Qty_Per_Batch]*IFERROR(INDEX(PP_Grid[#Data],M_BOM[PPGridRow],101),0))/25.91</f>
        <v/>
      </c>
      <c r="CX88">
        <f>SUMPRODUCT((M_BOM[Part Name]=$A88)*M_BOM[RM_Qty_Per_Batch]*IFERROR(INDEX(PP_Grid[#Data],M_BOM[PPGridRow],102),0))/25.91</f>
        <v/>
      </c>
      <c r="CY88">
        <f>SUMPRODUCT((M_BOM[Part Name]=$A88)*M_BOM[RM_Qty_Per_Batch]*IFERROR(INDEX(PP_Grid[#Data],M_BOM[PPGridRow],103),0))/25.91</f>
        <v/>
      </c>
      <c r="CZ88">
        <f>SUMPRODUCT((M_BOM[Part Name]=$A88)*M_BOM[RM_Qty_Per_Batch]*IFERROR(INDEX(PP_Grid[#Data],M_BOM[PPGridRow],104),0))/25.91</f>
        <v/>
      </c>
      <c r="DA88">
        <f>SUMPRODUCT((M_BOM[Part Name]=$A88)*M_BOM[RM_Qty_Per_Batch]*IFERROR(INDEX(PP_Grid[#Data],M_BOM[PPGridRow],105),0))/25.91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Name]=$A89)*M_BOM[RM_Qty_Per_Batch]*IFERROR(INDEX(PP_Grid[#Data],M_BOM[PPGridRow],2),0))/25.89</f>
        <v/>
      </c>
      <c r="C89">
        <f>SUMPRODUCT((M_BOM[Part Name]=$A89)*M_BOM[RM_Qty_Per_Batch]*IFERROR(INDEX(PP_Grid[#Data],M_BOM[PPGridRow],3),0))/25.89</f>
        <v/>
      </c>
      <c r="D89">
        <f>SUMPRODUCT((M_BOM[Part Name]=$A89)*M_BOM[RM_Qty_Per_Batch]*IFERROR(INDEX(PP_Grid[#Data],M_BOM[PPGridRow],4),0))/25.89</f>
        <v/>
      </c>
      <c r="E89">
        <f>SUMPRODUCT((M_BOM[Part Name]=$A89)*M_BOM[RM_Qty_Per_Batch]*IFERROR(INDEX(PP_Grid[#Data],M_BOM[PPGridRow],5),0))/25.89</f>
        <v/>
      </c>
      <c r="F89">
        <f>SUMPRODUCT((M_BOM[Part Name]=$A89)*M_BOM[RM_Qty_Per_Batch]*IFERROR(INDEX(PP_Grid[#Data],M_BOM[PPGridRow],6),0))/25.89</f>
        <v/>
      </c>
      <c r="G89">
        <f>SUMPRODUCT((M_BOM[Part Name]=$A89)*M_BOM[RM_Qty_Per_Batch]*IFERROR(INDEX(PP_Grid[#Data],M_BOM[PPGridRow],7),0))/25.89</f>
        <v/>
      </c>
      <c r="H89">
        <f>SUMPRODUCT((M_BOM[Part Name]=$A89)*M_BOM[RM_Qty_Per_Batch]*IFERROR(INDEX(PP_Grid[#Data],M_BOM[PPGridRow],8),0))/25.89</f>
        <v/>
      </c>
      <c r="I89">
        <f>SUMPRODUCT((M_BOM[Part Name]=$A89)*M_BOM[RM_Qty_Per_Batch]*IFERROR(INDEX(PP_Grid[#Data],M_BOM[PPGridRow],9),0))/25.89</f>
        <v/>
      </c>
      <c r="J89">
        <f>SUMPRODUCT((M_BOM[Part Name]=$A89)*M_BOM[RM_Qty_Per_Batch]*IFERROR(INDEX(PP_Grid[#Data],M_BOM[PPGridRow],10),0))/25.89</f>
        <v/>
      </c>
      <c r="K89">
        <f>SUMPRODUCT((M_BOM[Part Name]=$A89)*M_BOM[RM_Qty_Per_Batch]*IFERROR(INDEX(PP_Grid[#Data],M_BOM[PPGridRow],11),0))/25.89</f>
        <v/>
      </c>
      <c r="L89">
        <f>SUMPRODUCT((M_BOM[Part Name]=$A89)*M_BOM[RM_Qty_Per_Batch]*IFERROR(INDEX(PP_Grid[#Data],M_BOM[PPGridRow],12),0))/25.89</f>
        <v/>
      </c>
      <c r="M89">
        <f>SUMPRODUCT((M_BOM[Part Name]=$A89)*M_BOM[RM_Qty_Per_Batch]*IFERROR(INDEX(PP_Grid[#Data],M_BOM[PPGridRow],13),0))/25.89</f>
        <v/>
      </c>
      <c r="N89">
        <f>SUMPRODUCT((M_BOM[Part Name]=$A89)*M_BOM[RM_Qty_Per_Batch]*IFERROR(INDEX(PP_Grid[#Data],M_BOM[PPGridRow],14),0))/25.89</f>
        <v/>
      </c>
      <c r="O89">
        <f>SUMPRODUCT((M_BOM[Part Name]=$A89)*M_BOM[RM_Qty_Per_Batch]*IFERROR(INDEX(PP_Grid[#Data],M_BOM[PPGridRow],15),0))/25.89</f>
        <v/>
      </c>
      <c r="P89">
        <f>SUMPRODUCT((M_BOM[Part Name]=$A89)*M_BOM[RM_Qty_Per_Batch]*IFERROR(INDEX(PP_Grid[#Data],M_BOM[PPGridRow],16),0))/25.89</f>
        <v/>
      </c>
      <c r="Q89">
        <f>SUMPRODUCT((M_BOM[Part Name]=$A89)*M_BOM[RM_Qty_Per_Batch]*IFERROR(INDEX(PP_Grid[#Data],M_BOM[PPGridRow],17),0))/25.89</f>
        <v/>
      </c>
      <c r="R89">
        <f>SUMPRODUCT((M_BOM[Part Name]=$A89)*M_BOM[RM_Qty_Per_Batch]*IFERROR(INDEX(PP_Grid[#Data],M_BOM[PPGridRow],18),0))/25.89</f>
        <v/>
      </c>
      <c r="S89">
        <f>SUMPRODUCT((M_BOM[Part Name]=$A89)*M_BOM[RM_Qty_Per_Batch]*IFERROR(INDEX(PP_Grid[#Data],M_BOM[PPGridRow],19),0))/25.89</f>
        <v/>
      </c>
      <c r="T89">
        <f>SUMPRODUCT((M_BOM[Part Name]=$A89)*M_BOM[RM_Qty_Per_Batch]*IFERROR(INDEX(PP_Grid[#Data],M_BOM[PPGridRow],20),0))/25.89</f>
        <v/>
      </c>
      <c r="U89">
        <f>SUMPRODUCT((M_BOM[Part Name]=$A89)*M_BOM[RM_Qty_Per_Batch]*IFERROR(INDEX(PP_Grid[#Data],M_BOM[PPGridRow],21),0))/25.89</f>
        <v/>
      </c>
      <c r="V89">
        <f>SUMPRODUCT((M_BOM[Part Name]=$A89)*M_BOM[RM_Qty_Per_Batch]*IFERROR(INDEX(PP_Grid[#Data],M_BOM[PPGridRow],22),0))/25.89</f>
        <v/>
      </c>
      <c r="W89">
        <f>SUMPRODUCT((M_BOM[Part Name]=$A89)*M_BOM[RM_Qty_Per_Batch]*IFERROR(INDEX(PP_Grid[#Data],M_BOM[PPGridRow],23),0))/25.89</f>
        <v/>
      </c>
      <c r="X89">
        <f>SUMPRODUCT((M_BOM[Part Name]=$A89)*M_BOM[RM_Qty_Per_Batch]*IFERROR(INDEX(PP_Grid[#Data],M_BOM[PPGridRow],24),0))/25.89</f>
        <v/>
      </c>
      <c r="Y89">
        <f>SUMPRODUCT((M_BOM[Part Name]=$A89)*M_BOM[RM_Qty_Per_Batch]*IFERROR(INDEX(PP_Grid[#Data],M_BOM[PPGridRow],25),0))/25.89</f>
        <v/>
      </c>
      <c r="Z89">
        <f>SUMPRODUCT((M_BOM[Part Name]=$A89)*M_BOM[RM_Qty_Per_Batch]*IFERROR(INDEX(PP_Grid[#Data],M_BOM[PPGridRow],26),0))/25.89</f>
        <v/>
      </c>
      <c r="AA89">
        <f>SUMPRODUCT((M_BOM[Part Name]=$A89)*M_BOM[RM_Qty_Per_Batch]*IFERROR(INDEX(PP_Grid[#Data],M_BOM[PPGridRow],27),0))/25.89</f>
        <v/>
      </c>
      <c r="AB89">
        <f>SUMPRODUCT((M_BOM[Part Name]=$A89)*M_BOM[RM_Qty_Per_Batch]*IFERROR(INDEX(PP_Grid[#Data],M_BOM[PPGridRow],28),0))/25.89</f>
        <v/>
      </c>
      <c r="AC89">
        <f>SUMPRODUCT((M_BOM[Part Name]=$A89)*M_BOM[RM_Qty_Per_Batch]*IFERROR(INDEX(PP_Grid[#Data],M_BOM[PPGridRow],29),0))/25.89</f>
        <v/>
      </c>
      <c r="AD89">
        <f>SUMPRODUCT((M_BOM[Part Name]=$A89)*M_BOM[RM_Qty_Per_Batch]*IFERROR(INDEX(PP_Grid[#Data],M_BOM[PPGridRow],30),0))/25.89</f>
        <v/>
      </c>
      <c r="AE89">
        <f>SUMPRODUCT((M_BOM[Part Name]=$A89)*M_BOM[RM_Qty_Per_Batch]*IFERROR(INDEX(PP_Grid[#Data],M_BOM[PPGridRow],31),0))/25.89</f>
        <v/>
      </c>
      <c r="AF89">
        <f>SUMPRODUCT((M_BOM[Part Name]=$A89)*M_BOM[RM_Qty_Per_Batch]*IFERROR(INDEX(PP_Grid[#Data],M_BOM[PPGridRow],32),0))/25.89</f>
        <v/>
      </c>
      <c r="AG89">
        <f>SUMPRODUCT((M_BOM[Part Name]=$A89)*M_BOM[RM_Qty_Per_Batch]*IFERROR(INDEX(PP_Grid[#Data],M_BOM[PPGridRow],33),0))/25.89</f>
        <v/>
      </c>
      <c r="AH89">
        <f>SUMPRODUCT((M_BOM[Part Name]=$A89)*M_BOM[RM_Qty_Per_Batch]*IFERROR(INDEX(PP_Grid[#Data],M_BOM[PPGridRow],34),0))/25.89</f>
        <v/>
      </c>
      <c r="AI89">
        <f>SUMPRODUCT((M_BOM[Part Name]=$A89)*M_BOM[RM_Qty_Per_Batch]*IFERROR(INDEX(PP_Grid[#Data],M_BOM[PPGridRow],35),0))/25.89</f>
        <v/>
      </c>
      <c r="AJ89">
        <f>SUMPRODUCT((M_BOM[Part Name]=$A89)*M_BOM[RM_Qty_Per_Batch]*IFERROR(INDEX(PP_Grid[#Data],M_BOM[PPGridRow],36),0))/25.89</f>
        <v/>
      </c>
      <c r="AK89">
        <f>SUMPRODUCT((M_BOM[Part Name]=$A89)*M_BOM[RM_Qty_Per_Batch]*IFERROR(INDEX(PP_Grid[#Data],M_BOM[PPGridRow],37),0))/25.89</f>
        <v/>
      </c>
      <c r="AL89">
        <f>SUMPRODUCT((M_BOM[Part Name]=$A89)*M_BOM[RM_Qty_Per_Batch]*IFERROR(INDEX(PP_Grid[#Data],M_BOM[PPGridRow],38),0))/25.89</f>
        <v/>
      </c>
      <c r="AM89">
        <f>SUMPRODUCT((M_BOM[Part Name]=$A89)*M_BOM[RM_Qty_Per_Batch]*IFERROR(INDEX(PP_Grid[#Data],M_BOM[PPGridRow],39),0))/25.89</f>
        <v/>
      </c>
      <c r="AN89">
        <f>SUMPRODUCT((M_BOM[Part Name]=$A89)*M_BOM[RM_Qty_Per_Batch]*IFERROR(INDEX(PP_Grid[#Data],M_BOM[PPGridRow],40),0))/25.89</f>
        <v/>
      </c>
      <c r="AO89">
        <f>SUMPRODUCT((M_BOM[Part Name]=$A89)*M_BOM[RM_Qty_Per_Batch]*IFERROR(INDEX(PP_Grid[#Data],M_BOM[PPGridRow],41),0))/25.89</f>
        <v/>
      </c>
      <c r="AP89">
        <f>SUMPRODUCT((M_BOM[Part Name]=$A89)*M_BOM[RM_Qty_Per_Batch]*IFERROR(INDEX(PP_Grid[#Data],M_BOM[PPGridRow],42),0))/25.89</f>
        <v/>
      </c>
      <c r="AQ89">
        <f>SUMPRODUCT((M_BOM[Part Name]=$A89)*M_BOM[RM_Qty_Per_Batch]*IFERROR(INDEX(PP_Grid[#Data],M_BOM[PPGridRow],43),0))/25.89</f>
        <v/>
      </c>
      <c r="AR89">
        <f>SUMPRODUCT((M_BOM[Part Name]=$A89)*M_BOM[RM_Qty_Per_Batch]*IFERROR(INDEX(PP_Grid[#Data],M_BOM[PPGridRow],44),0))/25.89</f>
        <v/>
      </c>
      <c r="AS89">
        <f>SUMPRODUCT((M_BOM[Part Name]=$A89)*M_BOM[RM_Qty_Per_Batch]*IFERROR(INDEX(PP_Grid[#Data],M_BOM[PPGridRow],45),0))/25.89</f>
        <v/>
      </c>
      <c r="AT89">
        <f>SUMPRODUCT((M_BOM[Part Name]=$A89)*M_BOM[RM_Qty_Per_Batch]*IFERROR(INDEX(PP_Grid[#Data],M_BOM[PPGridRow],46),0))/25.89</f>
        <v/>
      </c>
      <c r="AU89">
        <f>SUMPRODUCT((M_BOM[Part Name]=$A89)*M_BOM[RM_Qty_Per_Batch]*IFERROR(INDEX(PP_Grid[#Data],M_BOM[PPGridRow],47),0))/25.89</f>
        <v/>
      </c>
      <c r="AV89">
        <f>SUMPRODUCT((M_BOM[Part Name]=$A89)*M_BOM[RM_Qty_Per_Batch]*IFERROR(INDEX(PP_Grid[#Data],M_BOM[PPGridRow],48),0))/25.89</f>
        <v/>
      </c>
      <c r="AW89">
        <f>SUMPRODUCT((M_BOM[Part Name]=$A89)*M_BOM[RM_Qty_Per_Batch]*IFERROR(INDEX(PP_Grid[#Data],M_BOM[PPGridRow],49),0))/25.89</f>
        <v/>
      </c>
      <c r="AX89">
        <f>SUMPRODUCT((M_BOM[Part Name]=$A89)*M_BOM[RM_Qty_Per_Batch]*IFERROR(INDEX(PP_Grid[#Data],M_BOM[PPGridRow],50),0))/25.89</f>
        <v/>
      </c>
      <c r="AY89">
        <f>SUMPRODUCT((M_BOM[Part Name]=$A89)*M_BOM[RM_Qty_Per_Batch]*IFERROR(INDEX(PP_Grid[#Data],M_BOM[PPGridRow],51),0))/25.89</f>
        <v/>
      </c>
      <c r="AZ89">
        <f>SUMPRODUCT((M_BOM[Part Name]=$A89)*M_BOM[RM_Qty_Per_Batch]*IFERROR(INDEX(PP_Grid[#Data],M_BOM[PPGridRow],52),0))/25.89</f>
        <v/>
      </c>
      <c r="BA89">
        <f>SUMPRODUCT((M_BOM[Part Name]=$A89)*M_BOM[RM_Qty_Per_Batch]*IFERROR(INDEX(PP_Grid[#Data],M_BOM[PPGridRow],53),0))/25.89</f>
        <v/>
      </c>
      <c r="BB89">
        <f>SUMPRODUCT((M_BOM[Part Name]=$A89)*M_BOM[RM_Qty_Per_Batch]*IFERROR(INDEX(PP_Grid[#Data],M_BOM[PPGridRow],54),0))/25.89</f>
        <v/>
      </c>
      <c r="BC89">
        <f>SUMPRODUCT((M_BOM[Part Name]=$A89)*M_BOM[RM_Qty_Per_Batch]*IFERROR(INDEX(PP_Grid[#Data],M_BOM[PPGridRow],55),0))/25.89</f>
        <v/>
      </c>
      <c r="BD89">
        <f>SUMPRODUCT((M_BOM[Part Name]=$A89)*M_BOM[RM_Qty_Per_Batch]*IFERROR(INDEX(PP_Grid[#Data],M_BOM[PPGridRow],56),0))/25.89</f>
        <v/>
      </c>
      <c r="BE89">
        <f>SUMPRODUCT((M_BOM[Part Name]=$A89)*M_BOM[RM_Qty_Per_Batch]*IFERROR(INDEX(PP_Grid[#Data],M_BOM[PPGridRow],57),0))/25.89</f>
        <v/>
      </c>
      <c r="BF89">
        <f>SUMPRODUCT((M_BOM[Part Name]=$A89)*M_BOM[RM_Qty_Per_Batch]*IFERROR(INDEX(PP_Grid[#Data],M_BOM[PPGridRow],58),0))/25.89</f>
        <v/>
      </c>
      <c r="BG89">
        <f>SUMPRODUCT((M_BOM[Part Name]=$A89)*M_BOM[RM_Qty_Per_Batch]*IFERROR(INDEX(PP_Grid[#Data],M_BOM[PPGridRow],59),0))/25.89</f>
        <v/>
      </c>
      <c r="BH89">
        <f>SUMPRODUCT((M_BOM[Part Name]=$A89)*M_BOM[RM_Qty_Per_Batch]*IFERROR(INDEX(PP_Grid[#Data],M_BOM[PPGridRow],60),0))/25.89</f>
        <v/>
      </c>
      <c r="BI89">
        <f>SUMPRODUCT((M_BOM[Part Name]=$A89)*M_BOM[RM_Qty_Per_Batch]*IFERROR(INDEX(PP_Grid[#Data],M_BOM[PPGridRow],61),0))/25.89</f>
        <v/>
      </c>
      <c r="BJ89">
        <f>SUMPRODUCT((M_BOM[Part Name]=$A89)*M_BOM[RM_Qty_Per_Batch]*IFERROR(INDEX(PP_Grid[#Data],M_BOM[PPGridRow],62),0))/25.89</f>
        <v/>
      </c>
      <c r="BK89">
        <f>SUMPRODUCT((M_BOM[Part Name]=$A89)*M_BOM[RM_Qty_Per_Batch]*IFERROR(INDEX(PP_Grid[#Data],M_BOM[PPGridRow],63),0))/25.89</f>
        <v/>
      </c>
      <c r="BL89">
        <f>SUMPRODUCT((M_BOM[Part Name]=$A89)*M_BOM[RM_Qty_Per_Batch]*IFERROR(INDEX(PP_Grid[#Data],M_BOM[PPGridRow],64),0))/25.89</f>
        <v/>
      </c>
      <c r="BM89">
        <f>SUMPRODUCT((M_BOM[Part Name]=$A89)*M_BOM[RM_Qty_Per_Batch]*IFERROR(INDEX(PP_Grid[#Data],M_BOM[PPGridRow],65),0))/25.89</f>
        <v/>
      </c>
      <c r="BN89">
        <f>SUMPRODUCT((M_BOM[Part Name]=$A89)*M_BOM[RM_Qty_Per_Batch]*IFERROR(INDEX(PP_Grid[#Data],M_BOM[PPGridRow],66),0))/25.89</f>
        <v/>
      </c>
      <c r="BO89">
        <f>SUMPRODUCT((M_BOM[Part Name]=$A89)*M_BOM[RM_Qty_Per_Batch]*IFERROR(INDEX(PP_Grid[#Data],M_BOM[PPGridRow],67),0))/25.89</f>
        <v/>
      </c>
      <c r="BP89">
        <f>SUMPRODUCT((M_BOM[Part Name]=$A89)*M_BOM[RM_Qty_Per_Batch]*IFERROR(INDEX(PP_Grid[#Data],M_BOM[PPGridRow],68),0))/25.89</f>
        <v/>
      </c>
      <c r="BQ89">
        <f>SUMPRODUCT((M_BOM[Part Name]=$A89)*M_BOM[RM_Qty_Per_Batch]*IFERROR(INDEX(PP_Grid[#Data],M_BOM[PPGridRow],69),0))/25.89</f>
        <v/>
      </c>
      <c r="BR89">
        <f>SUMPRODUCT((M_BOM[Part Name]=$A89)*M_BOM[RM_Qty_Per_Batch]*IFERROR(INDEX(PP_Grid[#Data],M_BOM[PPGridRow],70),0))/25.89</f>
        <v/>
      </c>
      <c r="BS89">
        <f>SUMPRODUCT((M_BOM[Part Name]=$A89)*M_BOM[RM_Qty_Per_Batch]*IFERROR(INDEX(PP_Grid[#Data],M_BOM[PPGridRow],71),0))/25.89</f>
        <v/>
      </c>
      <c r="BT89">
        <f>SUMPRODUCT((M_BOM[Part Name]=$A89)*M_BOM[RM_Qty_Per_Batch]*IFERROR(INDEX(PP_Grid[#Data],M_BOM[PPGridRow],72),0))/25.89</f>
        <v/>
      </c>
      <c r="BU89">
        <f>SUMPRODUCT((M_BOM[Part Name]=$A89)*M_BOM[RM_Qty_Per_Batch]*IFERROR(INDEX(PP_Grid[#Data],M_BOM[PPGridRow],73),0))/25.89</f>
        <v/>
      </c>
      <c r="BV89">
        <f>SUMPRODUCT((M_BOM[Part Name]=$A89)*M_BOM[RM_Qty_Per_Batch]*IFERROR(INDEX(PP_Grid[#Data],M_BOM[PPGridRow],74),0))/25.89</f>
        <v/>
      </c>
      <c r="BW89">
        <f>SUMPRODUCT((M_BOM[Part Name]=$A89)*M_BOM[RM_Qty_Per_Batch]*IFERROR(INDEX(PP_Grid[#Data],M_BOM[PPGridRow],75),0))/25.89</f>
        <v/>
      </c>
      <c r="BX89">
        <f>SUMPRODUCT((M_BOM[Part Name]=$A89)*M_BOM[RM_Qty_Per_Batch]*IFERROR(INDEX(PP_Grid[#Data],M_BOM[PPGridRow],76),0))/25.89</f>
        <v/>
      </c>
      <c r="BY89">
        <f>SUMPRODUCT((M_BOM[Part Name]=$A89)*M_BOM[RM_Qty_Per_Batch]*IFERROR(INDEX(PP_Grid[#Data],M_BOM[PPGridRow],77),0))/25.89</f>
        <v/>
      </c>
      <c r="BZ89">
        <f>SUMPRODUCT((M_BOM[Part Name]=$A89)*M_BOM[RM_Qty_Per_Batch]*IFERROR(INDEX(PP_Grid[#Data],M_BOM[PPGridRow],78),0))/25.89</f>
        <v/>
      </c>
      <c r="CA89">
        <f>SUMPRODUCT((M_BOM[Part Name]=$A89)*M_BOM[RM_Qty_Per_Batch]*IFERROR(INDEX(PP_Grid[#Data],M_BOM[PPGridRow],79),0))/25.89</f>
        <v/>
      </c>
      <c r="CB89">
        <f>SUMPRODUCT((M_BOM[Part Name]=$A89)*M_BOM[RM_Qty_Per_Batch]*IFERROR(INDEX(PP_Grid[#Data],M_BOM[PPGridRow],80),0))/25.89</f>
        <v/>
      </c>
      <c r="CC89">
        <f>SUMPRODUCT((M_BOM[Part Name]=$A89)*M_BOM[RM_Qty_Per_Batch]*IFERROR(INDEX(PP_Grid[#Data],M_BOM[PPGridRow],81),0))/25.89</f>
        <v/>
      </c>
      <c r="CD89">
        <f>SUMPRODUCT((M_BOM[Part Name]=$A89)*M_BOM[RM_Qty_Per_Batch]*IFERROR(INDEX(PP_Grid[#Data],M_BOM[PPGridRow],82),0))/25.89</f>
        <v/>
      </c>
      <c r="CE89">
        <f>SUMPRODUCT((M_BOM[Part Name]=$A89)*M_BOM[RM_Qty_Per_Batch]*IFERROR(INDEX(PP_Grid[#Data],M_BOM[PPGridRow],83),0))/25.89</f>
        <v/>
      </c>
      <c r="CF89">
        <f>SUMPRODUCT((M_BOM[Part Name]=$A89)*M_BOM[RM_Qty_Per_Batch]*IFERROR(INDEX(PP_Grid[#Data],M_BOM[PPGridRow],84),0))/25.89</f>
        <v/>
      </c>
      <c r="CG89">
        <f>SUMPRODUCT((M_BOM[Part Name]=$A89)*M_BOM[RM_Qty_Per_Batch]*IFERROR(INDEX(PP_Grid[#Data],M_BOM[PPGridRow],85),0))/25.89</f>
        <v/>
      </c>
      <c r="CH89">
        <f>SUMPRODUCT((M_BOM[Part Name]=$A89)*M_BOM[RM_Qty_Per_Batch]*IFERROR(INDEX(PP_Grid[#Data],M_BOM[PPGridRow],86),0))/25.89</f>
        <v/>
      </c>
      <c r="CI89">
        <f>SUMPRODUCT((M_BOM[Part Name]=$A89)*M_BOM[RM_Qty_Per_Batch]*IFERROR(INDEX(PP_Grid[#Data],M_BOM[PPGridRow],87),0))/25.89</f>
        <v/>
      </c>
      <c r="CJ89">
        <f>SUMPRODUCT((M_BOM[Part Name]=$A89)*M_BOM[RM_Qty_Per_Batch]*IFERROR(INDEX(PP_Grid[#Data],M_BOM[PPGridRow],88),0))/25.89</f>
        <v/>
      </c>
      <c r="CK89">
        <f>SUMPRODUCT((M_BOM[Part Name]=$A89)*M_BOM[RM_Qty_Per_Batch]*IFERROR(INDEX(PP_Grid[#Data],M_BOM[PPGridRow],89),0))/25.89</f>
        <v/>
      </c>
      <c r="CL89">
        <f>SUMPRODUCT((M_BOM[Part Name]=$A89)*M_BOM[RM_Qty_Per_Batch]*IFERROR(INDEX(PP_Grid[#Data],M_BOM[PPGridRow],90),0))/25.89</f>
        <v/>
      </c>
      <c r="CM89">
        <f>SUMPRODUCT((M_BOM[Part Name]=$A89)*M_BOM[RM_Qty_Per_Batch]*IFERROR(INDEX(PP_Grid[#Data],M_BOM[PPGridRow],91),0))/25.89</f>
        <v/>
      </c>
      <c r="CN89">
        <f>SUMPRODUCT((M_BOM[Part Name]=$A89)*M_BOM[RM_Qty_Per_Batch]*IFERROR(INDEX(PP_Grid[#Data],M_BOM[PPGridRow],92),0))/25.89</f>
        <v/>
      </c>
      <c r="CO89">
        <f>SUMPRODUCT((M_BOM[Part Name]=$A89)*M_BOM[RM_Qty_Per_Batch]*IFERROR(INDEX(PP_Grid[#Data],M_BOM[PPGridRow],93),0))/25.89</f>
        <v/>
      </c>
      <c r="CP89">
        <f>SUMPRODUCT((M_BOM[Part Name]=$A89)*M_BOM[RM_Qty_Per_Batch]*IFERROR(INDEX(PP_Grid[#Data],M_BOM[PPGridRow],94),0))/25.89</f>
        <v/>
      </c>
      <c r="CQ89">
        <f>SUMPRODUCT((M_BOM[Part Name]=$A89)*M_BOM[RM_Qty_Per_Batch]*IFERROR(INDEX(PP_Grid[#Data],M_BOM[PPGridRow],95),0))/25.89</f>
        <v/>
      </c>
      <c r="CR89">
        <f>SUMPRODUCT((M_BOM[Part Name]=$A89)*M_BOM[RM_Qty_Per_Batch]*IFERROR(INDEX(PP_Grid[#Data],M_BOM[PPGridRow],96),0))/25.89</f>
        <v/>
      </c>
      <c r="CS89">
        <f>SUMPRODUCT((M_BOM[Part Name]=$A89)*M_BOM[RM_Qty_Per_Batch]*IFERROR(INDEX(PP_Grid[#Data],M_BOM[PPGridRow],97),0))/25.89</f>
        <v/>
      </c>
      <c r="CT89">
        <f>SUMPRODUCT((M_BOM[Part Name]=$A89)*M_BOM[RM_Qty_Per_Batch]*IFERROR(INDEX(PP_Grid[#Data],M_BOM[PPGridRow],98),0))/25.89</f>
        <v/>
      </c>
      <c r="CU89">
        <f>SUMPRODUCT((M_BOM[Part Name]=$A89)*M_BOM[RM_Qty_Per_Batch]*IFERROR(INDEX(PP_Grid[#Data],M_BOM[PPGridRow],99),0))/25.89</f>
        <v/>
      </c>
      <c r="CV89">
        <f>SUMPRODUCT((M_BOM[Part Name]=$A89)*M_BOM[RM_Qty_Per_Batch]*IFERROR(INDEX(PP_Grid[#Data],M_BOM[PPGridRow],100),0))/25.89</f>
        <v/>
      </c>
      <c r="CW89">
        <f>SUMPRODUCT((M_BOM[Part Name]=$A89)*M_BOM[RM_Qty_Per_Batch]*IFERROR(INDEX(PP_Grid[#Data],M_BOM[PPGridRow],101),0))/25.89</f>
        <v/>
      </c>
      <c r="CX89">
        <f>SUMPRODUCT((M_BOM[Part Name]=$A89)*M_BOM[RM_Qty_Per_Batch]*IFERROR(INDEX(PP_Grid[#Data],M_BOM[PPGridRow],102),0))/25.89</f>
        <v/>
      </c>
      <c r="CY89">
        <f>SUMPRODUCT((M_BOM[Part Name]=$A89)*M_BOM[RM_Qty_Per_Batch]*IFERROR(INDEX(PP_Grid[#Data],M_BOM[PPGridRow],103),0))/25.89</f>
        <v/>
      </c>
      <c r="CZ89">
        <f>SUMPRODUCT((M_BOM[Part Name]=$A89)*M_BOM[RM_Qty_Per_Batch]*IFERROR(INDEX(PP_Grid[#Data],M_BOM[PPGridRow],104),0))/25.89</f>
        <v/>
      </c>
      <c r="DA89">
        <f>SUMPRODUCT((M_BOM[Part Name]=$A89)*M_BOM[RM_Qty_Per_Batch]*IFERROR(INDEX(PP_Grid[#Data],M_BOM[PPGridRow],105),0))/25.89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Name]=$A90)*M_BOM[RM_Qty_Per_Batch]*IFERROR(INDEX(PP_Grid[#Data],M_BOM[PPGridRow],2),0))/17.44</f>
        <v/>
      </c>
      <c r="C90">
        <f>SUMPRODUCT((M_BOM[Part Name]=$A90)*M_BOM[RM_Qty_Per_Batch]*IFERROR(INDEX(PP_Grid[#Data],M_BOM[PPGridRow],3),0))/17.44</f>
        <v/>
      </c>
      <c r="D90">
        <f>SUMPRODUCT((M_BOM[Part Name]=$A90)*M_BOM[RM_Qty_Per_Batch]*IFERROR(INDEX(PP_Grid[#Data],M_BOM[PPGridRow],4),0))/17.44</f>
        <v/>
      </c>
      <c r="E90">
        <f>SUMPRODUCT((M_BOM[Part Name]=$A90)*M_BOM[RM_Qty_Per_Batch]*IFERROR(INDEX(PP_Grid[#Data],M_BOM[PPGridRow],5),0))/17.44</f>
        <v/>
      </c>
      <c r="F90">
        <f>SUMPRODUCT((M_BOM[Part Name]=$A90)*M_BOM[RM_Qty_Per_Batch]*IFERROR(INDEX(PP_Grid[#Data],M_BOM[PPGridRow],6),0))/17.44</f>
        <v/>
      </c>
      <c r="G90">
        <f>SUMPRODUCT((M_BOM[Part Name]=$A90)*M_BOM[RM_Qty_Per_Batch]*IFERROR(INDEX(PP_Grid[#Data],M_BOM[PPGridRow],7),0))/17.44</f>
        <v/>
      </c>
      <c r="H90">
        <f>SUMPRODUCT((M_BOM[Part Name]=$A90)*M_BOM[RM_Qty_Per_Batch]*IFERROR(INDEX(PP_Grid[#Data],M_BOM[PPGridRow],8),0))/17.44</f>
        <v/>
      </c>
      <c r="I90">
        <f>SUMPRODUCT((M_BOM[Part Name]=$A90)*M_BOM[RM_Qty_Per_Batch]*IFERROR(INDEX(PP_Grid[#Data],M_BOM[PPGridRow],9),0))/17.44</f>
        <v/>
      </c>
      <c r="J90">
        <f>SUMPRODUCT((M_BOM[Part Name]=$A90)*M_BOM[RM_Qty_Per_Batch]*IFERROR(INDEX(PP_Grid[#Data],M_BOM[PPGridRow],10),0))/17.44</f>
        <v/>
      </c>
      <c r="K90">
        <f>SUMPRODUCT((M_BOM[Part Name]=$A90)*M_BOM[RM_Qty_Per_Batch]*IFERROR(INDEX(PP_Grid[#Data],M_BOM[PPGridRow],11),0))/17.44</f>
        <v/>
      </c>
      <c r="L90">
        <f>SUMPRODUCT((M_BOM[Part Name]=$A90)*M_BOM[RM_Qty_Per_Batch]*IFERROR(INDEX(PP_Grid[#Data],M_BOM[PPGridRow],12),0))/17.44</f>
        <v/>
      </c>
      <c r="M90">
        <f>SUMPRODUCT((M_BOM[Part Name]=$A90)*M_BOM[RM_Qty_Per_Batch]*IFERROR(INDEX(PP_Grid[#Data],M_BOM[PPGridRow],13),0))/17.44</f>
        <v/>
      </c>
      <c r="N90">
        <f>SUMPRODUCT((M_BOM[Part Name]=$A90)*M_BOM[RM_Qty_Per_Batch]*IFERROR(INDEX(PP_Grid[#Data],M_BOM[PPGridRow],14),0))/17.44</f>
        <v/>
      </c>
      <c r="O90">
        <f>SUMPRODUCT((M_BOM[Part Name]=$A90)*M_BOM[RM_Qty_Per_Batch]*IFERROR(INDEX(PP_Grid[#Data],M_BOM[PPGridRow],15),0))/17.44</f>
        <v/>
      </c>
      <c r="P90">
        <f>SUMPRODUCT((M_BOM[Part Name]=$A90)*M_BOM[RM_Qty_Per_Batch]*IFERROR(INDEX(PP_Grid[#Data],M_BOM[PPGridRow],16),0))/17.44</f>
        <v/>
      </c>
      <c r="Q90">
        <f>SUMPRODUCT((M_BOM[Part Name]=$A90)*M_BOM[RM_Qty_Per_Batch]*IFERROR(INDEX(PP_Grid[#Data],M_BOM[PPGridRow],17),0))/17.44</f>
        <v/>
      </c>
      <c r="R90">
        <f>SUMPRODUCT((M_BOM[Part Name]=$A90)*M_BOM[RM_Qty_Per_Batch]*IFERROR(INDEX(PP_Grid[#Data],M_BOM[PPGridRow],18),0))/17.44</f>
        <v/>
      </c>
      <c r="S90">
        <f>SUMPRODUCT((M_BOM[Part Name]=$A90)*M_BOM[RM_Qty_Per_Batch]*IFERROR(INDEX(PP_Grid[#Data],M_BOM[PPGridRow],19),0))/17.44</f>
        <v/>
      </c>
      <c r="T90">
        <f>SUMPRODUCT((M_BOM[Part Name]=$A90)*M_BOM[RM_Qty_Per_Batch]*IFERROR(INDEX(PP_Grid[#Data],M_BOM[PPGridRow],20),0))/17.44</f>
        <v/>
      </c>
      <c r="U90">
        <f>SUMPRODUCT((M_BOM[Part Name]=$A90)*M_BOM[RM_Qty_Per_Batch]*IFERROR(INDEX(PP_Grid[#Data],M_BOM[PPGridRow],21),0))/17.44</f>
        <v/>
      </c>
      <c r="V90">
        <f>SUMPRODUCT((M_BOM[Part Name]=$A90)*M_BOM[RM_Qty_Per_Batch]*IFERROR(INDEX(PP_Grid[#Data],M_BOM[PPGridRow],22),0))/17.44</f>
        <v/>
      </c>
      <c r="W90">
        <f>SUMPRODUCT((M_BOM[Part Name]=$A90)*M_BOM[RM_Qty_Per_Batch]*IFERROR(INDEX(PP_Grid[#Data],M_BOM[PPGridRow],23),0))/17.44</f>
        <v/>
      </c>
      <c r="X90">
        <f>SUMPRODUCT((M_BOM[Part Name]=$A90)*M_BOM[RM_Qty_Per_Batch]*IFERROR(INDEX(PP_Grid[#Data],M_BOM[PPGridRow],24),0))/17.44</f>
        <v/>
      </c>
      <c r="Y90">
        <f>SUMPRODUCT((M_BOM[Part Name]=$A90)*M_BOM[RM_Qty_Per_Batch]*IFERROR(INDEX(PP_Grid[#Data],M_BOM[PPGridRow],25),0))/17.44</f>
        <v/>
      </c>
      <c r="Z90">
        <f>SUMPRODUCT((M_BOM[Part Name]=$A90)*M_BOM[RM_Qty_Per_Batch]*IFERROR(INDEX(PP_Grid[#Data],M_BOM[PPGridRow],26),0))/17.44</f>
        <v/>
      </c>
      <c r="AA90">
        <f>SUMPRODUCT((M_BOM[Part Name]=$A90)*M_BOM[RM_Qty_Per_Batch]*IFERROR(INDEX(PP_Grid[#Data],M_BOM[PPGridRow],27),0))/17.44</f>
        <v/>
      </c>
      <c r="AB90">
        <f>SUMPRODUCT((M_BOM[Part Name]=$A90)*M_BOM[RM_Qty_Per_Batch]*IFERROR(INDEX(PP_Grid[#Data],M_BOM[PPGridRow],28),0))/17.44</f>
        <v/>
      </c>
      <c r="AC90">
        <f>SUMPRODUCT((M_BOM[Part Name]=$A90)*M_BOM[RM_Qty_Per_Batch]*IFERROR(INDEX(PP_Grid[#Data],M_BOM[PPGridRow],29),0))/17.44</f>
        <v/>
      </c>
      <c r="AD90">
        <f>SUMPRODUCT((M_BOM[Part Name]=$A90)*M_BOM[RM_Qty_Per_Batch]*IFERROR(INDEX(PP_Grid[#Data],M_BOM[PPGridRow],30),0))/17.44</f>
        <v/>
      </c>
      <c r="AE90">
        <f>SUMPRODUCT((M_BOM[Part Name]=$A90)*M_BOM[RM_Qty_Per_Batch]*IFERROR(INDEX(PP_Grid[#Data],M_BOM[PPGridRow],31),0))/17.44</f>
        <v/>
      </c>
      <c r="AF90">
        <f>SUMPRODUCT((M_BOM[Part Name]=$A90)*M_BOM[RM_Qty_Per_Batch]*IFERROR(INDEX(PP_Grid[#Data],M_BOM[PPGridRow],32),0))/17.44</f>
        <v/>
      </c>
      <c r="AG90">
        <f>SUMPRODUCT((M_BOM[Part Name]=$A90)*M_BOM[RM_Qty_Per_Batch]*IFERROR(INDEX(PP_Grid[#Data],M_BOM[PPGridRow],33),0))/17.44</f>
        <v/>
      </c>
      <c r="AH90">
        <f>SUMPRODUCT((M_BOM[Part Name]=$A90)*M_BOM[RM_Qty_Per_Batch]*IFERROR(INDEX(PP_Grid[#Data],M_BOM[PPGridRow],34),0))/17.44</f>
        <v/>
      </c>
      <c r="AI90">
        <f>SUMPRODUCT((M_BOM[Part Name]=$A90)*M_BOM[RM_Qty_Per_Batch]*IFERROR(INDEX(PP_Grid[#Data],M_BOM[PPGridRow],35),0))/17.44</f>
        <v/>
      </c>
      <c r="AJ90">
        <f>SUMPRODUCT((M_BOM[Part Name]=$A90)*M_BOM[RM_Qty_Per_Batch]*IFERROR(INDEX(PP_Grid[#Data],M_BOM[PPGridRow],36),0))/17.44</f>
        <v/>
      </c>
      <c r="AK90">
        <f>SUMPRODUCT((M_BOM[Part Name]=$A90)*M_BOM[RM_Qty_Per_Batch]*IFERROR(INDEX(PP_Grid[#Data],M_BOM[PPGridRow],37),0))/17.44</f>
        <v/>
      </c>
      <c r="AL90">
        <f>SUMPRODUCT((M_BOM[Part Name]=$A90)*M_BOM[RM_Qty_Per_Batch]*IFERROR(INDEX(PP_Grid[#Data],M_BOM[PPGridRow],38),0))/17.44</f>
        <v/>
      </c>
      <c r="AM90">
        <f>SUMPRODUCT((M_BOM[Part Name]=$A90)*M_BOM[RM_Qty_Per_Batch]*IFERROR(INDEX(PP_Grid[#Data],M_BOM[PPGridRow],39),0))/17.44</f>
        <v/>
      </c>
      <c r="AN90">
        <f>SUMPRODUCT((M_BOM[Part Name]=$A90)*M_BOM[RM_Qty_Per_Batch]*IFERROR(INDEX(PP_Grid[#Data],M_BOM[PPGridRow],40),0))/17.44</f>
        <v/>
      </c>
      <c r="AO90">
        <f>SUMPRODUCT((M_BOM[Part Name]=$A90)*M_BOM[RM_Qty_Per_Batch]*IFERROR(INDEX(PP_Grid[#Data],M_BOM[PPGridRow],41),0))/17.44</f>
        <v/>
      </c>
      <c r="AP90">
        <f>SUMPRODUCT((M_BOM[Part Name]=$A90)*M_BOM[RM_Qty_Per_Batch]*IFERROR(INDEX(PP_Grid[#Data],M_BOM[PPGridRow],42),0))/17.44</f>
        <v/>
      </c>
      <c r="AQ90">
        <f>SUMPRODUCT((M_BOM[Part Name]=$A90)*M_BOM[RM_Qty_Per_Batch]*IFERROR(INDEX(PP_Grid[#Data],M_BOM[PPGridRow],43),0))/17.44</f>
        <v/>
      </c>
      <c r="AR90">
        <f>SUMPRODUCT((M_BOM[Part Name]=$A90)*M_BOM[RM_Qty_Per_Batch]*IFERROR(INDEX(PP_Grid[#Data],M_BOM[PPGridRow],44),0))/17.44</f>
        <v/>
      </c>
      <c r="AS90">
        <f>SUMPRODUCT((M_BOM[Part Name]=$A90)*M_BOM[RM_Qty_Per_Batch]*IFERROR(INDEX(PP_Grid[#Data],M_BOM[PPGridRow],45),0))/17.44</f>
        <v/>
      </c>
      <c r="AT90">
        <f>SUMPRODUCT((M_BOM[Part Name]=$A90)*M_BOM[RM_Qty_Per_Batch]*IFERROR(INDEX(PP_Grid[#Data],M_BOM[PPGridRow],46),0))/17.44</f>
        <v/>
      </c>
      <c r="AU90">
        <f>SUMPRODUCT((M_BOM[Part Name]=$A90)*M_BOM[RM_Qty_Per_Batch]*IFERROR(INDEX(PP_Grid[#Data],M_BOM[PPGridRow],47),0))/17.44</f>
        <v/>
      </c>
      <c r="AV90">
        <f>SUMPRODUCT((M_BOM[Part Name]=$A90)*M_BOM[RM_Qty_Per_Batch]*IFERROR(INDEX(PP_Grid[#Data],M_BOM[PPGridRow],48),0))/17.44</f>
        <v/>
      </c>
      <c r="AW90">
        <f>SUMPRODUCT((M_BOM[Part Name]=$A90)*M_BOM[RM_Qty_Per_Batch]*IFERROR(INDEX(PP_Grid[#Data],M_BOM[PPGridRow],49),0))/17.44</f>
        <v/>
      </c>
      <c r="AX90">
        <f>SUMPRODUCT((M_BOM[Part Name]=$A90)*M_BOM[RM_Qty_Per_Batch]*IFERROR(INDEX(PP_Grid[#Data],M_BOM[PPGridRow],50),0))/17.44</f>
        <v/>
      </c>
      <c r="AY90">
        <f>SUMPRODUCT((M_BOM[Part Name]=$A90)*M_BOM[RM_Qty_Per_Batch]*IFERROR(INDEX(PP_Grid[#Data],M_BOM[PPGridRow],51),0))/17.44</f>
        <v/>
      </c>
      <c r="AZ90">
        <f>SUMPRODUCT((M_BOM[Part Name]=$A90)*M_BOM[RM_Qty_Per_Batch]*IFERROR(INDEX(PP_Grid[#Data],M_BOM[PPGridRow],52),0))/17.44</f>
        <v/>
      </c>
      <c r="BA90">
        <f>SUMPRODUCT((M_BOM[Part Name]=$A90)*M_BOM[RM_Qty_Per_Batch]*IFERROR(INDEX(PP_Grid[#Data],M_BOM[PPGridRow],53),0))/17.44</f>
        <v/>
      </c>
      <c r="BB90">
        <f>SUMPRODUCT((M_BOM[Part Name]=$A90)*M_BOM[RM_Qty_Per_Batch]*IFERROR(INDEX(PP_Grid[#Data],M_BOM[PPGridRow],54),0))/17.44</f>
        <v/>
      </c>
      <c r="BC90">
        <f>SUMPRODUCT((M_BOM[Part Name]=$A90)*M_BOM[RM_Qty_Per_Batch]*IFERROR(INDEX(PP_Grid[#Data],M_BOM[PPGridRow],55),0))/17.44</f>
        <v/>
      </c>
      <c r="BD90">
        <f>SUMPRODUCT((M_BOM[Part Name]=$A90)*M_BOM[RM_Qty_Per_Batch]*IFERROR(INDEX(PP_Grid[#Data],M_BOM[PPGridRow],56),0))/17.44</f>
        <v/>
      </c>
      <c r="BE90">
        <f>SUMPRODUCT((M_BOM[Part Name]=$A90)*M_BOM[RM_Qty_Per_Batch]*IFERROR(INDEX(PP_Grid[#Data],M_BOM[PPGridRow],57),0))/17.44</f>
        <v/>
      </c>
      <c r="BF90">
        <f>SUMPRODUCT((M_BOM[Part Name]=$A90)*M_BOM[RM_Qty_Per_Batch]*IFERROR(INDEX(PP_Grid[#Data],M_BOM[PPGridRow],58),0))/17.44</f>
        <v/>
      </c>
      <c r="BG90">
        <f>SUMPRODUCT((M_BOM[Part Name]=$A90)*M_BOM[RM_Qty_Per_Batch]*IFERROR(INDEX(PP_Grid[#Data],M_BOM[PPGridRow],59),0))/17.44</f>
        <v/>
      </c>
      <c r="BH90">
        <f>SUMPRODUCT((M_BOM[Part Name]=$A90)*M_BOM[RM_Qty_Per_Batch]*IFERROR(INDEX(PP_Grid[#Data],M_BOM[PPGridRow],60),0))/17.44</f>
        <v/>
      </c>
      <c r="BI90">
        <f>SUMPRODUCT((M_BOM[Part Name]=$A90)*M_BOM[RM_Qty_Per_Batch]*IFERROR(INDEX(PP_Grid[#Data],M_BOM[PPGridRow],61),0))/17.44</f>
        <v/>
      </c>
      <c r="BJ90">
        <f>SUMPRODUCT((M_BOM[Part Name]=$A90)*M_BOM[RM_Qty_Per_Batch]*IFERROR(INDEX(PP_Grid[#Data],M_BOM[PPGridRow],62),0))/17.44</f>
        <v/>
      </c>
      <c r="BK90">
        <f>SUMPRODUCT((M_BOM[Part Name]=$A90)*M_BOM[RM_Qty_Per_Batch]*IFERROR(INDEX(PP_Grid[#Data],M_BOM[PPGridRow],63),0))/17.44</f>
        <v/>
      </c>
      <c r="BL90">
        <f>SUMPRODUCT((M_BOM[Part Name]=$A90)*M_BOM[RM_Qty_Per_Batch]*IFERROR(INDEX(PP_Grid[#Data],M_BOM[PPGridRow],64),0))/17.44</f>
        <v/>
      </c>
      <c r="BM90">
        <f>SUMPRODUCT((M_BOM[Part Name]=$A90)*M_BOM[RM_Qty_Per_Batch]*IFERROR(INDEX(PP_Grid[#Data],M_BOM[PPGridRow],65),0))/17.44</f>
        <v/>
      </c>
      <c r="BN90">
        <f>SUMPRODUCT((M_BOM[Part Name]=$A90)*M_BOM[RM_Qty_Per_Batch]*IFERROR(INDEX(PP_Grid[#Data],M_BOM[PPGridRow],66),0))/17.44</f>
        <v/>
      </c>
      <c r="BO90">
        <f>SUMPRODUCT((M_BOM[Part Name]=$A90)*M_BOM[RM_Qty_Per_Batch]*IFERROR(INDEX(PP_Grid[#Data],M_BOM[PPGridRow],67),0))/17.44</f>
        <v/>
      </c>
      <c r="BP90">
        <f>SUMPRODUCT((M_BOM[Part Name]=$A90)*M_BOM[RM_Qty_Per_Batch]*IFERROR(INDEX(PP_Grid[#Data],M_BOM[PPGridRow],68),0))/17.44</f>
        <v/>
      </c>
      <c r="BQ90">
        <f>SUMPRODUCT((M_BOM[Part Name]=$A90)*M_BOM[RM_Qty_Per_Batch]*IFERROR(INDEX(PP_Grid[#Data],M_BOM[PPGridRow],69),0))/17.44</f>
        <v/>
      </c>
      <c r="BR90">
        <f>SUMPRODUCT((M_BOM[Part Name]=$A90)*M_BOM[RM_Qty_Per_Batch]*IFERROR(INDEX(PP_Grid[#Data],M_BOM[PPGridRow],70),0))/17.44</f>
        <v/>
      </c>
      <c r="BS90">
        <f>SUMPRODUCT((M_BOM[Part Name]=$A90)*M_BOM[RM_Qty_Per_Batch]*IFERROR(INDEX(PP_Grid[#Data],M_BOM[PPGridRow],71),0))/17.44</f>
        <v/>
      </c>
      <c r="BT90">
        <f>SUMPRODUCT((M_BOM[Part Name]=$A90)*M_BOM[RM_Qty_Per_Batch]*IFERROR(INDEX(PP_Grid[#Data],M_BOM[PPGridRow],72),0))/17.44</f>
        <v/>
      </c>
      <c r="BU90">
        <f>SUMPRODUCT((M_BOM[Part Name]=$A90)*M_BOM[RM_Qty_Per_Batch]*IFERROR(INDEX(PP_Grid[#Data],M_BOM[PPGridRow],73),0))/17.44</f>
        <v/>
      </c>
      <c r="BV90">
        <f>SUMPRODUCT((M_BOM[Part Name]=$A90)*M_BOM[RM_Qty_Per_Batch]*IFERROR(INDEX(PP_Grid[#Data],M_BOM[PPGridRow],74),0))/17.44</f>
        <v/>
      </c>
      <c r="BW90">
        <f>SUMPRODUCT((M_BOM[Part Name]=$A90)*M_BOM[RM_Qty_Per_Batch]*IFERROR(INDEX(PP_Grid[#Data],M_BOM[PPGridRow],75),0))/17.44</f>
        <v/>
      </c>
      <c r="BX90">
        <f>SUMPRODUCT((M_BOM[Part Name]=$A90)*M_BOM[RM_Qty_Per_Batch]*IFERROR(INDEX(PP_Grid[#Data],M_BOM[PPGridRow],76),0))/17.44</f>
        <v/>
      </c>
      <c r="BY90">
        <f>SUMPRODUCT((M_BOM[Part Name]=$A90)*M_BOM[RM_Qty_Per_Batch]*IFERROR(INDEX(PP_Grid[#Data],M_BOM[PPGridRow],77),0))/17.44</f>
        <v/>
      </c>
      <c r="BZ90">
        <f>SUMPRODUCT((M_BOM[Part Name]=$A90)*M_BOM[RM_Qty_Per_Batch]*IFERROR(INDEX(PP_Grid[#Data],M_BOM[PPGridRow],78),0))/17.44</f>
        <v/>
      </c>
      <c r="CA90">
        <f>SUMPRODUCT((M_BOM[Part Name]=$A90)*M_BOM[RM_Qty_Per_Batch]*IFERROR(INDEX(PP_Grid[#Data],M_BOM[PPGridRow],79),0))/17.44</f>
        <v/>
      </c>
      <c r="CB90">
        <f>SUMPRODUCT((M_BOM[Part Name]=$A90)*M_BOM[RM_Qty_Per_Batch]*IFERROR(INDEX(PP_Grid[#Data],M_BOM[PPGridRow],80),0))/17.44</f>
        <v/>
      </c>
      <c r="CC90">
        <f>SUMPRODUCT((M_BOM[Part Name]=$A90)*M_BOM[RM_Qty_Per_Batch]*IFERROR(INDEX(PP_Grid[#Data],M_BOM[PPGridRow],81),0))/17.44</f>
        <v/>
      </c>
      <c r="CD90">
        <f>SUMPRODUCT((M_BOM[Part Name]=$A90)*M_BOM[RM_Qty_Per_Batch]*IFERROR(INDEX(PP_Grid[#Data],M_BOM[PPGridRow],82),0))/17.44</f>
        <v/>
      </c>
      <c r="CE90">
        <f>SUMPRODUCT((M_BOM[Part Name]=$A90)*M_BOM[RM_Qty_Per_Batch]*IFERROR(INDEX(PP_Grid[#Data],M_BOM[PPGridRow],83),0))/17.44</f>
        <v/>
      </c>
      <c r="CF90">
        <f>SUMPRODUCT((M_BOM[Part Name]=$A90)*M_BOM[RM_Qty_Per_Batch]*IFERROR(INDEX(PP_Grid[#Data],M_BOM[PPGridRow],84),0))/17.44</f>
        <v/>
      </c>
      <c r="CG90">
        <f>SUMPRODUCT((M_BOM[Part Name]=$A90)*M_BOM[RM_Qty_Per_Batch]*IFERROR(INDEX(PP_Grid[#Data],M_BOM[PPGridRow],85),0))/17.44</f>
        <v/>
      </c>
      <c r="CH90">
        <f>SUMPRODUCT((M_BOM[Part Name]=$A90)*M_BOM[RM_Qty_Per_Batch]*IFERROR(INDEX(PP_Grid[#Data],M_BOM[PPGridRow],86),0))/17.44</f>
        <v/>
      </c>
      <c r="CI90">
        <f>SUMPRODUCT((M_BOM[Part Name]=$A90)*M_BOM[RM_Qty_Per_Batch]*IFERROR(INDEX(PP_Grid[#Data],M_BOM[PPGridRow],87),0))/17.44</f>
        <v/>
      </c>
      <c r="CJ90">
        <f>SUMPRODUCT((M_BOM[Part Name]=$A90)*M_BOM[RM_Qty_Per_Batch]*IFERROR(INDEX(PP_Grid[#Data],M_BOM[PPGridRow],88),0))/17.44</f>
        <v/>
      </c>
      <c r="CK90">
        <f>SUMPRODUCT((M_BOM[Part Name]=$A90)*M_BOM[RM_Qty_Per_Batch]*IFERROR(INDEX(PP_Grid[#Data],M_BOM[PPGridRow],89),0))/17.44</f>
        <v/>
      </c>
      <c r="CL90">
        <f>SUMPRODUCT((M_BOM[Part Name]=$A90)*M_BOM[RM_Qty_Per_Batch]*IFERROR(INDEX(PP_Grid[#Data],M_BOM[PPGridRow],90),0))/17.44</f>
        <v/>
      </c>
      <c r="CM90">
        <f>SUMPRODUCT((M_BOM[Part Name]=$A90)*M_BOM[RM_Qty_Per_Batch]*IFERROR(INDEX(PP_Grid[#Data],M_BOM[PPGridRow],91),0))/17.44</f>
        <v/>
      </c>
      <c r="CN90">
        <f>SUMPRODUCT((M_BOM[Part Name]=$A90)*M_BOM[RM_Qty_Per_Batch]*IFERROR(INDEX(PP_Grid[#Data],M_BOM[PPGridRow],92),0))/17.44</f>
        <v/>
      </c>
      <c r="CO90">
        <f>SUMPRODUCT((M_BOM[Part Name]=$A90)*M_BOM[RM_Qty_Per_Batch]*IFERROR(INDEX(PP_Grid[#Data],M_BOM[PPGridRow],93),0))/17.44</f>
        <v/>
      </c>
      <c r="CP90">
        <f>SUMPRODUCT((M_BOM[Part Name]=$A90)*M_BOM[RM_Qty_Per_Batch]*IFERROR(INDEX(PP_Grid[#Data],M_BOM[PPGridRow],94),0))/17.44</f>
        <v/>
      </c>
      <c r="CQ90">
        <f>SUMPRODUCT((M_BOM[Part Name]=$A90)*M_BOM[RM_Qty_Per_Batch]*IFERROR(INDEX(PP_Grid[#Data],M_BOM[PPGridRow],95),0))/17.44</f>
        <v/>
      </c>
      <c r="CR90">
        <f>SUMPRODUCT((M_BOM[Part Name]=$A90)*M_BOM[RM_Qty_Per_Batch]*IFERROR(INDEX(PP_Grid[#Data],M_BOM[PPGridRow],96),0))/17.44</f>
        <v/>
      </c>
      <c r="CS90">
        <f>SUMPRODUCT((M_BOM[Part Name]=$A90)*M_BOM[RM_Qty_Per_Batch]*IFERROR(INDEX(PP_Grid[#Data],M_BOM[PPGridRow],97),0))/17.44</f>
        <v/>
      </c>
      <c r="CT90">
        <f>SUMPRODUCT((M_BOM[Part Name]=$A90)*M_BOM[RM_Qty_Per_Batch]*IFERROR(INDEX(PP_Grid[#Data],M_BOM[PPGridRow],98),0))/17.44</f>
        <v/>
      </c>
      <c r="CU90">
        <f>SUMPRODUCT((M_BOM[Part Name]=$A90)*M_BOM[RM_Qty_Per_Batch]*IFERROR(INDEX(PP_Grid[#Data],M_BOM[PPGridRow],99),0))/17.44</f>
        <v/>
      </c>
      <c r="CV90">
        <f>SUMPRODUCT((M_BOM[Part Name]=$A90)*M_BOM[RM_Qty_Per_Batch]*IFERROR(INDEX(PP_Grid[#Data],M_BOM[PPGridRow],100),0))/17.44</f>
        <v/>
      </c>
      <c r="CW90">
        <f>SUMPRODUCT((M_BOM[Part Name]=$A90)*M_BOM[RM_Qty_Per_Batch]*IFERROR(INDEX(PP_Grid[#Data],M_BOM[PPGridRow],101),0))/17.44</f>
        <v/>
      </c>
      <c r="CX90">
        <f>SUMPRODUCT((M_BOM[Part Name]=$A90)*M_BOM[RM_Qty_Per_Batch]*IFERROR(INDEX(PP_Grid[#Data],M_BOM[PPGridRow],102),0))/17.44</f>
        <v/>
      </c>
      <c r="CY90">
        <f>SUMPRODUCT((M_BOM[Part Name]=$A90)*M_BOM[RM_Qty_Per_Batch]*IFERROR(INDEX(PP_Grid[#Data],M_BOM[PPGridRow],103),0))/17.44</f>
        <v/>
      </c>
      <c r="CZ90">
        <f>SUMPRODUCT((M_BOM[Part Name]=$A90)*M_BOM[RM_Qty_Per_Batch]*IFERROR(INDEX(PP_Grid[#Data],M_BOM[PPGridRow],104),0))/17.44</f>
        <v/>
      </c>
      <c r="DA90">
        <f>SUMPRODUCT((M_BOM[Part Name]=$A90)*M_BOM[RM_Qty_Per_Batch]*IFERROR(INDEX(PP_Grid[#Data],M_BOM[PPGridRow],105),0))/17.44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Name]=$A91)*M_BOM[RM_Qty_Per_Batch]*IFERROR(INDEX(PP_Grid[#Data],M_BOM[PPGridRow],2),0))/18.05</f>
        <v/>
      </c>
      <c r="C91">
        <f>SUMPRODUCT((M_BOM[Part Name]=$A91)*M_BOM[RM_Qty_Per_Batch]*IFERROR(INDEX(PP_Grid[#Data],M_BOM[PPGridRow],3),0))/18.05</f>
        <v/>
      </c>
      <c r="D91">
        <f>SUMPRODUCT((M_BOM[Part Name]=$A91)*M_BOM[RM_Qty_Per_Batch]*IFERROR(INDEX(PP_Grid[#Data],M_BOM[PPGridRow],4),0))/18.05</f>
        <v/>
      </c>
      <c r="E91">
        <f>SUMPRODUCT((M_BOM[Part Name]=$A91)*M_BOM[RM_Qty_Per_Batch]*IFERROR(INDEX(PP_Grid[#Data],M_BOM[PPGridRow],5),0))/18.05</f>
        <v/>
      </c>
      <c r="F91">
        <f>SUMPRODUCT((M_BOM[Part Name]=$A91)*M_BOM[RM_Qty_Per_Batch]*IFERROR(INDEX(PP_Grid[#Data],M_BOM[PPGridRow],6),0))/18.05</f>
        <v/>
      </c>
      <c r="G91">
        <f>SUMPRODUCT((M_BOM[Part Name]=$A91)*M_BOM[RM_Qty_Per_Batch]*IFERROR(INDEX(PP_Grid[#Data],M_BOM[PPGridRow],7),0))/18.05</f>
        <v/>
      </c>
      <c r="H91">
        <f>SUMPRODUCT((M_BOM[Part Name]=$A91)*M_BOM[RM_Qty_Per_Batch]*IFERROR(INDEX(PP_Grid[#Data],M_BOM[PPGridRow],8),0))/18.05</f>
        <v/>
      </c>
      <c r="I91">
        <f>SUMPRODUCT((M_BOM[Part Name]=$A91)*M_BOM[RM_Qty_Per_Batch]*IFERROR(INDEX(PP_Grid[#Data],M_BOM[PPGridRow],9),0))/18.05</f>
        <v/>
      </c>
      <c r="J91">
        <f>SUMPRODUCT((M_BOM[Part Name]=$A91)*M_BOM[RM_Qty_Per_Batch]*IFERROR(INDEX(PP_Grid[#Data],M_BOM[PPGridRow],10),0))/18.05</f>
        <v/>
      </c>
      <c r="K91">
        <f>SUMPRODUCT((M_BOM[Part Name]=$A91)*M_BOM[RM_Qty_Per_Batch]*IFERROR(INDEX(PP_Grid[#Data],M_BOM[PPGridRow],11),0))/18.05</f>
        <v/>
      </c>
      <c r="L91">
        <f>SUMPRODUCT((M_BOM[Part Name]=$A91)*M_BOM[RM_Qty_Per_Batch]*IFERROR(INDEX(PP_Grid[#Data],M_BOM[PPGridRow],12),0))/18.05</f>
        <v/>
      </c>
      <c r="M91">
        <f>SUMPRODUCT((M_BOM[Part Name]=$A91)*M_BOM[RM_Qty_Per_Batch]*IFERROR(INDEX(PP_Grid[#Data],M_BOM[PPGridRow],13),0))/18.05</f>
        <v/>
      </c>
      <c r="N91">
        <f>SUMPRODUCT((M_BOM[Part Name]=$A91)*M_BOM[RM_Qty_Per_Batch]*IFERROR(INDEX(PP_Grid[#Data],M_BOM[PPGridRow],14),0))/18.05</f>
        <v/>
      </c>
      <c r="O91">
        <f>SUMPRODUCT((M_BOM[Part Name]=$A91)*M_BOM[RM_Qty_Per_Batch]*IFERROR(INDEX(PP_Grid[#Data],M_BOM[PPGridRow],15),0))/18.05</f>
        <v/>
      </c>
      <c r="P91">
        <f>SUMPRODUCT((M_BOM[Part Name]=$A91)*M_BOM[RM_Qty_Per_Batch]*IFERROR(INDEX(PP_Grid[#Data],M_BOM[PPGridRow],16),0))/18.05</f>
        <v/>
      </c>
      <c r="Q91">
        <f>SUMPRODUCT((M_BOM[Part Name]=$A91)*M_BOM[RM_Qty_Per_Batch]*IFERROR(INDEX(PP_Grid[#Data],M_BOM[PPGridRow],17),0))/18.05</f>
        <v/>
      </c>
      <c r="R91">
        <f>SUMPRODUCT((M_BOM[Part Name]=$A91)*M_BOM[RM_Qty_Per_Batch]*IFERROR(INDEX(PP_Grid[#Data],M_BOM[PPGridRow],18),0))/18.05</f>
        <v/>
      </c>
      <c r="S91">
        <f>SUMPRODUCT((M_BOM[Part Name]=$A91)*M_BOM[RM_Qty_Per_Batch]*IFERROR(INDEX(PP_Grid[#Data],M_BOM[PPGridRow],19),0))/18.05</f>
        <v/>
      </c>
      <c r="T91">
        <f>SUMPRODUCT((M_BOM[Part Name]=$A91)*M_BOM[RM_Qty_Per_Batch]*IFERROR(INDEX(PP_Grid[#Data],M_BOM[PPGridRow],20),0))/18.05</f>
        <v/>
      </c>
      <c r="U91">
        <f>SUMPRODUCT((M_BOM[Part Name]=$A91)*M_BOM[RM_Qty_Per_Batch]*IFERROR(INDEX(PP_Grid[#Data],M_BOM[PPGridRow],21),0))/18.05</f>
        <v/>
      </c>
      <c r="V91">
        <f>SUMPRODUCT((M_BOM[Part Name]=$A91)*M_BOM[RM_Qty_Per_Batch]*IFERROR(INDEX(PP_Grid[#Data],M_BOM[PPGridRow],22),0))/18.05</f>
        <v/>
      </c>
      <c r="W91">
        <f>SUMPRODUCT((M_BOM[Part Name]=$A91)*M_BOM[RM_Qty_Per_Batch]*IFERROR(INDEX(PP_Grid[#Data],M_BOM[PPGridRow],23),0))/18.05</f>
        <v/>
      </c>
      <c r="X91">
        <f>SUMPRODUCT((M_BOM[Part Name]=$A91)*M_BOM[RM_Qty_Per_Batch]*IFERROR(INDEX(PP_Grid[#Data],M_BOM[PPGridRow],24),0))/18.05</f>
        <v/>
      </c>
      <c r="Y91">
        <f>SUMPRODUCT((M_BOM[Part Name]=$A91)*M_BOM[RM_Qty_Per_Batch]*IFERROR(INDEX(PP_Grid[#Data],M_BOM[PPGridRow],25),0))/18.05</f>
        <v/>
      </c>
      <c r="Z91">
        <f>SUMPRODUCT((M_BOM[Part Name]=$A91)*M_BOM[RM_Qty_Per_Batch]*IFERROR(INDEX(PP_Grid[#Data],M_BOM[PPGridRow],26),0))/18.05</f>
        <v/>
      </c>
      <c r="AA91">
        <f>SUMPRODUCT((M_BOM[Part Name]=$A91)*M_BOM[RM_Qty_Per_Batch]*IFERROR(INDEX(PP_Grid[#Data],M_BOM[PPGridRow],27),0))/18.05</f>
        <v/>
      </c>
      <c r="AB91">
        <f>SUMPRODUCT((M_BOM[Part Name]=$A91)*M_BOM[RM_Qty_Per_Batch]*IFERROR(INDEX(PP_Grid[#Data],M_BOM[PPGridRow],28),0))/18.05</f>
        <v/>
      </c>
      <c r="AC91">
        <f>SUMPRODUCT((M_BOM[Part Name]=$A91)*M_BOM[RM_Qty_Per_Batch]*IFERROR(INDEX(PP_Grid[#Data],M_BOM[PPGridRow],29),0))/18.05</f>
        <v/>
      </c>
      <c r="AD91">
        <f>SUMPRODUCT((M_BOM[Part Name]=$A91)*M_BOM[RM_Qty_Per_Batch]*IFERROR(INDEX(PP_Grid[#Data],M_BOM[PPGridRow],30),0))/18.05</f>
        <v/>
      </c>
      <c r="AE91">
        <f>SUMPRODUCT((M_BOM[Part Name]=$A91)*M_BOM[RM_Qty_Per_Batch]*IFERROR(INDEX(PP_Grid[#Data],M_BOM[PPGridRow],31),0))/18.05</f>
        <v/>
      </c>
      <c r="AF91">
        <f>SUMPRODUCT((M_BOM[Part Name]=$A91)*M_BOM[RM_Qty_Per_Batch]*IFERROR(INDEX(PP_Grid[#Data],M_BOM[PPGridRow],32),0))/18.05</f>
        <v/>
      </c>
      <c r="AG91">
        <f>SUMPRODUCT((M_BOM[Part Name]=$A91)*M_BOM[RM_Qty_Per_Batch]*IFERROR(INDEX(PP_Grid[#Data],M_BOM[PPGridRow],33),0))/18.05</f>
        <v/>
      </c>
      <c r="AH91">
        <f>SUMPRODUCT((M_BOM[Part Name]=$A91)*M_BOM[RM_Qty_Per_Batch]*IFERROR(INDEX(PP_Grid[#Data],M_BOM[PPGridRow],34),0))/18.05</f>
        <v/>
      </c>
      <c r="AI91">
        <f>SUMPRODUCT((M_BOM[Part Name]=$A91)*M_BOM[RM_Qty_Per_Batch]*IFERROR(INDEX(PP_Grid[#Data],M_BOM[PPGridRow],35),0))/18.05</f>
        <v/>
      </c>
      <c r="AJ91">
        <f>SUMPRODUCT((M_BOM[Part Name]=$A91)*M_BOM[RM_Qty_Per_Batch]*IFERROR(INDEX(PP_Grid[#Data],M_BOM[PPGridRow],36),0))/18.05</f>
        <v/>
      </c>
      <c r="AK91">
        <f>SUMPRODUCT((M_BOM[Part Name]=$A91)*M_BOM[RM_Qty_Per_Batch]*IFERROR(INDEX(PP_Grid[#Data],M_BOM[PPGridRow],37),0))/18.05</f>
        <v/>
      </c>
      <c r="AL91">
        <f>SUMPRODUCT((M_BOM[Part Name]=$A91)*M_BOM[RM_Qty_Per_Batch]*IFERROR(INDEX(PP_Grid[#Data],M_BOM[PPGridRow],38),0))/18.05</f>
        <v/>
      </c>
      <c r="AM91">
        <f>SUMPRODUCT((M_BOM[Part Name]=$A91)*M_BOM[RM_Qty_Per_Batch]*IFERROR(INDEX(PP_Grid[#Data],M_BOM[PPGridRow],39),0))/18.05</f>
        <v/>
      </c>
      <c r="AN91">
        <f>SUMPRODUCT((M_BOM[Part Name]=$A91)*M_BOM[RM_Qty_Per_Batch]*IFERROR(INDEX(PP_Grid[#Data],M_BOM[PPGridRow],40),0))/18.05</f>
        <v/>
      </c>
      <c r="AO91">
        <f>SUMPRODUCT((M_BOM[Part Name]=$A91)*M_BOM[RM_Qty_Per_Batch]*IFERROR(INDEX(PP_Grid[#Data],M_BOM[PPGridRow],41),0))/18.05</f>
        <v/>
      </c>
      <c r="AP91">
        <f>SUMPRODUCT((M_BOM[Part Name]=$A91)*M_BOM[RM_Qty_Per_Batch]*IFERROR(INDEX(PP_Grid[#Data],M_BOM[PPGridRow],42),0))/18.05</f>
        <v/>
      </c>
      <c r="AQ91">
        <f>SUMPRODUCT((M_BOM[Part Name]=$A91)*M_BOM[RM_Qty_Per_Batch]*IFERROR(INDEX(PP_Grid[#Data],M_BOM[PPGridRow],43),0))/18.05</f>
        <v/>
      </c>
      <c r="AR91">
        <f>SUMPRODUCT((M_BOM[Part Name]=$A91)*M_BOM[RM_Qty_Per_Batch]*IFERROR(INDEX(PP_Grid[#Data],M_BOM[PPGridRow],44),0))/18.05</f>
        <v/>
      </c>
      <c r="AS91">
        <f>SUMPRODUCT((M_BOM[Part Name]=$A91)*M_BOM[RM_Qty_Per_Batch]*IFERROR(INDEX(PP_Grid[#Data],M_BOM[PPGridRow],45),0))/18.05</f>
        <v/>
      </c>
      <c r="AT91">
        <f>SUMPRODUCT((M_BOM[Part Name]=$A91)*M_BOM[RM_Qty_Per_Batch]*IFERROR(INDEX(PP_Grid[#Data],M_BOM[PPGridRow],46),0))/18.05</f>
        <v/>
      </c>
      <c r="AU91">
        <f>SUMPRODUCT((M_BOM[Part Name]=$A91)*M_BOM[RM_Qty_Per_Batch]*IFERROR(INDEX(PP_Grid[#Data],M_BOM[PPGridRow],47),0))/18.05</f>
        <v/>
      </c>
      <c r="AV91">
        <f>SUMPRODUCT((M_BOM[Part Name]=$A91)*M_BOM[RM_Qty_Per_Batch]*IFERROR(INDEX(PP_Grid[#Data],M_BOM[PPGridRow],48),0))/18.05</f>
        <v/>
      </c>
      <c r="AW91">
        <f>SUMPRODUCT((M_BOM[Part Name]=$A91)*M_BOM[RM_Qty_Per_Batch]*IFERROR(INDEX(PP_Grid[#Data],M_BOM[PPGridRow],49),0))/18.05</f>
        <v/>
      </c>
      <c r="AX91">
        <f>SUMPRODUCT((M_BOM[Part Name]=$A91)*M_BOM[RM_Qty_Per_Batch]*IFERROR(INDEX(PP_Grid[#Data],M_BOM[PPGridRow],50),0))/18.05</f>
        <v/>
      </c>
      <c r="AY91">
        <f>SUMPRODUCT((M_BOM[Part Name]=$A91)*M_BOM[RM_Qty_Per_Batch]*IFERROR(INDEX(PP_Grid[#Data],M_BOM[PPGridRow],51),0))/18.05</f>
        <v/>
      </c>
      <c r="AZ91">
        <f>SUMPRODUCT((M_BOM[Part Name]=$A91)*M_BOM[RM_Qty_Per_Batch]*IFERROR(INDEX(PP_Grid[#Data],M_BOM[PPGridRow],52),0))/18.05</f>
        <v/>
      </c>
      <c r="BA91">
        <f>SUMPRODUCT((M_BOM[Part Name]=$A91)*M_BOM[RM_Qty_Per_Batch]*IFERROR(INDEX(PP_Grid[#Data],M_BOM[PPGridRow],53),0))/18.05</f>
        <v/>
      </c>
      <c r="BB91">
        <f>SUMPRODUCT((M_BOM[Part Name]=$A91)*M_BOM[RM_Qty_Per_Batch]*IFERROR(INDEX(PP_Grid[#Data],M_BOM[PPGridRow],54),0))/18.05</f>
        <v/>
      </c>
      <c r="BC91">
        <f>SUMPRODUCT((M_BOM[Part Name]=$A91)*M_BOM[RM_Qty_Per_Batch]*IFERROR(INDEX(PP_Grid[#Data],M_BOM[PPGridRow],55),0))/18.05</f>
        <v/>
      </c>
      <c r="BD91">
        <f>SUMPRODUCT((M_BOM[Part Name]=$A91)*M_BOM[RM_Qty_Per_Batch]*IFERROR(INDEX(PP_Grid[#Data],M_BOM[PPGridRow],56),0))/18.05</f>
        <v/>
      </c>
      <c r="BE91">
        <f>SUMPRODUCT((M_BOM[Part Name]=$A91)*M_BOM[RM_Qty_Per_Batch]*IFERROR(INDEX(PP_Grid[#Data],M_BOM[PPGridRow],57),0))/18.05</f>
        <v/>
      </c>
      <c r="BF91">
        <f>SUMPRODUCT((M_BOM[Part Name]=$A91)*M_BOM[RM_Qty_Per_Batch]*IFERROR(INDEX(PP_Grid[#Data],M_BOM[PPGridRow],58),0))/18.05</f>
        <v/>
      </c>
      <c r="BG91">
        <f>SUMPRODUCT((M_BOM[Part Name]=$A91)*M_BOM[RM_Qty_Per_Batch]*IFERROR(INDEX(PP_Grid[#Data],M_BOM[PPGridRow],59),0))/18.05</f>
        <v/>
      </c>
      <c r="BH91">
        <f>SUMPRODUCT((M_BOM[Part Name]=$A91)*M_BOM[RM_Qty_Per_Batch]*IFERROR(INDEX(PP_Grid[#Data],M_BOM[PPGridRow],60),0))/18.05</f>
        <v/>
      </c>
      <c r="BI91">
        <f>SUMPRODUCT((M_BOM[Part Name]=$A91)*M_BOM[RM_Qty_Per_Batch]*IFERROR(INDEX(PP_Grid[#Data],M_BOM[PPGridRow],61),0))/18.05</f>
        <v/>
      </c>
      <c r="BJ91">
        <f>SUMPRODUCT((M_BOM[Part Name]=$A91)*M_BOM[RM_Qty_Per_Batch]*IFERROR(INDEX(PP_Grid[#Data],M_BOM[PPGridRow],62),0))/18.05</f>
        <v/>
      </c>
      <c r="BK91">
        <f>SUMPRODUCT((M_BOM[Part Name]=$A91)*M_BOM[RM_Qty_Per_Batch]*IFERROR(INDEX(PP_Grid[#Data],M_BOM[PPGridRow],63),0))/18.05</f>
        <v/>
      </c>
      <c r="BL91">
        <f>SUMPRODUCT((M_BOM[Part Name]=$A91)*M_BOM[RM_Qty_Per_Batch]*IFERROR(INDEX(PP_Grid[#Data],M_BOM[PPGridRow],64),0))/18.05</f>
        <v/>
      </c>
      <c r="BM91">
        <f>SUMPRODUCT((M_BOM[Part Name]=$A91)*M_BOM[RM_Qty_Per_Batch]*IFERROR(INDEX(PP_Grid[#Data],M_BOM[PPGridRow],65),0))/18.05</f>
        <v/>
      </c>
      <c r="BN91">
        <f>SUMPRODUCT((M_BOM[Part Name]=$A91)*M_BOM[RM_Qty_Per_Batch]*IFERROR(INDEX(PP_Grid[#Data],M_BOM[PPGridRow],66),0))/18.05</f>
        <v/>
      </c>
      <c r="BO91">
        <f>SUMPRODUCT((M_BOM[Part Name]=$A91)*M_BOM[RM_Qty_Per_Batch]*IFERROR(INDEX(PP_Grid[#Data],M_BOM[PPGridRow],67),0))/18.05</f>
        <v/>
      </c>
      <c r="BP91">
        <f>SUMPRODUCT((M_BOM[Part Name]=$A91)*M_BOM[RM_Qty_Per_Batch]*IFERROR(INDEX(PP_Grid[#Data],M_BOM[PPGridRow],68),0))/18.05</f>
        <v/>
      </c>
      <c r="BQ91">
        <f>SUMPRODUCT((M_BOM[Part Name]=$A91)*M_BOM[RM_Qty_Per_Batch]*IFERROR(INDEX(PP_Grid[#Data],M_BOM[PPGridRow],69),0))/18.05</f>
        <v/>
      </c>
      <c r="BR91">
        <f>SUMPRODUCT((M_BOM[Part Name]=$A91)*M_BOM[RM_Qty_Per_Batch]*IFERROR(INDEX(PP_Grid[#Data],M_BOM[PPGridRow],70),0))/18.05</f>
        <v/>
      </c>
      <c r="BS91">
        <f>SUMPRODUCT((M_BOM[Part Name]=$A91)*M_BOM[RM_Qty_Per_Batch]*IFERROR(INDEX(PP_Grid[#Data],M_BOM[PPGridRow],71),0))/18.05</f>
        <v/>
      </c>
      <c r="BT91">
        <f>SUMPRODUCT((M_BOM[Part Name]=$A91)*M_BOM[RM_Qty_Per_Batch]*IFERROR(INDEX(PP_Grid[#Data],M_BOM[PPGridRow],72),0))/18.05</f>
        <v/>
      </c>
      <c r="BU91">
        <f>SUMPRODUCT((M_BOM[Part Name]=$A91)*M_BOM[RM_Qty_Per_Batch]*IFERROR(INDEX(PP_Grid[#Data],M_BOM[PPGridRow],73),0))/18.05</f>
        <v/>
      </c>
      <c r="BV91">
        <f>SUMPRODUCT((M_BOM[Part Name]=$A91)*M_BOM[RM_Qty_Per_Batch]*IFERROR(INDEX(PP_Grid[#Data],M_BOM[PPGridRow],74),0))/18.05</f>
        <v/>
      </c>
      <c r="BW91">
        <f>SUMPRODUCT((M_BOM[Part Name]=$A91)*M_BOM[RM_Qty_Per_Batch]*IFERROR(INDEX(PP_Grid[#Data],M_BOM[PPGridRow],75),0))/18.05</f>
        <v/>
      </c>
      <c r="BX91">
        <f>SUMPRODUCT((M_BOM[Part Name]=$A91)*M_BOM[RM_Qty_Per_Batch]*IFERROR(INDEX(PP_Grid[#Data],M_BOM[PPGridRow],76),0))/18.05</f>
        <v/>
      </c>
      <c r="BY91">
        <f>SUMPRODUCT((M_BOM[Part Name]=$A91)*M_BOM[RM_Qty_Per_Batch]*IFERROR(INDEX(PP_Grid[#Data],M_BOM[PPGridRow],77),0))/18.05</f>
        <v/>
      </c>
      <c r="BZ91">
        <f>SUMPRODUCT((M_BOM[Part Name]=$A91)*M_BOM[RM_Qty_Per_Batch]*IFERROR(INDEX(PP_Grid[#Data],M_BOM[PPGridRow],78),0))/18.05</f>
        <v/>
      </c>
      <c r="CA91">
        <f>SUMPRODUCT((M_BOM[Part Name]=$A91)*M_BOM[RM_Qty_Per_Batch]*IFERROR(INDEX(PP_Grid[#Data],M_BOM[PPGridRow],79),0))/18.05</f>
        <v/>
      </c>
      <c r="CB91">
        <f>SUMPRODUCT((M_BOM[Part Name]=$A91)*M_BOM[RM_Qty_Per_Batch]*IFERROR(INDEX(PP_Grid[#Data],M_BOM[PPGridRow],80),0))/18.05</f>
        <v/>
      </c>
      <c r="CC91">
        <f>SUMPRODUCT((M_BOM[Part Name]=$A91)*M_BOM[RM_Qty_Per_Batch]*IFERROR(INDEX(PP_Grid[#Data],M_BOM[PPGridRow],81),0))/18.05</f>
        <v/>
      </c>
      <c r="CD91">
        <f>SUMPRODUCT((M_BOM[Part Name]=$A91)*M_BOM[RM_Qty_Per_Batch]*IFERROR(INDEX(PP_Grid[#Data],M_BOM[PPGridRow],82),0))/18.05</f>
        <v/>
      </c>
      <c r="CE91">
        <f>SUMPRODUCT((M_BOM[Part Name]=$A91)*M_BOM[RM_Qty_Per_Batch]*IFERROR(INDEX(PP_Grid[#Data],M_BOM[PPGridRow],83),0))/18.05</f>
        <v/>
      </c>
      <c r="CF91">
        <f>SUMPRODUCT((M_BOM[Part Name]=$A91)*M_BOM[RM_Qty_Per_Batch]*IFERROR(INDEX(PP_Grid[#Data],M_BOM[PPGridRow],84),0))/18.05</f>
        <v/>
      </c>
      <c r="CG91">
        <f>SUMPRODUCT((M_BOM[Part Name]=$A91)*M_BOM[RM_Qty_Per_Batch]*IFERROR(INDEX(PP_Grid[#Data],M_BOM[PPGridRow],85),0))/18.05</f>
        <v/>
      </c>
      <c r="CH91">
        <f>SUMPRODUCT((M_BOM[Part Name]=$A91)*M_BOM[RM_Qty_Per_Batch]*IFERROR(INDEX(PP_Grid[#Data],M_BOM[PPGridRow],86),0))/18.05</f>
        <v/>
      </c>
      <c r="CI91">
        <f>SUMPRODUCT((M_BOM[Part Name]=$A91)*M_BOM[RM_Qty_Per_Batch]*IFERROR(INDEX(PP_Grid[#Data],M_BOM[PPGridRow],87),0))/18.05</f>
        <v/>
      </c>
      <c r="CJ91">
        <f>SUMPRODUCT((M_BOM[Part Name]=$A91)*M_BOM[RM_Qty_Per_Batch]*IFERROR(INDEX(PP_Grid[#Data],M_BOM[PPGridRow],88),0))/18.05</f>
        <v/>
      </c>
      <c r="CK91">
        <f>SUMPRODUCT((M_BOM[Part Name]=$A91)*M_BOM[RM_Qty_Per_Batch]*IFERROR(INDEX(PP_Grid[#Data],M_BOM[PPGridRow],89),0))/18.05</f>
        <v/>
      </c>
      <c r="CL91">
        <f>SUMPRODUCT((M_BOM[Part Name]=$A91)*M_BOM[RM_Qty_Per_Batch]*IFERROR(INDEX(PP_Grid[#Data],M_BOM[PPGridRow],90),0))/18.05</f>
        <v/>
      </c>
      <c r="CM91">
        <f>SUMPRODUCT((M_BOM[Part Name]=$A91)*M_BOM[RM_Qty_Per_Batch]*IFERROR(INDEX(PP_Grid[#Data],M_BOM[PPGridRow],91),0))/18.05</f>
        <v/>
      </c>
      <c r="CN91">
        <f>SUMPRODUCT((M_BOM[Part Name]=$A91)*M_BOM[RM_Qty_Per_Batch]*IFERROR(INDEX(PP_Grid[#Data],M_BOM[PPGridRow],92),0))/18.05</f>
        <v/>
      </c>
      <c r="CO91">
        <f>SUMPRODUCT((M_BOM[Part Name]=$A91)*M_BOM[RM_Qty_Per_Batch]*IFERROR(INDEX(PP_Grid[#Data],M_BOM[PPGridRow],93),0))/18.05</f>
        <v/>
      </c>
      <c r="CP91">
        <f>SUMPRODUCT((M_BOM[Part Name]=$A91)*M_BOM[RM_Qty_Per_Batch]*IFERROR(INDEX(PP_Grid[#Data],M_BOM[PPGridRow],94),0))/18.05</f>
        <v/>
      </c>
      <c r="CQ91">
        <f>SUMPRODUCT((M_BOM[Part Name]=$A91)*M_BOM[RM_Qty_Per_Batch]*IFERROR(INDEX(PP_Grid[#Data],M_BOM[PPGridRow],95),0))/18.05</f>
        <v/>
      </c>
      <c r="CR91">
        <f>SUMPRODUCT((M_BOM[Part Name]=$A91)*M_BOM[RM_Qty_Per_Batch]*IFERROR(INDEX(PP_Grid[#Data],M_BOM[PPGridRow],96),0))/18.05</f>
        <v/>
      </c>
      <c r="CS91">
        <f>SUMPRODUCT((M_BOM[Part Name]=$A91)*M_BOM[RM_Qty_Per_Batch]*IFERROR(INDEX(PP_Grid[#Data],M_BOM[PPGridRow],97),0))/18.05</f>
        <v/>
      </c>
      <c r="CT91">
        <f>SUMPRODUCT((M_BOM[Part Name]=$A91)*M_BOM[RM_Qty_Per_Batch]*IFERROR(INDEX(PP_Grid[#Data],M_BOM[PPGridRow],98),0))/18.05</f>
        <v/>
      </c>
      <c r="CU91">
        <f>SUMPRODUCT((M_BOM[Part Name]=$A91)*M_BOM[RM_Qty_Per_Batch]*IFERROR(INDEX(PP_Grid[#Data],M_BOM[PPGridRow],99),0))/18.05</f>
        <v/>
      </c>
      <c r="CV91">
        <f>SUMPRODUCT((M_BOM[Part Name]=$A91)*M_BOM[RM_Qty_Per_Batch]*IFERROR(INDEX(PP_Grid[#Data],M_BOM[PPGridRow],100),0))/18.05</f>
        <v/>
      </c>
      <c r="CW91">
        <f>SUMPRODUCT((M_BOM[Part Name]=$A91)*M_BOM[RM_Qty_Per_Batch]*IFERROR(INDEX(PP_Grid[#Data],M_BOM[PPGridRow],101),0))/18.05</f>
        <v/>
      </c>
      <c r="CX91">
        <f>SUMPRODUCT((M_BOM[Part Name]=$A91)*M_BOM[RM_Qty_Per_Batch]*IFERROR(INDEX(PP_Grid[#Data],M_BOM[PPGridRow],102),0))/18.05</f>
        <v/>
      </c>
      <c r="CY91">
        <f>SUMPRODUCT((M_BOM[Part Name]=$A91)*M_BOM[RM_Qty_Per_Batch]*IFERROR(INDEX(PP_Grid[#Data],M_BOM[PPGridRow],103),0))/18.05</f>
        <v/>
      </c>
      <c r="CZ91">
        <f>SUMPRODUCT((M_BOM[Part Name]=$A91)*M_BOM[RM_Qty_Per_Batch]*IFERROR(INDEX(PP_Grid[#Data],M_BOM[PPGridRow],104),0))/18.05</f>
        <v/>
      </c>
      <c r="DA91">
        <f>SUMPRODUCT((M_BOM[Part Name]=$A91)*M_BOM[RM_Qty_Per_Batch]*IFERROR(INDEX(PP_Grid[#Data],M_BOM[PPGridRow],105),0))/18.05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Name]=$A92)*M_BOM[RM_Qty_Per_Batch]*IFERROR(INDEX(PP_Grid[#Data],M_BOM[PPGridRow],2),0))/17.69</f>
        <v/>
      </c>
      <c r="C92">
        <f>SUMPRODUCT((M_BOM[Part Name]=$A92)*M_BOM[RM_Qty_Per_Batch]*IFERROR(INDEX(PP_Grid[#Data],M_BOM[PPGridRow],3),0))/17.69</f>
        <v/>
      </c>
      <c r="D92">
        <f>SUMPRODUCT((M_BOM[Part Name]=$A92)*M_BOM[RM_Qty_Per_Batch]*IFERROR(INDEX(PP_Grid[#Data],M_BOM[PPGridRow],4),0))/17.69</f>
        <v/>
      </c>
      <c r="E92">
        <f>SUMPRODUCT((M_BOM[Part Name]=$A92)*M_BOM[RM_Qty_Per_Batch]*IFERROR(INDEX(PP_Grid[#Data],M_BOM[PPGridRow],5),0))/17.69</f>
        <v/>
      </c>
      <c r="F92">
        <f>SUMPRODUCT((M_BOM[Part Name]=$A92)*M_BOM[RM_Qty_Per_Batch]*IFERROR(INDEX(PP_Grid[#Data],M_BOM[PPGridRow],6),0))/17.69</f>
        <v/>
      </c>
      <c r="G92">
        <f>SUMPRODUCT((M_BOM[Part Name]=$A92)*M_BOM[RM_Qty_Per_Batch]*IFERROR(INDEX(PP_Grid[#Data],M_BOM[PPGridRow],7),0))/17.69</f>
        <v/>
      </c>
      <c r="H92">
        <f>SUMPRODUCT((M_BOM[Part Name]=$A92)*M_BOM[RM_Qty_Per_Batch]*IFERROR(INDEX(PP_Grid[#Data],M_BOM[PPGridRow],8),0))/17.69</f>
        <v/>
      </c>
      <c r="I92">
        <f>SUMPRODUCT((M_BOM[Part Name]=$A92)*M_BOM[RM_Qty_Per_Batch]*IFERROR(INDEX(PP_Grid[#Data],M_BOM[PPGridRow],9),0))/17.69</f>
        <v/>
      </c>
      <c r="J92">
        <f>SUMPRODUCT((M_BOM[Part Name]=$A92)*M_BOM[RM_Qty_Per_Batch]*IFERROR(INDEX(PP_Grid[#Data],M_BOM[PPGridRow],10),0))/17.69</f>
        <v/>
      </c>
      <c r="K92">
        <f>SUMPRODUCT((M_BOM[Part Name]=$A92)*M_BOM[RM_Qty_Per_Batch]*IFERROR(INDEX(PP_Grid[#Data],M_BOM[PPGridRow],11),0))/17.69</f>
        <v/>
      </c>
      <c r="L92">
        <f>SUMPRODUCT((M_BOM[Part Name]=$A92)*M_BOM[RM_Qty_Per_Batch]*IFERROR(INDEX(PP_Grid[#Data],M_BOM[PPGridRow],12),0))/17.69</f>
        <v/>
      </c>
      <c r="M92">
        <f>SUMPRODUCT((M_BOM[Part Name]=$A92)*M_BOM[RM_Qty_Per_Batch]*IFERROR(INDEX(PP_Grid[#Data],M_BOM[PPGridRow],13),0))/17.69</f>
        <v/>
      </c>
      <c r="N92">
        <f>SUMPRODUCT((M_BOM[Part Name]=$A92)*M_BOM[RM_Qty_Per_Batch]*IFERROR(INDEX(PP_Grid[#Data],M_BOM[PPGridRow],14),0))/17.69</f>
        <v/>
      </c>
      <c r="O92">
        <f>SUMPRODUCT((M_BOM[Part Name]=$A92)*M_BOM[RM_Qty_Per_Batch]*IFERROR(INDEX(PP_Grid[#Data],M_BOM[PPGridRow],15),0))/17.69</f>
        <v/>
      </c>
      <c r="P92">
        <f>SUMPRODUCT((M_BOM[Part Name]=$A92)*M_BOM[RM_Qty_Per_Batch]*IFERROR(INDEX(PP_Grid[#Data],M_BOM[PPGridRow],16),0))/17.69</f>
        <v/>
      </c>
      <c r="Q92">
        <f>SUMPRODUCT((M_BOM[Part Name]=$A92)*M_BOM[RM_Qty_Per_Batch]*IFERROR(INDEX(PP_Grid[#Data],M_BOM[PPGridRow],17),0))/17.69</f>
        <v/>
      </c>
      <c r="R92">
        <f>SUMPRODUCT((M_BOM[Part Name]=$A92)*M_BOM[RM_Qty_Per_Batch]*IFERROR(INDEX(PP_Grid[#Data],M_BOM[PPGridRow],18),0))/17.69</f>
        <v/>
      </c>
      <c r="S92">
        <f>SUMPRODUCT((M_BOM[Part Name]=$A92)*M_BOM[RM_Qty_Per_Batch]*IFERROR(INDEX(PP_Grid[#Data],M_BOM[PPGridRow],19),0))/17.69</f>
        <v/>
      </c>
      <c r="T92">
        <f>SUMPRODUCT((M_BOM[Part Name]=$A92)*M_BOM[RM_Qty_Per_Batch]*IFERROR(INDEX(PP_Grid[#Data],M_BOM[PPGridRow],20),0))/17.69</f>
        <v/>
      </c>
      <c r="U92">
        <f>SUMPRODUCT((M_BOM[Part Name]=$A92)*M_BOM[RM_Qty_Per_Batch]*IFERROR(INDEX(PP_Grid[#Data],M_BOM[PPGridRow],21),0))/17.69</f>
        <v/>
      </c>
      <c r="V92">
        <f>SUMPRODUCT((M_BOM[Part Name]=$A92)*M_BOM[RM_Qty_Per_Batch]*IFERROR(INDEX(PP_Grid[#Data],M_BOM[PPGridRow],22),0))/17.69</f>
        <v/>
      </c>
      <c r="W92">
        <f>SUMPRODUCT((M_BOM[Part Name]=$A92)*M_BOM[RM_Qty_Per_Batch]*IFERROR(INDEX(PP_Grid[#Data],M_BOM[PPGridRow],23),0))/17.69</f>
        <v/>
      </c>
      <c r="X92">
        <f>SUMPRODUCT((M_BOM[Part Name]=$A92)*M_BOM[RM_Qty_Per_Batch]*IFERROR(INDEX(PP_Grid[#Data],M_BOM[PPGridRow],24),0))/17.69</f>
        <v/>
      </c>
      <c r="Y92">
        <f>SUMPRODUCT((M_BOM[Part Name]=$A92)*M_BOM[RM_Qty_Per_Batch]*IFERROR(INDEX(PP_Grid[#Data],M_BOM[PPGridRow],25),0))/17.69</f>
        <v/>
      </c>
      <c r="Z92">
        <f>SUMPRODUCT((M_BOM[Part Name]=$A92)*M_BOM[RM_Qty_Per_Batch]*IFERROR(INDEX(PP_Grid[#Data],M_BOM[PPGridRow],26),0))/17.69</f>
        <v/>
      </c>
      <c r="AA92">
        <f>SUMPRODUCT((M_BOM[Part Name]=$A92)*M_BOM[RM_Qty_Per_Batch]*IFERROR(INDEX(PP_Grid[#Data],M_BOM[PPGridRow],27),0))/17.69</f>
        <v/>
      </c>
      <c r="AB92">
        <f>SUMPRODUCT((M_BOM[Part Name]=$A92)*M_BOM[RM_Qty_Per_Batch]*IFERROR(INDEX(PP_Grid[#Data],M_BOM[PPGridRow],28),0))/17.69</f>
        <v/>
      </c>
      <c r="AC92">
        <f>SUMPRODUCT((M_BOM[Part Name]=$A92)*M_BOM[RM_Qty_Per_Batch]*IFERROR(INDEX(PP_Grid[#Data],M_BOM[PPGridRow],29),0))/17.69</f>
        <v/>
      </c>
      <c r="AD92">
        <f>SUMPRODUCT((M_BOM[Part Name]=$A92)*M_BOM[RM_Qty_Per_Batch]*IFERROR(INDEX(PP_Grid[#Data],M_BOM[PPGridRow],30),0))/17.69</f>
        <v/>
      </c>
      <c r="AE92">
        <f>SUMPRODUCT((M_BOM[Part Name]=$A92)*M_BOM[RM_Qty_Per_Batch]*IFERROR(INDEX(PP_Grid[#Data],M_BOM[PPGridRow],31),0))/17.69</f>
        <v/>
      </c>
      <c r="AF92">
        <f>SUMPRODUCT((M_BOM[Part Name]=$A92)*M_BOM[RM_Qty_Per_Batch]*IFERROR(INDEX(PP_Grid[#Data],M_BOM[PPGridRow],32),0))/17.69</f>
        <v/>
      </c>
      <c r="AG92">
        <f>SUMPRODUCT((M_BOM[Part Name]=$A92)*M_BOM[RM_Qty_Per_Batch]*IFERROR(INDEX(PP_Grid[#Data],M_BOM[PPGridRow],33),0))/17.69</f>
        <v/>
      </c>
      <c r="AH92">
        <f>SUMPRODUCT((M_BOM[Part Name]=$A92)*M_BOM[RM_Qty_Per_Batch]*IFERROR(INDEX(PP_Grid[#Data],M_BOM[PPGridRow],34),0))/17.69</f>
        <v/>
      </c>
      <c r="AI92">
        <f>SUMPRODUCT((M_BOM[Part Name]=$A92)*M_BOM[RM_Qty_Per_Batch]*IFERROR(INDEX(PP_Grid[#Data],M_BOM[PPGridRow],35),0))/17.69</f>
        <v/>
      </c>
      <c r="AJ92">
        <f>SUMPRODUCT((M_BOM[Part Name]=$A92)*M_BOM[RM_Qty_Per_Batch]*IFERROR(INDEX(PP_Grid[#Data],M_BOM[PPGridRow],36),0))/17.69</f>
        <v/>
      </c>
      <c r="AK92">
        <f>SUMPRODUCT((M_BOM[Part Name]=$A92)*M_BOM[RM_Qty_Per_Batch]*IFERROR(INDEX(PP_Grid[#Data],M_BOM[PPGridRow],37),0))/17.69</f>
        <v/>
      </c>
      <c r="AL92">
        <f>SUMPRODUCT((M_BOM[Part Name]=$A92)*M_BOM[RM_Qty_Per_Batch]*IFERROR(INDEX(PP_Grid[#Data],M_BOM[PPGridRow],38),0))/17.69</f>
        <v/>
      </c>
      <c r="AM92">
        <f>SUMPRODUCT((M_BOM[Part Name]=$A92)*M_BOM[RM_Qty_Per_Batch]*IFERROR(INDEX(PP_Grid[#Data],M_BOM[PPGridRow],39),0))/17.69</f>
        <v/>
      </c>
      <c r="AN92">
        <f>SUMPRODUCT((M_BOM[Part Name]=$A92)*M_BOM[RM_Qty_Per_Batch]*IFERROR(INDEX(PP_Grid[#Data],M_BOM[PPGridRow],40),0))/17.69</f>
        <v/>
      </c>
      <c r="AO92">
        <f>SUMPRODUCT((M_BOM[Part Name]=$A92)*M_BOM[RM_Qty_Per_Batch]*IFERROR(INDEX(PP_Grid[#Data],M_BOM[PPGridRow],41),0))/17.69</f>
        <v/>
      </c>
      <c r="AP92">
        <f>SUMPRODUCT((M_BOM[Part Name]=$A92)*M_BOM[RM_Qty_Per_Batch]*IFERROR(INDEX(PP_Grid[#Data],M_BOM[PPGridRow],42),0))/17.69</f>
        <v/>
      </c>
      <c r="AQ92">
        <f>SUMPRODUCT((M_BOM[Part Name]=$A92)*M_BOM[RM_Qty_Per_Batch]*IFERROR(INDEX(PP_Grid[#Data],M_BOM[PPGridRow],43),0))/17.69</f>
        <v/>
      </c>
      <c r="AR92">
        <f>SUMPRODUCT((M_BOM[Part Name]=$A92)*M_BOM[RM_Qty_Per_Batch]*IFERROR(INDEX(PP_Grid[#Data],M_BOM[PPGridRow],44),0))/17.69</f>
        <v/>
      </c>
      <c r="AS92">
        <f>SUMPRODUCT((M_BOM[Part Name]=$A92)*M_BOM[RM_Qty_Per_Batch]*IFERROR(INDEX(PP_Grid[#Data],M_BOM[PPGridRow],45),0))/17.69</f>
        <v/>
      </c>
      <c r="AT92">
        <f>SUMPRODUCT((M_BOM[Part Name]=$A92)*M_BOM[RM_Qty_Per_Batch]*IFERROR(INDEX(PP_Grid[#Data],M_BOM[PPGridRow],46),0))/17.69</f>
        <v/>
      </c>
      <c r="AU92">
        <f>SUMPRODUCT((M_BOM[Part Name]=$A92)*M_BOM[RM_Qty_Per_Batch]*IFERROR(INDEX(PP_Grid[#Data],M_BOM[PPGridRow],47),0))/17.69</f>
        <v/>
      </c>
      <c r="AV92">
        <f>SUMPRODUCT((M_BOM[Part Name]=$A92)*M_BOM[RM_Qty_Per_Batch]*IFERROR(INDEX(PP_Grid[#Data],M_BOM[PPGridRow],48),0))/17.69</f>
        <v/>
      </c>
      <c r="AW92">
        <f>SUMPRODUCT((M_BOM[Part Name]=$A92)*M_BOM[RM_Qty_Per_Batch]*IFERROR(INDEX(PP_Grid[#Data],M_BOM[PPGridRow],49),0))/17.69</f>
        <v/>
      </c>
      <c r="AX92">
        <f>SUMPRODUCT((M_BOM[Part Name]=$A92)*M_BOM[RM_Qty_Per_Batch]*IFERROR(INDEX(PP_Grid[#Data],M_BOM[PPGridRow],50),0))/17.69</f>
        <v/>
      </c>
      <c r="AY92">
        <f>SUMPRODUCT((M_BOM[Part Name]=$A92)*M_BOM[RM_Qty_Per_Batch]*IFERROR(INDEX(PP_Grid[#Data],M_BOM[PPGridRow],51),0))/17.69</f>
        <v/>
      </c>
      <c r="AZ92">
        <f>SUMPRODUCT((M_BOM[Part Name]=$A92)*M_BOM[RM_Qty_Per_Batch]*IFERROR(INDEX(PP_Grid[#Data],M_BOM[PPGridRow],52),0))/17.69</f>
        <v/>
      </c>
      <c r="BA92">
        <f>SUMPRODUCT((M_BOM[Part Name]=$A92)*M_BOM[RM_Qty_Per_Batch]*IFERROR(INDEX(PP_Grid[#Data],M_BOM[PPGridRow],53),0))/17.69</f>
        <v/>
      </c>
      <c r="BB92">
        <f>SUMPRODUCT((M_BOM[Part Name]=$A92)*M_BOM[RM_Qty_Per_Batch]*IFERROR(INDEX(PP_Grid[#Data],M_BOM[PPGridRow],54),0))/17.69</f>
        <v/>
      </c>
      <c r="BC92">
        <f>SUMPRODUCT((M_BOM[Part Name]=$A92)*M_BOM[RM_Qty_Per_Batch]*IFERROR(INDEX(PP_Grid[#Data],M_BOM[PPGridRow],55),0))/17.69</f>
        <v/>
      </c>
      <c r="BD92">
        <f>SUMPRODUCT((M_BOM[Part Name]=$A92)*M_BOM[RM_Qty_Per_Batch]*IFERROR(INDEX(PP_Grid[#Data],M_BOM[PPGridRow],56),0))/17.69</f>
        <v/>
      </c>
      <c r="BE92">
        <f>SUMPRODUCT((M_BOM[Part Name]=$A92)*M_BOM[RM_Qty_Per_Batch]*IFERROR(INDEX(PP_Grid[#Data],M_BOM[PPGridRow],57),0))/17.69</f>
        <v/>
      </c>
      <c r="BF92">
        <f>SUMPRODUCT((M_BOM[Part Name]=$A92)*M_BOM[RM_Qty_Per_Batch]*IFERROR(INDEX(PP_Grid[#Data],M_BOM[PPGridRow],58),0))/17.69</f>
        <v/>
      </c>
      <c r="BG92">
        <f>SUMPRODUCT((M_BOM[Part Name]=$A92)*M_BOM[RM_Qty_Per_Batch]*IFERROR(INDEX(PP_Grid[#Data],M_BOM[PPGridRow],59),0))/17.69</f>
        <v/>
      </c>
      <c r="BH92">
        <f>SUMPRODUCT((M_BOM[Part Name]=$A92)*M_BOM[RM_Qty_Per_Batch]*IFERROR(INDEX(PP_Grid[#Data],M_BOM[PPGridRow],60),0))/17.69</f>
        <v/>
      </c>
      <c r="BI92">
        <f>SUMPRODUCT((M_BOM[Part Name]=$A92)*M_BOM[RM_Qty_Per_Batch]*IFERROR(INDEX(PP_Grid[#Data],M_BOM[PPGridRow],61),0))/17.69</f>
        <v/>
      </c>
      <c r="BJ92">
        <f>SUMPRODUCT((M_BOM[Part Name]=$A92)*M_BOM[RM_Qty_Per_Batch]*IFERROR(INDEX(PP_Grid[#Data],M_BOM[PPGridRow],62),0))/17.69</f>
        <v/>
      </c>
      <c r="BK92">
        <f>SUMPRODUCT((M_BOM[Part Name]=$A92)*M_BOM[RM_Qty_Per_Batch]*IFERROR(INDEX(PP_Grid[#Data],M_BOM[PPGridRow],63),0))/17.69</f>
        <v/>
      </c>
      <c r="BL92">
        <f>SUMPRODUCT((M_BOM[Part Name]=$A92)*M_BOM[RM_Qty_Per_Batch]*IFERROR(INDEX(PP_Grid[#Data],M_BOM[PPGridRow],64),0))/17.69</f>
        <v/>
      </c>
      <c r="BM92">
        <f>SUMPRODUCT((M_BOM[Part Name]=$A92)*M_BOM[RM_Qty_Per_Batch]*IFERROR(INDEX(PP_Grid[#Data],M_BOM[PPGridRow],65),0))/17.69</f>
        <v/>
      </c>
      <c r="BN92">
        <f>SUMPRODUCT((M_BOM[Part Name]=$A92)*M_BOM[RM_Qty_Per_Batch]*IFERROR(INDEX(PP_Grid[#Data],M_BOM[PPGridRow],66),0))/17.69</f>
        <v/>
      </c>
      <c r="BO92">
        <f>SUMPRODUCT((M_BOM[Part Name]=$A92)*M_BOM[RM_Qty_Per_Batch]*IFERROR(INDEX(PP_Grid[#Data],M_BOM[PPGridRow],67),0))/17.69</f>
        <v/>
      </c>
      <c r="BP92">
        <f>SUMPRODUCT((M_BOM[Part Name]=$A92)*M_BOM[RM_Qty_Per_Batch]*IFERROR(INDEX(PP_Grid[#Data],M_BOM[PPGridRow],68),0))/17.69</f>
        <v/>
      </c>
      <c r="BQ92">
        <f>SUMPRODUCT((M_BOM[Part Name]=$A92)*M_BOM[RM_Qty_Per_Batch]*IFERROR(INDEX(PP_Grid[#Data],M_BOM[PPGridRow],69),0))/17.69</f>
        <v/>
      </c>
      <c r="BR92">
        <f>SUMPRODUCT((M_BOM[Part Name]=$A92)*M_BOM[RM_Qty_Per_Batch]*IFERROR(INDEX(PP_Grid[#Data],M_BOM[PPGridRow],70),0))/17.69</f>
        <v/>
      </c>
      <c r="BS92">
        <f>SUMPRODUCT((M_BOM[Part Name]=$A92)*M_BOM[RM_Qty_Per_Batch]*IFERROR(INDEX(PP_Grid[#Data],M_BOM[PPGridRow],71),0))/17.69</f>
        <v/>
      </c>
      <c r="BT92">
        <f>SUMPRODUCT((M_BOM[Part Name]=$A92)*M_BOM[RM_Qty_Per_Batch]*IFERROR(INDEX(PP_Grid[#Data],M_BOM[PPGridRow],72),0))/17.69</f>
        <v/>
      </c>
      <c r="BU92">
        <f>SUMPRODUCT((M_BOM[Part Name]=$A92)*M_BOM[RM_Qty_Per_Batch]*IFERROR(INDEX(PP_Grid[#Data],M_BOM[PPGridRow],73),0))/17.69</f>
        <v/>
      </c>
      <c r="BV92">
        <f>SUMPRODUCT((M_BOM[Part Name]=$A92)*M_BOM[RM_Qty_Per_Batch]*IFERROR(INDEX(PP_Grid[#Data],M_BOM[PPGridRow],74),0))/17.69</f>
        <v/>
      </c>
      <c r="BW92">
        <f>SUMPRODUCT((M_BOM[Part Name]=$A92)*M_BOM[RM_Qty_Per_Batch]*IFERROR(INDEX(PP_Grid[#Data],M_BOM[PPGridRow],75),0))/17.69</f>
        <v/>
      </c>
      <c r="BX92">
        <f>SUMPRODUCT((M_BOM[Part Name]=$A92)*M_BOM[RM_Qty_Per_Batch]*IFERROR(INDEX(PP_Grid[#Data],M_BOM[PPGridRow],76),0))/17.69</f>
        <v/>
      </c>
      <c r="BY92">
        <f>SUMPRODUCT((M_BOM[Part Name]=$A92)*M_BOM[RM_Qty_Per_Batch]*IFERROR(INDEX(PP_Grid[#Data],M_BOM[PPGridRow],77),0))/17.69</f>
        <v/>
      </c>
      <c r="BZ92">
        <f>SUMPRODUCT((M_BOM[Part Name]=$A92)*M_BOM[RM_Qty_Per_Batch]*IFERROR(INDEX(PP_Grid[#Data],M_BOM[PPGridRow],78),0))/17.69</f>
        <v/>
      </c>
      <c r="CA92">
        <f>SUMPRODUCT((M_BOM[Part Name]=$A92)*M_BOM[RM_Qty_Per_Batch]*IFERROR(INDEX(PP_Grid[#Data],M_BOM[PPGridRow],79),0))/17.69</f>
        <v/>
      </c>
      <c r="CB92">
        <f>SUMPRODUCT((M_BOM[Part Name]=$A92)*M_BOM[RM_Qty_Per_Batch]*IFERROR(INDEX(PP_Grid[#Data],M_BOM[PPGridRow],80),0))/17.69</f>
        <v/>
      </c>
      <c r="CC92">
        <f>SUMPRODUCT((M_BOM[Part Name]=$A92)*M_BOM[RM_Qty_Per_Batch]*IFERROR(INDEX(PP_Grid[#Data],M_BOM[PPGridRow],81),0))/17.69</f>
        <v/>
      </c>
      <c r="CD92">
        <f>SUMPRODUCT((M_BOM[Part Name]=$A92)*M_BOM[RM_Qty_Per_Batch]*IFERROR(INDEX(PP_Grid[#Data],M_BOM[PPGridRow],82),0))/17.69</f>
        <v/>
      </c>
      <c r="CE92">
        <f>SUMPRODUCT((M_BOM[Part Name]=$A92)*M_BOM[RM_Qty_Per_Batch]*IFERROR(INDEX(PP_Grid[#Data],M_BOM[PPGridRow],83),0))/17.69</f>
        <v/>
      </c>
      <c r="CF92">
        <f>SUMPRODUCT((M_BOM[Part Name]=$A92)*M_BOM[RM_Qty_Per_Batch]*IFERROR(INDEX(PP_Grid[#Data],M_BOM[PPGridRow],84),0))/17.69</f>
        <v/>
      </c>
      <c r="CG92">
        <f>SUMPRODUCT((M_BOM[Part Name]=$A92)*M_BOM[RM_Qty_Per_Batch]*IFERROR(INDEX(PP_Grid[#Data],M_BOM[PPGridRow],85),0))/17.69</f>
        <v/>
      </c>
      <c r="CH92">
        <f>SUMPRODUCT((M_BOM[Part Name]=$A92)*M_BOM[RM_Qty_Per_Batch]*IFERROR(INDEX(PP_Grid[#Data],M_BOM[PPGridRow],86),0))/17.69</f>
        <v/>
      </c>
      <c r="CI92">
        <f>SUMPRODUCT((M_BOM[Part Name]=$A92)*M_BOM[RM_Qty_Per_Batch]*IFERROR(INDEX(PP_Grid[#Data],M_BOM[PPGridRow],87),0))/17.69</f>
        <v/>
      </c>
      <c r="CJ92">
        <f>SUMPRODUCT((M_BOM[Part Name]=$A92)*M_BOM[RM_Qty_Per_Batch]*IFERROR(INDEX(PP_Grid[#Data],M_BOM[PPGridRow],88),0))/17.69</f>
        <v/>
      </c>
      <c r="CK92">
        <f>SUMPRODUCT((M_BOM[Part Name]=$A92)*M_BOM[RM_Qty_Per_Batch]*IFERROR(INDEX(PP_Grid[#Data],M_BOM[PPGridRow],89),0))/17.69</f>
        <v/>
      </c>
      <c r="CL92">
        <f>SUMPRODUCT((M_BOM[Part Name]=$A92)*M_BOM[RM_Qty_Per_Batch]*IFERROR(INDEX(PP_Grid[#Data],M_BOM[PPGridRow],90),0))/17.69</f>
        <v/>
      </c>
      <c r="CM92">
        <f>SUMPRODUCT((M_BOM[Part Name]=$A92)*M_BOM[RM_Qty_Per_Batch]*IFERROR(INDEX(PP_Grid[#Data],M_BOM[PPGridRow],91),0))/17.69</f>
        <v/>
      </c>
      <c r="CN92">
        <f>SUMPRODUCT((M_BOM[Part Name]=$A92)*M_BOM[RM_Qty_Per_Batch]*IFERROR(INDEX(PP_Grid[#Data],M_BOM[PPGridRow],92),0))/17.69</f>
        <v/>
      </c>
      <c r="CO92">
        <f>SUMPRODUCT((M_BOM[Part Name]=$A92)*M_BOM[RM_Qty_Per_Batch]*IFERROR(INDEX(PP_Grid[#Data],M_BOM[PPGridRow],93),0))/17.69</f>
        <v/>
      </c>
      <c r="CP92">
        <f>SUMPRODUCT((M_BOM[Part Name]=$A92)*M_BOM[RM_Qty_Per_Batch]*IFERROR(INDEX(PP_Grid[#Data],M_BOM[PPGridRow],94),0))/17.69</f>
        <v/>
      </c>
      <c r="CQ92">
        <f>SUMPRODUCT((M_BOM[Part Name]=$A92)*M_BOM[RM_Qty_Per_Batch]*IFERROR(INDEX(PP_Grid[#Data],M_BOM[PPGridRow],95),0))/17.69</f>
        <v/>
      </c>
      <c r="CR92">
        <f>SUMPRODUCT((M_BOM[Part Name]=$A92)*M_BOM[RM_Qty_Per_Batch]*IFERROR(INDEX(PP_Grid[#Data],M_BOM[PPGridRow],96),0))/17.69</f>
        <v/>
      </c>
      <c r="CS92">
        <f>SUMPRODUCT((M_BOM[Part Name]=$A92)*M_BOM[RM_Qty_Per_Batch]*IFERROR(INDEX(PP_Grid[#Data],M_BOM[PPGridRow],97),0))/17.69</f>
        <v/>
      </c>
      <c r="CT92">
        <f>SUMPRODUCT((M_BOM[Part Name]=$A92)*M_BOM[RM_Qty_Per_Batch]*IFERROR(INDEX(PP_Grid[#Data],M_BOM[PPGridRow],98),0))/17.69</f>
        <v/>
      </c>
      <c r="CU92">
        <f>SUMPRODUCT((M_BOM[Part Name]=$A92)*M_BOM[RM_Qty_Per_Batch]*IFERROR(INDEX(PP_Grid[#Data],M_BOM[PPGridRow],99),0))/17.69</f>
        <v/>
      </c>
      <c r="CV92">
        <f>SUMPRODUCT((M_BOM[Part Name]=$A92)*M_BOM[RM_Qty_Per_Batch]*IFERROR(INDEX(PP_Grid[#Data],M_BOM[PPGridRow],100),0))/17.69</f>
        <v/>
      </c>
      <c r="CW92">
        <f>SUMPRODUCT((M_BOM[Part Name]=$A92)*M_BOM[RM_Qty_Per_Batch]*IFERROR(INDEX(PP_Grid[#Data],M_BOM[PPGridRow],101),0))/17.69</f>
        <v/>
      </c>
      <c r="CX92">
        <f>SUMPRODUCT((M_BOM[Part Name]=$A92)*M_BOM[RM_Qty_Per_Batch]*IFERROR(INDEX(PP_Grid[#Data],M_BOM[PPGridRow],102),0))/17.69</f>
        <v/>
      </c>
      <c r="CY92">
        <f>SUMPRODUCT((M_BOM[Part Name]=$A92)*M_BOM[RM_Qty_Per_Batch]*IFERROR(INDEX(PP_Grid[#Data],M_BOM[PPGridRow],103),0))/17.69</f>
        <v/>
      </c>
      <c r="CZ92">
        <f>SUMPRODUCT((M_BOM[Part Name]=$A92)*M_BOM[RM_Qty_Per_Batch]*IFERROR(INDEX(PP_Grid[#Data],M_BOM[PPGridRow],104),0))/17.69</f>
        <v/>
      </c>
      <c r="DA92">
        <f>SUMPRODUCT((M_BOM[Part Name]=$A92)*M_BOM[RM_Qty_Per_Batch]*IFERROR(INDEX(PP_Grid[#Data],M_BOM[PPGridRow],105),0))/17.69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Name]=$A93)*M_BOM[RM_Qty_Per_Batch]*IFERROR(INDEX(PP_Grid[#Data],M_BOM[PPGridRow],2),0))/17.67</f>
        <v/>
      </c>
      <c r="C93">
        <f>SUMPRODUCT((M_BOM[Part Name]=$A93)*M_BOM[RM_Qty_Per_Batch]*IFERROR(INDEX(PP_Grid[#Data],M_BOM[PPGridRow],3),0))/17.67</f>
        <v/>
      </c>
      <c r="D93">
        <f>SUMPRODUCT((M_BOM[Part Name]=$A93)*M_BOM[RM_Qty_Per_Batch]*IFERROR(INDEX(PP_Grid[#Data],M_BOM[PPGridRow],4),0))/17.67</f>
        <v/>
      </c>
      <c r="E93">
        <f>SUMPRODUCT((M_BOM[Part Name]=$A93)*M_BOM[RM_Qty_Per_Batch]*IFERROR(INDEX(PP_Grid[#Data],M_BOM[PPGridRow],5),0))/17.67</f>
        <v/>
      </c>
      <c r="F93">
        <f>SUMPRODUCT((M_BOM[Part Name]=$A93)*M_BOM[RM_Qty_Per_Batch]*IFERROR(INDEX(PP_Grid[#Data],M_BOM[PPGridRow],6),0))/17.67</f>
        <v/>
      </c>
      <c r="G93">
        <f>SUMPRODUCT((M_BOM[Part Name]=$A93)*M_BOM[RM_Qty_Per_Batch]*IFERROR(INDEX(PP_Grid[#Data],M_BOM[PPGridRow],7),0))/17.67</f>
        <v/>
      </c>
      <c r="H93">
        <f>SUMPRODUCT((M_BOM[Part Name]=$A93)*M_BOM[RM_Qty_Per_Batch]*IFERROR(INDEX(PP_Grid[#Data],M_BOM[PPGridRow],8),0))/17.67</f>
        <v/>
      </c>
      <c r="I93">
        <f>SUMPRODUCT((M_BOM[Part Name]=$A93)*M_BOM[RM_Qty_Per_Batch]*IFERROR(INDEX(PP_Grid[#Data],M_BOM[PPGridRow],9),0))/17.67</f>
        <v/>
      </c>
      <c r="J93">
        <f>SUMPRODUCT((M_BOM[Part Name]=$A93)*M_BOM[RM_Qty_Per_Batch]*IFERROR(INDEX(PP_Grid[#Data],M_BOM[PPGridRow],10),0))/17.67</f>
        <v/>
      </c>
      <c r="K93">
        <f>SUMPRODUCT((M_BOM[Part Name]=$A93)*M_BOM[RM_Qty_Per_Batch]*IFERROR(INDEX(PP_Grid[#Data],M_BOM[PPGridRow],11),0))/17.67</f>
        <v/>
      </c>
      <c r="L93">
        <f>SUMPRODUCT((M_BOM[Part Name]=$A93)*M_BOM[RM_Qty_Per_Batch]*IFERROR(INDEX(PP_Grid[#Data],M_BOM[PPGridRow],12),0))/17.67</f>
        <v/>
      </c>
      <c r="M93">
        <f>SUMPRODUCT((M_BOM[Part Name]=$A93)*M_BOM[RM_Qty_Per_Batch]*IFERROR(INDEX(PP_Grid[#Data],M_BOM[PPGridRow],13),0))/17.67</f>
        <v/>
      </c>
      <c r="N93">
        <f>SUMPRODUCT((M_BOM[Part Name]=$A93)*M_BOM[RM_Qty_Per_Batch]*IFERROR(INDEX(PP_Grid[#Data],M_BOM[PPGridRow],14),0))/17.67</f>
        <v/>
      </c>
      <c r="O93">
        <f>SUMPRODUCT((M_BOM[Part Name]=$A93)*M_BOM[RM_Qty_Per_Batch]*IFERROR(INDEX(PP_Grid[#Data],M_BOM[PPGridRow],15),0))/17.67</f>
        <v/>
      </c>
      <c r="P93">
        <f>SUMPRODUCT((M_BOM[Part Name]=$A93)*M_BOM[RM_Qty_Per_Batch]*IFERROR(INDEX(PP_Grid[#Data],M_BOM[PPGridRow],16),0))/17.67</f>
        <v/>
      </c>
      <c r="Q93">
        <f>SUMPRODUCT((M_BOM[Part Name]=$A93)*M_BOM[RM_Qty_Per_Batch]*IFERROR(INDEX(PP_Grid[#Data],M_BOM[PPGridRow],17),0))/17.67</f>
        <v/>
      </c>
      <c r="R93">
        <f>SUMPRODUCT((M_BOM[Part Name]=$A93)*M_BOM[RM_Qty_Per_Batch]*IFERROR(INDEX(PP_Grid[#Data],M_BOM[PPGridRow],18),0))/17.67</f>
        <v/>
      </c>
      <c r="S93">
        <f>SUMPRODUCT((M_BOM[Part Name]=$A93)*M_BOM[RM_Qty_Per_Batch]*IFERROR(INDEX(PP_Grid[#Data],M_BOM[PPGridRow],19),0))/17.67</f>
        <v/>
      </c>
      <c r="T93">
        <f>SUMPRODUCT((M_BOM[Part Name]=$A93)*M_BOM[RM_Qty_Per_Batch]*IFERROR(INDEX(PP_Grid[#Data],M_BOM[PPGridRow],20),0))/17.67</f>
        <v/>
      </c>
      <c r="U93">
        <f>SUMPRODUCT((M_BOM[Part Name]=$A93)*M_BOM[RM_Qty_Per_Batch]*IFERROR(INDEX(PP_Grid[#Data],M_BOM[PPGridRow],21),0))/17.67</f>
        <v/>
      </c>
      <c r="V93">
        <f>SUMPRODUCT((M_BOM[Part Name]=$A93)*M_BOM[RM_Qty_Per_Batch]*IFERROR(INDEX(PP_Grid[#Data],M_BOM[PPGridRow],22),0))/17.67</f>
        <v/>
      </c>
      <c r="W93">
        <f>SUMPRODUCT((M_BOM[Part Name]=$A93)*M_BOM[RM_Qty_Per_Batch]*IFERROR(INDEX(PP_Grid[#Data],M_BOM[PPGridRow],23),0))/17.67</f>
        <v/>
      </c>
      <c r="X93">
        <f>SUMPRODUCT((M_BOM[Part Name]=$A93)*M_BOM[RM_Qty_Per_Batch]*IFERROR(INDEX(PP_Grid[#Data],M_BOM[PPGridRow],24),0))/17.67</f>
        <v/>
      </c>
      <c r="Y93">
        <f>SUMPRODUCT((M_BOM[Part Name]=$A93)*M_BOM[RM_Qty_Per_Batch]*IFERROR(INDEX(PP_Grid[#Data],M_BOM[PPGridRow],25),0))/17.67</f>
        <v/>
      </c>
      <c r="Z93">
        <f>SUMPRODUCT((M_BOM[Part Name]=$A93)*M_BOM[RM_Qty_Per_Batch]*IFERROR(INDEX(PP_Grid[#Data],M_BOM[PPGridRow],26),0))/17.67</f>
        <v/>
      </c>
      <c r="AA93">
        <f>SUMPRODUCT((M_BOM[Part Name]=$A93)*M_BOM[RM_Qty_Per_Batch]*IFERROR(INDEX(PP_Grid[#Data],M_BOM[PPGridRow],27),0))/17.67</f>
        <v/>
      </c>
      <c r="AB93">
        <f>SUMPRODUCT((M_BOM[Part Name]=$A93)*M_BOM[RM_Qty_Per_Batch]*IFERROR(INDEX(PP_Grid[#Data],M_BOM[PPGridRow],28),0))/17.67</f>
        <v/>
      </c>
      <c r="AC93">
        <f>SUMPRODUCT((M_BOM[Part Name]=$A93)*M_BOM[RM_Qty_Per_Batch]*IFERROR(INDEX(PP_Grid[#Data],M_BOM[PPGridRow],29),0))/17.67</f>
        <v/>
      </c>
      <c r="AD93">
        <f>SUMPRODUCT((M_BOM[Part Name]=$A93)*M_BOM[RM_Qty_Per_Batch]*IFERROR(INDEX(PP_Grid[#Data],M_BOM[PPGridRow],30),0))/17.67</f>
        <v/>
      </c>
      <c r="AE93">
        <f>SUMPRODUCT((M_BOM[Part Name]=$A93)*M_BOM[RM_Qty_Per_Batch]*IFERROR(INDEX(PP_Grid[#Data],M_BOM[PPGridRow],31),0))/17.67</f>
        <v/>
      </c>
      <c r="AF93">
        <f>SUMPRODUCT((M_BOM[Part Name]=$A93)*M_BOM[RM_Qty_Per_Batch]*IFERROR(INDEX(PP_Grid[#Data],M_BOM[PPGridRow],32),0))/17.67</f>
        <v/>
      </c>
      <c r="AG93">
        <f>SUMPRODUCT((M_BOM[Part Name]=$A93)*M_BOM[RM_Qty_Per_Batch]*IFERROR(INDEX(PP_Grid[#Data],M_BOM[PPGridRow],33),0))/17.67</f>
        <v/>
      </c>
      <c r="AH93">
        <f>SUMPRODUCT((M_BOM[Part Name]=$A93)*M_BOM[RM_Qty_Per_Batch]*IFERROR(INDEX(PP_Grid[#Data],M_BOM[PPGridRow],34),0))/17.67</f>
        <v/>
      </c>
      <c r="AI93">
        <f>SUMPRODUCT((M_BOM[Part Name]=$A93)*M_BOM[RM_Qty_Per_Batch]*IFERROR(INDEX(PP_Grid[#Data],M_BOM[PPGridRow],35),0))/17.67</f>
        <v/>
      </c>
      <c r="AJ93">
        <f>SUMPRODUCT((M_BOM[Part Name]=$A93)*M_BOM[RM_Qty_Per_Batch]*IFERROR(INDEX(PP_Grid[#Data],M_BOM[PPGridRow],36),0))/17.67</f>
        <v/>
      </c>
      <c r="AK93">
        <f>SUMPRODUCT((M_BOM[Part Name]=$A93)*M_BOM[RM_Qty_Per_Batch]*IFERROR(INDEX(PP_Grid[#Data],M_BOM[PPGridRow],37),0))/17.67</f>
        <v/>
      </c>
      <c r="AL93">
        <f>SUMPRODUCT((M_BOM[Part Name]=$A93)*M_BOM[RM_Qty_Per_Batch]*IFERROR(INDEX(PP_Grid[#Data],M_BOM[PPGridRow],38),0))/17.67</f>
        <v/>
      </c>
      <c r="AM93">
        <f>SUMPRODUCT((M_BOM[Part Name]=$A93)*M_BOM[RM_Qty_Per_Batch]*IFERROR(INDEX(PP_Grid[#Data],M_BOM[PPGridRow],39),0))/17.67</f>
        <v/>
      </c>
      <c r="AN93">
        <f>SUMPRODUCT((M_BOM[Part Name]=$A93)*M_BOM[RM_Qty_Per_Batch]*IFERROR(INDEX(PP_Grid[#Data],M_BOM[PPGridRow],40),0))/17.67</f>
        <v/>
      </c>
      <c r="AO93">
        <f>SUMPRODUCT((M_BOM[Part Name]=$A93)*M_BOM[RM_Qty_Per_Batch]*IFERROR(INDEX(PP_Grid[#Data],M_BOM[PPGridRow],41),0))/17.67</f>
        <v/>
      </c>
      <c r="AP93">
        <f>SUMPRODUCT((M_BOM[Part Name]=$A93)*M_BOM[RM_Qty_Per_Batch]*IFERROR(INDEX(PP_Grid[#Data],M_BOM[PPGridRow],42),0))/17.67</f>
        <v/>
      </c>
      <c r="AQ93">
        <f>SUMPRODUCT((M_BOM[Part Name]=$A93)*M_BOM[RM_Qty_Per_Batch]*IFERROR(INDEX(PP_Grid[#Data],M_BOM[PPGridRow],43),0))/17.67</f>
        <v/>
      </c>
      <c r="AR93">
        <f>SUMPRODUCT((M_BOM[Part Name]=$A93)*M_BOM[RM_Qty_Per_Batch]*IFERROR(INDEX(PP_Grid[#Data],M_BOM[PPGridRow],44),0))/17.67</f>
        <v/>
      </c>
      <c r="AS93">
        <f>SUMPRODUCT((M_BOM[Part Name]=$A93)*M_BOM[RM_Qty_Per_Batch]*IFERROR(INDEX(PP_Grid[#Data],M_BOM[PPGridRow],45),0))/17.67</f>
        <v/>
      </c>
      <c r="AT93">
        <f>SUMPRODUCT((M_BOM[Part Name]=$A93)*M_BOM[RM_Qty_Per_Batch]*IFERROR(INDEX(PP_Grid[#Data],M_BOM[PPGridRow],46),0))/17.67</f>
        <v/>
      </c>
      <c r="AU93">
        <f>SUMPRODUCT((M_BOM[Part Name]=$A93)*M_BOM[RM_Qty_Per_Batch]*IFERROR(INDEX(PP_Grid[#Data],M_BOM[PPGridRow],47),0))/17.67</f>
        <v/>
      </c>
      <c r="AV93">
        <f>SUMPRODUCT((M_BOM[Part Name]=$A93)*M_BOM[RM_Qty_Per_Batch]*IFERROR(INDEX(PP_Grid[#Data],M_BOM[PPGridRow],48),0))/17.67</f>
        <v/>
      </c>
      <c r="AW93">
        <f>SUMPRODUCT((M_BOM[Part Name]=$A93)*M_BOM[RM_Qty_Per_Batch]*IFERROR(INDEX(PP_Grid[#Data],M_BOM[PPGridRow],49),0))/17.67</f>
        <v/>
      </c>
      <c r="AX93">
        <f>SUMPRODUCT((M_BOM[Part Name]=$A93)*M_BOM[RM_Qty_Per_Batch]*IFERROR(INDEX(PP_Grid[#Data],M_BOM[PPGridRow],50),0))/17.67</f>
        <v/>
      </c>
      <c r="AY93">
        <f>SUMPRODUCT((M_BOM[Part Name]=$A93)*M_BOM[RM_Qty_Per_Batch]*IFERROR(INDEX(PP_Grid[#Data],M_BOM[PPGridRow],51),0))/17.67</f>
        <v/>
      </c>
      <c r="AZ93">
        <f>SUMPRODUCT((M_BOM[Part Name]=$A93)*M_BOM[RM_Qty_Per_Batch]*IFERROR(INDEX(PP_Grid[#Data],M_BOM[PPGridRow],52),0))/17.67</f>
        <v/>
      </c>
      <c r="BA93">
        <f>SUMPRODUCT((M_BOM[Part Name]=$A93)*M_BOM[RM_Qty_Per_Batch]*IFERROR(INDEX(PP_Grid[#Data],M_BOM[PPGridRow],53),0))/17.67</f>
        <v/>
      </c>
      <c r="BB93">
        <f>SUMPRODUCT((M_BOM[Part Name]=$A93)*M_BOM[RM_Qty_Per_Batch]*IFERROR(INDEX(PP_Grid[#Data],M_BOM[PPGridRow],54),0))/17.67</f>
        <v/>
      </c>
      <c r="BC93">
        <f>SUMPRODUCT((M_BOM[Part Name]=$A93)*M_BOM[RM_Qty_Per_Batch]*IFERROR(INDEX(PP_Grid[#Data],M_BOM[PPGridRow],55),0))/17.67</f>
        <v/>
      </c>
      <c r="BD93">
        <f>SUMPRODUCT((M_BOM[Part Name]=$A93)*M_BOM[RM_Qty_Per_Batch]*IFERROR(INDEX(PP_Grid[#Data],M_BOM[PPGridRow],56),0))/17.67</f>
        <v/>
      </c>
      <c r="BE93">
        <f>SUMPRODUCT((M_BOM[Part Name]=$A93)*M_BOM[RM_Qty_Per_Batch]*IFERROR(INDEX(PP_Grid[#Data],M_BOM[PPGridRow],57),0))/17.67</f>
        <v/>
      </c>
      <c r="BF93">
        <f>SUMPRODUCT((M_BOM[Part Name]=$A93)*M_BOM[RM_Qty_Per_Batch]*IFERROR(INDEX(PP_Grid[#Data],M_BOM[PPGridRow],58),0))/17.67</f>
        <v/>
      </c>
      <c r="BG93">
        <f>SUMPRODUCT((M_BOM[Part Name]=$A93)*M_BOM[RM_Qty_Per_Batch]*IFERROR(INDEX(PP_Grid[#Data],M_BOM[PPGridRow],59),0))/17.67</f>
        <v/>
      </c>
      <c r="BH93">
        <f>SUMPRODUCT((M_BOM[Part Name]=$A93)*M_BOM[RM_Qty_Per_Batch]*IFERROR(INDEX(PP_Grid[#Data],M_BOM[PPGridRow],60),0))/17.67</f>
        <v/>
      </c>
      <c r="BI93">
        <f>SUMPRODUCT((M_BOM[Part Name]=$A93)*M_BOM[RM_Qty_Per_Batch]*IFERROR(INDEX(PP_Grid[#Data],M_BOM[PPGridRow],61),0))/17.67</f>
        <v/>
      </c>
      <c r="BJ93">
        <f>SUMPRODUCT((M_BOM[Part Name]=$A93)*M_BOM[RM_Qty_Per_Batch]*IFERROR(INDEX(PP_Grid[#Data],M_BOM[PPGridRow],62),0))/17.67</f>
        <v/>
      </c>
      <c r="BK93">
        <f>SUMPRODUCT((M_BOM[Part Name]=$A93)*M_BOM[RM_Qty_Per_Batch]*IFERROR(INDEX(PP_Grid[#Data],M_BOM[PPGridRow],63),0))/17.67</f>
        <v/>
      </c>
      <c r="BL93">
        <f>SUMPRODUCT((M_BOM[Part Name]=$A93)*M_BOM[RM_Qty_Per_Batch]*IFERROR(INDEX(PP_Grid[#Data],M_BOM[PPGridRow],64),0))/17.67</f>
        <v/>
      </c>
      <c r="BM93">
        <f>SUMPRODUCT((M_BOM[Part Name]=$A93)*M_BOM[RM_Qty_Per_Batch]*IFERROR(INDEX(PP_Grid[#Data],M_BOM[PPGridRow],65),0))/17.67</f>
        <v/>
      </c>
      <c r="BN93">
        <f>SUMPRODUCT((M_BOM[Part Name]=$A93)*M_BOM[RM_Qty_Per_Batch]*IFERROR(INDEX(PP_Grid[#Data],M_BOM[PPGridRow],66),0))/17.67</f>
        <v/>
      </c>
      <c r="BO93">
        <f>SUMPRODUCT((M_BOM[Part Name]=$A93)*M_BOM[RM_Qty_Per_Batch]*IFERROR(INDEX(PP_Grid[#Data],M_BOM[PPGridRow],67),0))/17.67</f>
        <v/>
      </c>
      <c r="BP93">
        <f>SUMPRODUCT((M_BOM[Part Name]=$A93)*M_BOM[RM_Qty_Per_Batch]*IFERROR(INDEX(PP_Grid[#Data],M_BOM[PPGridRow],68),0))/17.67</f>
        <v/>
      </c>
      <c r="BQ93">
        <f>SUMPRODUCT((M_BOM[Part Name]=$A93)*M_BOM[RM_Qty_Per_Batch]*IFERROR(INDEX(PP_Grid[#Data],M_BOM[PPGridRow],69),0))/17.67</f>
        <v/>
      </c>
      <c r="BR93">
        <f>SUMPRODUCT((M_BOM[Part Name]=$A93)*M_BOM[RM_Qty_Per_Batch]*IFERROR(INDEX(PP_Grid[#Data],M_BOM[PPGridRow],70),0))/17.67</f>
        <v/>
      </c>
      <c r="BS93">
        <f>SUMPRODUCT((M_BOM[Part Name]=$A93)*M_BOM[RM_Qty_Per_Batch]*IFERROR(INDEX(PP_Grid[#Data],M_BOM[PPGridRow],71),0))/17.67</f>
        <v/>
      </c>
      <c r="BT93">
        <f>SUMPRODUCT((M_BOM[Part Name]=$A93)*M_BOM[RM_Qty_Per_Batch]*IFERROR(INDEX(PP_Grid[#Data],M_BOM[PPGridRow],72),0))/17.67</f>
        <v/>
      </c>
      <c r="BU93">
        <f>SUMPRODUCT((M_BOM[Part Name]=$A93)*M_BOM[RM_Qty_Per_Batch]*IFERROR(INDEX(PP_Grid[#Data],M_BOM[PPGridRow],73),0))/17.67</f>
        <v/>
      </c>
      <c r="BV93">
        <f>SUMPRODUCT((M_BOM[Part Name]=$A93)*M_BOM[RM_Qty_Per_Batch]*IFERROR(INDEX(PP_Grid[#Data],M_BOM[PPGridRow],74),0))/17.67</f>
        <v/>
      </c>
      <c r="BW93">
        <f>SUMPRODUCT((M_BOM[Part Name]=$A93)*M_BOM[RM_Qty_Per_Batch]*IFERROR(INDEX(PP_Grid[#Data],M_BOM[PPGridRow],75),0))/17.67</f>
        <v/>
      </c>
      <c r="BX93">
        <f>SUMPRODUCT((M_BOM[Part Name]=$A93)*M_BOM[RM_Qty_Per_Batch]*IFERROR(INDEX(PP_Grid[#Data],M_BOM[PPGridRow],76),0))/17.67</f>
        <v/>
      </c>
      <c r="BY93">
        <f>SUMPRODUCT((M_BOM[Part Name]=$A93)*M_BOM[RM_Qty_Per_Batch]*IFERROR(INDEX(PP_Grid[#Data],M_BOM[PPGridRow],77),0))/17.67</f>
        <v/>
      </c>
      <c r="BZ93">
        <f>SUMPRODUCT((M_BOM[Part Name]=$A93)*M_BOM[RM_Qty_Per_Batch]*IFERROR(INDEX(PP_Grid[#Data],M_BOM[PPGridRow],78),0))/17.67</f>
        <v/>
      </c>
      <c r="CA93">
        <f>SUMPRODUCT((M_BOM[Part Name]=$A93)*M_BOM[RM_Qty_Per_Batch]*IFERROR(INDEX(PP_Grid[#Data],M_BOM[PPGridRow],79),0))/17.67</f>
        <v/>
      </c>
      <c r="CB93">
        <f>SUMPRODUCT((M_BOM[Part Name]=$A93)*M_BOM[RM_Qty_Per_Batch]*IFERROR(INDEX(PP_Grid[#Data],M_BOM[PPGridRow],80),0))/17.67</f>
        <v/>
      </c>
      <c r="CC93">
        <f>SUMPRODUCT((M_BOM[Part Name]=$A93)*M_BOM[RM_Qty_Per_Batch]*IFERROR(INDEX(PP_Grid[#Data],M_BOM[PPGridRow],81),0))/17.67</f>
        <v/>
      </c>
      <c r="CD93">
        <f>SUMPRODUCT((M_BOM[Part Name]=$A93)*M_BOM[RM_Qty_Per_Batch]*IFERROR(INDEX(PP_Grid[#Data],M_BOM[PPGridRow],82),0))/17.67</f>
        <v/>
      </c>
      <c r="CE93">
        <f>SUMPRODUCT((M_BOM[Part Name]=$A93)*M_BOM[RM_Qty_Per_Batch]*IFERROR(INDEX(PP_Grid[#Data],M_BOM[PPGridRow],83),0))/17.67</f>
        <v/>
      </c>
      <c r="CF93">
        <f>SUMPRODUCT((M_BOM[Part Name]=$A93)*M_BOM[RM_Qty_Per_Batch]*IFERROR(INDEX(PP_Grid[#Data],M_BOM[PPGridRow],84),0))/17.67</f>
        <v/>
      </c>
      <c r="CG93">
        <f>SUMPRODUCT((M_BOM[Part Name]=$A93)*M_BOM[RM_Qty_Per_Batch]*IFERROR(INDEX(PP_Grid[#Data],M_BOM[PPGridRow],85),0))/17.67</f>
        <v/>
      </c>
      <c r="CH93">
        <f>SUMPRODUCT((M_BOM[Part Name]=$A93)*M_BOM[RM_Qty_Per_Batch]*IFERROR(INDEX(PP_Grid[#Data],M_BOM[PPGridRow],86),0))/17.67</f>
        <v/>
      </c>
      <c r="CI93">
        <f>SUMPRODUCT((M_BOM[Part Name]=$A93)*M_BOM[RM_Qty_Per_Batch]*IFERROR(INDEX(PP_Grid[#Data],M_BOM[PPGridRow],87),0))/17.67</f>
        <v/>
      </c>
      <c r="CJ93">
        <f>SUMPRODUCT((M_BOM[Part Name]=$A93)*M_BOM[RM_Qty_Per_Batch]*IFERROR(INDEX(PP_Grid[#Data],M_BOM[PPGridRow],88),0))/17.67</f>
        <v/>
      </c>
      <c r="CK93">
        <f>SUMPRODUCT((M_BOM[Part Name]=$A93)*M_BOM[RM_Qty_Per_Batch]*IFERROR(INDEX(PP_Grid[#Data],M_BOM[PPGridRow],89),0))/17.67</f>
        <v/>
      </c>
      <c r="CL93">
        <f>SUMPRODUCT((M_BOM[Part Name]=$A93)*M_BOM[RM_Qty_Per_Batch]*IFERROR(INDEX(PP_Grid[#Data],M_BOM[PPGridRow],90),0))/17.67</f>
        <v/>
      </c>
      <c r="CM93">
        <f>SUMPRODUCT((M_BOM[Part Name]=$A93)*M_BOM[RM_Qty_Per_Batch]*IFERROR(INDEX(PP_Grid[#Data],M_BOM[PPGridRow],91),0))/17.67</f>
        <v/>
      </c>
      <c r="CN93">
        <f>SUMPRODUCT((M_BOM[Part Name]=$A93)*M_BOM[RM_Qty_Per_Batch]*IFERROR(INDEX(PP_Grid[#Data],M_BOM[PPGridRow],92),0))/17.67</f>
        <v/>
      </c>
      <c r="CO93">
        <f>SUMPRODUCT((M_BOM[Part Name]=$A93)*M_BOM[RM_Qty_Per_Batch]*IFERROR(INDEX(PP_Grid[#Data],M_BOM[PPGridRow],93),0))/17.67</f>
        <v/>
      </c>
      <c r="CP93">
        <f>SUMPRODUCT((M_BOM[Part Name]=$A93)*M_BOM[RM_Qty_Per_Batch]*IFERROR(INDEX(PP_Grid[#Data],M_BOM[PPGridRow],94),0))/17.67</f>
        <v/>
      </c>
      <c r="CQ93">
        <f>SUMPRODUCT((M_BOM[Part Name]=$A93)*M_BOM[RM_Qty_Per_Batch]*IFERROR(INDEX(PP_Grid[#Data],M_BOM[PPGridRow],95),0))/17.67</f>
        <v/>
      </c>
      <c r="CR93">
        <f>SUMPRODUCT((M_BOM[Part Name]=$A93)*M_BOM[RM_Qty_Per_Batch]*IFERROR(INDEX(PP_Grid[#Data],M_BOM[PPGridRow],96),0))/17.67</f>
        <v/>
      </c>
      <c r="CS93">
        <f>SUMPRODUCT((M_BOM[Part Name]=$A93)*M_BOM[RM_Qty_Per_Batch]*IFERROR(INDEX(PP_Grid[#Data],M_BOM[PPGridRow],97),0))/17.67</f>
        <v/>
      </c>
      <c r="CT93">
        <f>SUMPRODUCT((M_BOM[Part Name]=$A93)*M_BOM[RM_Qty_Per_Batch]*IFERROR(INDEX(PP_Grid[#Data],M_BOM[PPGridRow],98),0))/17.67</f>
        <v/>
      </c>
      <c r="CU93">
        <f>SUMPRODUCT((M_BOM[Part Name]=$A93)*M_BOM[RM_Qty_Per_Batch]*IFERROR(INDEX(PP_Grid[#Data],M_BOM[PPGridRow],99),0))/17.67</f>
        <v/>
      </c>
      <c r="CV93">
        <f>SUMPRODUCT((M_BOM[Part Name]=$A93)*M_BOM[RM_Qty_Per_Batch]*IFERROR(INDEX(PP_Grid[#Data],M_BOM[PPGridRow],100),0))/17.67</f>
        <v/>
      </c>
      <c r="CW93">
        <f>SUMPRODUCT((M_BOM[Part Name]=$A93)*M_BOM[RM_Qty_Per_Batch]*IFERROR(INDEX(PP_Grid[#Data],M_BOM[PPGridRow],101),0))/17.67</f>
        <v/>
      </c>
      <c r="CX93">
        <f>SUMPRODUCT((M_BOM[Part Name]=$A93)*M_BOM[RM_Qty_Per_Batch]*IFERROR(INDEX(PP_Grid[#Data],M_BOM[PPGridRow],102),0))/17.67</f>
        <v/>
      </c>
      <c r="CY93">
        <f>SUMPRODUCT((M_BOM[Part Name]=$A93)*M_BOM[RM_Qty_Per_Batch]*IFERROR(INDEX(PP_Grid[#Data],M_BOM[PPGridRow],103),0))/17.67</f>
        <v/>
      </c>
      <c r="CZ93">
        <f>SUMPRODUCT((M_BOM[Part Name]=$A93)*M_BOM[RM_Qty_Per_Batch]*IFERROR(INDEX(PP_Grid[#Data],M_BOM[PPGridRow],104),0))/17.67</f>
        <v/>
      </c>
      <c r="DA93">
        <f>SUMPRODUCT((M_BOM[Part Name]=$A93)*M_BOM[RM_Qty_Per_Batch]*IFERROR(INDEX(PP_Grid[#Data],M_BOM[PPGridRow],105),0))/17.67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Name]=$A94)*M_BOM[RM_Qty_Per_Batch]*IFERROR(INDEX(PP_Grid[#Data],M_BOM[PPGridRow],2),0))/22.38</f>
        <v/>
      </c>
      <c r="C94">
        <f>SUMPRODUCT((M_BOM[Part Name]=$A94)*M_BOM[RM_Qty_Per_Batch]*IFERROR(INDEX(PP_Grid[#Data],M_BOM[PPGridRow],3),0))/22.38</f>
        <v/>
      </c>
      <c r="D94">
        <f>SUMPRODUCT((M_BOM[Part Name]=$A94)*M_BOM[RM_Qty_Per_Batch]*IFERROR(INDEX(PP_Grid[#Data],M_BOM[PPGridRow],4),0))/22.38</f>
        <v/>
      </c>
      <c r="E94">
        <f>SUMPRODUCT((M_BOM[Part Name]=$A94)*M_BOM[RM_Qty_Per_Batch]*IFERROR(INDEX(PP_Grid[#Data],M_BOM[PPGridRow],5),0))/22.38</f>
        <v/>
      </c>
      <c r="F94">
        <f>SUMPRODUCT((M_BOM[Part Name]=$A94)*M_BOM[RM_Qty_Per_Batch]*IFERROR(INDEX(PP_Grid[#Data],M_BOM[PPGridRow],6),0))/22.38</f>
        <v/>
      </c>
      <c r="G94">
        <f>SUMPRODUCT((M_BOM[Part Name]=$A94)*M_BOM[RM_Qty_Per_Batch]*IFERROR(INDEX(PP_Grid[#Data],M_BOM[PPGridRow],7),0))/22.38</f>
        <v/>
      </c>
      <c r="H94">
        <f>SUMPRODUCT((M_BOM[Part Name]=$A94)*M_BOM[RM_Qty_Per_Batch]*IFERROR(INDEX(PP_Grid[#Data],M_BOM[PPGridRow],8),0))/22.38</f>
        <v/>
      </c>
      <c r="I94">
        <f>SUMPRODUCT((M_BOM[Part Name]=$A94)*M_BOM[RM_Qty_Per_Batch]*IFERROR(INDEX(PP_Grid[#Data],M_BOM[PPGridRow],9),0))/22.38</f>
        <v/>
      </c>
      <c r="J94">
        <f>SUMPRODUCT((M_BOM[Part Name]=$A94)*M_BOM[RM_Qty_Per_Batch]*IFERROR(INDEX(PP_Grid[#Data],M_BOM[PPGridRow],10),0))/22.38</f>
        <v/>
      </c>
      <c r="K94">
        <f>SUMPRODUCT((M_BOM[Part Name]=$A94)*M_BOM[RM_Qty_Per_Batch]*IFERROR(INDEX(PP_Grid[#Data],M_BOM[PPGridRow],11),0))/22.38</f>
        <v/>
      </c>
      <c r="L94">
        <f>SUMPRODUCT((M_BOM[Part Name]=$A94)*M_BOM[RM_Qty_Per_Batch]*IFERROR(INDEX(PP_Grid[#Data],M_BOM[PPGridRow],12),0))/22.38</f>
        <v/>
      </c>
      <c r="M94">
        <f>SUMPRODUCT((M_BOM[Part Name]=$A94)*M_BOM[RM_Qty_Per_Batch]*IFERROR(INDEX(PP_Grid[#Data],M_BOM[PPGridRow],13),0))/22.38</f>
        <v/>
      </c>
      <c r="N94">
        <f>SUMPRODUCT((M_BOM[Part Name]=$A94)*M_BOM[RM_Qty_Per_Batch]*IFERROR(INDEX(PP_Grid[#Data],M_BOM[PPGridRow],14),0))/22.38</f>
        <v/>
      </c>
      <c r="O94">
        <f>SUMPRODUCT((M_BOM[Part Name]=$A94)*M_BOM[RM_Qty_Per_Batch]*IFERROR(INDEX(PP_Grid[#Data],M_BOM[PPGridRow],15),0))/22.38</f>
        <v/>
      </c>
      <c r="P94">
        <f>SUMPRODUCT((M_BOM[Part Name]=$A94)*M_BOM[RM_Qty_Per_Batch]*IFERROR(INDEX(PP_Grid[#Data],M_BOM[PPGridRow],16),0))/22.38</f>
        <v/>
      </c>
      <c r="Q94">
        <f>SUMPRODUCT((M_BOM[Part Name]=$A94)*M_BOM[RM_Qty_Per_Batch]*IFERROR(INDEX(PP_Grid[#Data],M_BOM[PPGridRow],17),0))/22.38</f>
        <v/>
      </c>
      <c r="R94">
        <f>SUMPRODUCT((M_BOM[Part Name]=$A94)*M_BOM[RM_Qty_Per_Batch]*IFERROR(INDEX(PP_Grid[#Data],M_BOM[PPGridRow],18),0))/22.38</f>
        <v/>
      </c>
      <c r="S94">
        <f>SUMPRODUCT((M_BOM[Part Name]=$A94)*M_BOM[RM_Qty_Per_Batch]*IFERROR(INDEX(PP_Grid[#Data],M_BOM[PPGridRow],19),0))/22.38</f>
        <v/>
      </c>
      <c r="T94">
        <f>SUMPRODUCT((M_BOM[Part Name]=$A94)*M_BOM[RM_Qty_Per_Batch]*IFERROR(INDEX(PP_Grid[#Data],M_BOM[PPGridRow],20),0))/22.38</f>
        <v/>
      </c>
      <c r="U94">
        <f>SUMPRODUCT((M_BOM[Part Name]=$A94)*M_BOM[RM_Qty_Per_Batch]*IFERROR(INDEX(PP_Grid[#Data],M_BOM[PPGridRow],21),0))/22.38</f>
        <v/>
      </c>
      <c r="V94">
        <f>SUMPRODUCT((M_BOM[Part Name]=$A94)*M_BOM[RM_Qty_Per_Batch]*IFERROR(INDEX(PP_Grid[#Data],M_BOM[PPGridRow],22),0))/22.38</f>
        <v/>
      </c>
      <c r="W94">
        <f>SUMPRODUCT((M_BOM[Part Name]=$A94)*M_BOM[RM_Qty_Per_Batch]*IFERROR(INDEX(PP_Grid[#Data],M_BOM[PPGridRow],23),0))/22.38</f>
        <v/>
      </c>
      <c r="X94">
        <f>SUMPRODUCT((M_BOM[Part Name]=$A94)*M_BOM[RM_Qty_Per_Batch]*IFERROR(INDEX(PP_Grid[#Data],M_BOM[PPGridRow],24),0))/22.38</f>
        <v/>
      </c>
      <c r="Y94">
        <f>SUMPRODUCT((M_BOM[Part Name]=$A94)*M_BOM[RM_Qty_Per_Batch]*IFERROR(INDEX(PP_Grid[#Data],M_BOM[PPGridRow],25),0))/22.38</f>
        <v/>
      </c>
      <c r="Z94">
        <f>SUMPRODUCT((M_BOM[Part Name]=$A94)*M_BOM[RM_Qty_Per_Batch]*IFERROR(INDEX(PP_Grid[#Data],M_BOM[PPGridRow],26),0))/22.38</f>
        <v/>
      </c>
      <c r="AA94">
        <f>SUMPRODUCT((M_BOM[Part Name]=$A94)*M_BOM[RM_Qty_Per_Batch]*IFERROR(INDEX(PP_Grid[#Data],M_BOM[PPGridRow],27),0))/22.38</f>
        <v/>
      </c>
      <c r="AB94">
        <f>SUMPRODUCT((M_BOM[Part Name]=$A94)*M_BOM[RM_Qty_Per_Batch]*IFERROR(INDEX(PP_Grid[#Data],M_BOM[PPGridRow],28),0))/22.38</f>
        <v/>
      </c>
      <c r="AC94">
        <f>SUMPRODUCT((M_BOM[Part Name]=$A94)*M_BOM[RM_Qty_Per_Batch]*IFERROR(INDEX(PP_Grid[#Data],M_BOM[PPGridRow],29),0))/22.38</f>
        <v/>
      </c>
      <c r="AD94">
        <f>SUMPRODUCT((M_BOM[Part Name]=$A94)*M_BOM[RM_Qty_Per_Batch]*IFERROR(INDEX(PP_Grid[#Data],M_BOM[PPGridRow],30),0))/22.38</f>
        <v/>
      </c>
      <c r="AE94">
        <f>SUMPRODUCT((M_BOM[Part Name]=$A94)*M_BOM[RM_Qty_Per_Batch]*IFERROR(INDEX(PP_Grid[#Data],M_BOM[PPGridRow],31),0))/22.38</f>
        <v/>
      </c>
      <c r="AF94">
        <f>SUMPRODUCT((M_BOM[Part Name]=$A94)*M_BOM[RM_Qty_Per_Batch]*IFERROR(INDEX(PP_Grid[#Data],M_BOM[PPGridRow],32),0))/22.38</f>
        <v/>
      </c>
      <c r="AG94">
        <f>SUMPRODUCT((M_BOM[Part Name]=$A94)*M_BOM[RM_Qty_Per_Batch]*IFERROR(INDEX(PP_Grid[#Data],M_BOM[PPGridRow],33),0))/22.38</f>
        <v/>
      </c>
      <c r="AH94">
        <f>SUMPRODUCT((M_BOM[Part Name]=$A94)*M_BOM[RM_Qty_Per_Batch]*IFERROR(INDEX(PP_Grid[#Data],M_BOM[PPGridRow],34),0))/22.38</f>
        <v/>
      </c>
      <c r="AI94">
        <f>SUMPRODUCT((M_BOM[Part Name]=$A94)*M_BOM[RM_Qty_Per_Batch]*IFERROR(INDEX(PP_Grid[#Data],M_BOM[PPGridRow],35),0))/22.38</f>
        <v/>
      </c>
      <c r="AJ94">
        <f>SUMPRODUCT((M_BOM[Part Name]=$A94)*M_BOM[RM_Qty_Per_Batch]*IFERROR(INDEX(PP_Grid[#Data],M_BOM[PPGridRow],36),0))/22.38</f>
        <v/>
      </c>
      <c r="AK94">
        <f>SUMPRODUCT((M_BOM[Part Name]=$A94)*M_BOM[RM_Qty_Per_Batch]*IFERROR(INDEX(PP_Grid[#Data],M_BOM[PPGridRow],37),0))/22.38</f>
        <v/>
      </c>
      <c r="AL94">
        <f>SUMPRODUCT((M_BOM[Part Name]=$A94)*M_BOM[RM_Qty_Per_Batch]*IFERROR(INDEX(PP_Grid[#Data],M_BOM[PPGridRow],38),0))/22.38</f>
        <v/>
      </c>
      <c r="AM94">
        <f>SUMPRODUCT((M_BOM[Part Name]=$A94)*M_BOM[RM_Qty_Per_Batch]*IFERROR(INDEX(PP_Grid[#Data],M_BOM[PPGridRow],39),0))/22.38</f>
        <v/>
      </c>
      <c r="AN94">
        <f>SUMPRODUCT((M_BOM[Part Name]=$A94)*M_BOM[RM_Qty_Per_Batch]*IFERROR(INDEX(PP_Grid[#Data],M_BOM[PPGridRow],40),0))/22.38</f>
        <v/>
      </c>
      <c r="AO94">
        <f>SUMPRODUCT((M_BOM[Part Name]=$A94)*M_BOM[RM_Qty_Per_Batch]*IFERROR(INDEX(PP_Grid[#Data],M_BOM[PPGridRow],41),0))/22.38</f>
        <v/>
      </c>
      <c r="AP94">
        <f>SUMPRODUCT((M_BOM[Part Name]=$A94)*M_BOM[RM_Qty_Per_Batch]*IFERROR(INDEX(PP_Grid[#Data],M_BOM[PPGridRow],42),0))/22.38</f>
        <v/>
      </c>
      <c r="AQ94">
        <f>SUMPRODUCT((M_BOM[Part Name]=$A94)*M_BOM[RM_Qty_Per_Batch]*IFERROR(INDEX(PP_Grid[#Data],M_BOM[PPGridRow],43),0))/22.38</f>
        <v/>
      </c>
      <c r="AR94">
        <f>SUMPRODUCT((M_BOM[Part Name]=$A94)*M_BOM[RM_Qty_Per_Batch]*IFERROR(INDEX(PP_Grid[#Data],M_BOM[PPGridRow],44),0))/22.38</f>
        <v/>
      </c>
      <c r="AS94">
        <f>SUMPRODUCT((M_BOM[Part Name]=$A94)*M_BOM[RM_Qty_Per_Batch]*IFERROR(INDEX(PP_Grid[#Data],M_BOM[PPGridRow],45),0))/22.38</f>
        <v/>
      </c>
      <c r="AT94">
        <f>SUMPRODUCT((M_BOM[Part Name]=$A94)*M_BOM[RM_Qty_Per_Batch]*IFERROR(INDEX(PP_Grid[#Data],M_BOM[PPGridRow],46),0))/22.38</f>
        <v/>
      </c>
      <c r="AU94">
        <f>SUMPRODUCT((M_BOM[Part Name]=$A94)*M_BOM[RM_Qty_Per_Batch]*IFERROR(INDEX(PP_Grid[#Data],M_BOM[PPGridRow],47),0))/22.38</f>
        <v/>
      </c>
      <c r="AV94">
        <f>SUMPRODUCT((M_BOM[Part Name]=$A94)*M_BOM[RM_Qty_Per_Batch]*IFERROR(INDEX(PP_Grid[#Data],M_BOM[PPGridRow],48),0))/22.38</f>
        <v/>
      </c>
      <c r="AW94">
        <f>SUMPRODUCT((M_BOM[Part Name]=$A94)*M_BOM[RM_Qty_Per_Batch]*IFERROR(INDEX(PP_Grid[#Data],M_BOM[PPGridRow],49),0))/22.38</f>
        <v/>
      </c>
      <c r="AX94">
        <f>SUMPRODUCT((M_BOM[Part Name]=$A94)*M_BOM[RM_Qty_Per_Batch]*IFERROR(INDEX(PP_Grid[#Data],M_BOM[PPGridRow],50),0))/22.38</f>
        <v/>
      </c>
      <c r="AY94">
        <f>SUMPRODUCT((M_BOM[Part Name]=$A94)*M_BOM[RM_Qty_Per_Batch]*IFERROR(INDEX(PP_Grid[#Data],M_BOM[PPGridRow],51),0))/22.38</f>
        <v/>
      </c>
      <c r="AZ94">
        <f>SUMPRODUCT((M_BOM[Part Name]=$A94)*M_BOM[RM_Qty_Per_Batch]*IFERROR(INDEX(PP_Grid[#Data],M_BOM[PPGridRow],52),0))/22.38</f>
        <v/>
      </c>
      <c r="BA94">
        <f>SUMPRODUCT((M_BOM[Part Name]=$A94)*M_BOM[RM_Qty_Per_Batch]*IFERROR(INDEX(PP_Grid[#Data],M_BOM[PPGridRow],53),0))/22.38</f>
        <v/>
      </c>
      <c r="BB94">
        <f>SUMPRODUCT((M_BOM[Part Name]=$A94)*M_BOM[RM_Qty_Per_Batch]*IFERROR(INDEX(PP_Grid[#Data],M_BOM[PPGridRow],54),0))/22.38</f>
        <v/>
      </c>
      <c r="BC94">
        <f>SUMPRODUCT((M_BOM[Part Name]=$A94)*M_BOM[RM_Qty_Per_Batch]*IFERROR(INDEX(PP_Grid[#Data],M_BOM[PPGridRow],55),0))/22.38</f>
        <v/>
      </c>
      <c r="BD94">
        <f>SUMPRODUCT((M_BOM[Part Name]=$A94)*M_BOM[RM_Qty_Per_Batch]*IFERROR(INDEX(PP_Grid[#Data],M_BOM[PPGridRow],56),0))/22.38</f>
        <v/>
      </c>
      <c r="BE94">
        <f>SUMPRODUCT((M_BOM[Part Name]=$A94)*M_BOM[RM_Qty_Per_Batch]*IFERROR(INDEX(PP_Grid[#Data],M_BOM[PPGridRow],57),0))/22.38</f>
        <v/>
      </c>
      <c r="BF94">
        <f>SUMPRODUCT((M_BOM[Part Name]=$A94)*M_BOM[RM_Qty_Per_Batch]*IFERROR(INDEX(PP_Grid[#Data],M_BOM[PPGridRow],58),0))/22.38</f>
        <v/>
      </c>
      <c r="BG94">
        <f>SUMPRODUCT((M_BOM[Part Name]=$A94)*M_BOM[RM_Qty_Per_Batch]*IFERROR(INDEX(PP_Grid[#Data],M_BOM[PPGridRow],59),0))/22.38</f>
        <v/>
      </c>
      <c r="BH94">
        <f>SUMPRODUCT((M_BOM[Part Name]=$A94)*M_BOM[RM_Qty_Per_Batch]*IFERROR(INDEX(PP_Grid[#Data],M_BOM[PPGridRow],60),0))/22.38</f>
        <v/>
      </c>
      <c r="BI94">
        <f>SUMPRODUCT((M_BOM[Part Name]=$A94)*M_BOM[RM_Qty_Per_Batch]*IFERROR(INDEX(PP_Grid[#Data],M_BOM[PPGridRow],61),0))/22.38</f>
        <v/>
      </c>
      <c r="BJ94">
        <f>SUMPRODUCT((M_BOM[Part Name]=$A94)*M_BOM[RM_Qty_Per_Batch]*IFERROR(INDEX(PP_Grid[#Data],M_BOM[PPGridRow],62),0))/22.38</f>
        <v/>
      </c>
      <c r="BK94">
        <f>SUMPRODUCT((M_BOM[Part Name]=$A94)*M_BOM[RM_Qty_Per_Batch]*IFERROR(INDEX(PP_Grid[#Data],M_BOM[PPGridRow],63),0))/22.38</f>
        <v/>
      </c>
      <c r="BL94">
        <f>SUMPRODUCT((M_BOM[Part Name]=$A94)*M_BOM[RM_Qty_Per_Batch]*IFERROR(INDEX(PP_Grid[#Data],M_BOM[PPGridRow],64),0))/22.38</f>
        <v/>
      </c>
      <c r="BM94">
        <f>SUMPRODUCT((M_BOM[Part Name]=$A94)*M_BOM[RM_Qty_Per_Batch]*IFERROR(INDEX(PP_Grid[#Data],M_BOM[PPGridRow],65),0))/22.38</f>
        <v/>
      </c>
      <c r="BN94">
        <f>SUMPRODUCT((M_BOM[Part Name]=$A94)*M_BOM[RM_Qty_Per_Batch]*IFERROR(INDEX(PP_Grid[#Data],M_BOM[PPGridRow],66),0))/22.38</f>
        <v/>
      </c>
      <c r="BO94">
        <f>SUMPRODUCT((M_BOM[Part Name]=$A94)*M_BOM[RM_Qty_Per_Batch]*IFERROR(INDEX(PP_Grid[#Data],M_BOM[PPGridRow],67),0))/22.38</f>
        <v/>
      </c>
      <c r="BP94">
        <f>SUMPRODUCT((M_BOM[Part Name]=$A94)*M_BOM[RM_Qty_Per_Batch]*IFERROR(INDEX(PP_Grid[#Data],M_BOM[PPGridRow],68),0))/22.38</f>
        <v/>
      </c>
      <c r="BQ94">
        <f>SUMPRODUCT((M_BOM[Part Name]=$A94)*M_BOM[RM_Qty_Per_Batch]*IFERROR(INDEX(PP_Grid[#Data],M_BOM[PPGridRow],69),0))/22.38</f>
        <v/>
      </c>
      <c r="BR94">
        <f>SUMPRODUCT((M_BOM[Part Name]=$A94)*M_BOM[RM_Qty_Per_Batch]*IFERROR(INDEX(PP_Grid[#Data],M_BOM[PPGridRow],70),0))/22.38</f>
        <v/>
      </c>
      <c r="BS94">
        <f>SUMPRODUCT((M_BOM[Part Name]=$A94)*M_BOM[RM_Qty_Per_Batch]*IFERROR(INDEX(PP_Grid[#Data],M_BOM[PPGridRow],71),0))/22.38</f>
        <v/>
      </c>
      <c r="BT94">
        <f>SUMPRODUCT((M_BOM[Part Name]=$A94)*M_BOM[RM_Qty_Per_Batch]*IFERROR(INDEX(PP_Grid[#Data],M_BOM[PPGridRow],72),0))/22.38</f>
        <v/>
      </c>
      <c r="BU94">
        <f>SUMPRODUCT((M_BOM[Part Name]=$A94)*M_BOM[RM_Qty_Per_Batch]*IFERROR(INDEX(PP_Grid[#Data],M_BOM[PPGridRow],73),0))/22.38</f>
        <v/>
      </c>
      <c r="BV94">
        <f>SUMPRODUCT((M_BOM[Part Name]=$A94)*M_BOM[RM_Qty_Per_Batch]*IFERROR(INDEX(PP_Grid[#Data],M_BOM[PPGridRow],74),0))/22.38</f>
        <v/>
      </c>
      <c r="BW94">
        <f>SUMPRODUCT((M_BOM[Part Name]=$A94)*M_BOM[RM_Qty_Per_Batch]*IFERROR(INDEX(PP_Grid[#Data],M_BOM[PPGridRow],75),0))/22.38</f>
        <v/>
      </c>
      <c r="BX94">
        <f>SUMPRODUCT((M_BOM[Part Name]=$A94)*M_BOM[RM_Qty_Per_Batch]*IFERROR(INDEX(PP_Grid[#Data],M_BOM[PPGridRow],76),0))/22.38</f>
        <v/>
      </c>
      <c r="BY94">
        <f>SUMPRODUCT((M_BOM[Part Name]=$A94)*M_BOM[RM_Qty_Per_Batch]*IFERROR(INDEX(PP_Grid[#Data],M_BOM[PPGridRow],77),0))/22.38</f>
        <v/>
      </c>
      <c r="BZ94">
        <f>SUMPRODUCT((M_BOM[Part Name]=$A94)*M_BOM[RM_Qty_Per_Batch]*IFERROR(INDEX(PP_Grid[#Data],M_BOM[PPGridRow],78),0))/22.38</f>
        <v/>
      </c>
      <c r="CA94">
        <f>SUMPRODUCT((M_BOM[Part Name]=$A94)*M_BOM[RM_Qty_Per_Batch]*IFERROR(INDEX(PP_Grid[#Data],M_BOM[PPGridRow],79),0))/22.38</f>
        <v/>
      </c>
      <c r="CB94">
        <f>SUMPRODUCT((M_BOM[Part Name]=$A94)*M_BOM[RM_Qty_Per_Batch]*IFERROR(INDEX(PP_Grid[#Data],M_BOM[PPGridRow],80),0))/22.38</f>
        <v/>
      </c>
      <c r="CC94">
        <f>SUMPRODUCT((M_BOM[Part Name]=$A94)*M_BOM[RM_Qty_Per_Batch]*IFERROR(INDEX(PP_Grid[#Data],M_BOM[PPGridRow],81),0))/22.38</f>
        <v/>
      </c>
      <c r="CD94">
        <f>SUMPRODUCT((M_BOM[Part Name]=$A94)*M_BOM[RM_Qty_Per_Batch]*IFERROR(INDEX(PP_Grid[#Data],M_BOM[PPGridRow],82),0))/22.38</f>
        <v/>
      </c>
      <c r="CE94">
        <f>SUMPRODUCT((M_BOM[Part Name]=$A94)*M_BOM[RM_Qty_Per_Batch]*IFERROR(INDEX(PP_Grid[#Data],M_BOM[PPGridRow],83),0))/22.38</f>
        <v/>
      </c>
      <c r="CF94">
        <f>SUMPRODUCT((M_BOM[Part Name]=$A94)*M_BOM[RM_Qty_Per_Batch]*IFERROR(INDEX(PP_Grid[#Data],M_BOM[PPGridRow],84),0))/22.38</f>
        <v/>
      </c>
      <c r="CG94">
        <f>SUMPRODUCT((M_BOM[Part Name]=$A94)*M_BOM[RM_Qty_Per_Batch]*IFERROR(INDEX(PP_Grid[#Data],M_BOM[PPGridRow],85),0))/22.38</f>
        <v/>
      </c>
      <c r="CH94">
        <f>SUMPRODUCT((M_BOM[Part Name]=$A94)*M_BOM[RM_Qty_Per_Batch]*IFERROR(INDEX(PP_Grid[#Data],M_BOM[PPGridRow],86),0))/22.38</f>
        <v/>
      </c>
      <c r="CI94">
        <f>SUMPRODUCT((M_BOM[Part Name]=$A94)*M_BOM[RM_Qty_Per_Batch]*IFERROR(INDEX(PP_Grid[#Data],M_BOM[PPGridRow],87),0))/22.38</f>
        <v/>
      </c>
      <c r="CJ94">
        <f>SUMPRODUCT((M_BOM[Part Name]=$A94)*M_BOM[RM_Qty_Per_Batch]*IFERROR(INDEX(PP_Grid[#Data],M_BOM[PPGridRow],88),0))/22.38</f>
        <v/>
      </c>
      <c r="CK94">
        <f>SUMPRODUCT((M_BOM[Part Name]=$A94)*M_BOM[RM_Qty_Per_Batch]*IFERROR(INDEX(PP_Grid[#Data],M_BOM[PPGridRow],89),0))/22.38</f>
        <v/>
      </c>
      <c r="CL94">
        <f>SUMPRODUCT((M_BOM[Part Name]=$A94)*M_BOM[RM_Qty_Per_Batch]*IFERROR(INDEX(PP_Grid[#Data],M_BOM[PPGridRow],90),0))/22.38</f>
        <v/>
      </c>
      <c r="CM94">
        <f>SUMPRODUCT((M_BOM[Part Name]=$A94)*M_BOM[RM_Qty_Per_Batch]*IFERROR(INDEX(PP_Grid[#Data],M_BOM[PPGridRow],91),0))/22.38</f>
        <v/>
      </c>
      <c r="CN94">
        <f>SUMPRODUCT((M_BOM[Part Name]=$A94)*M_BOM[RM_Qty_Per_Batch]*IFERROR(INDEX(PP_Grid[#Data],M_BOM[PPGridRow],92),0))/22.38</f>
        <v/>
      </c>
      <c r="CO94">
        <f>SUMPRODUCT((M_BOM[Part Name]=$A94)*M_BOM[RM_Qty_Per_Batch]*IFERROR(INDEX(PP_Grid[#Data],M_BOM[PPGridRow],93),0))/22.38</f>
        <v/>
      </c>
      <c r="CP94">
        <f>SUMPRODUCT((M_BOM[Part Name]=$A94)*M_BOM[RM_Qty_Per_Batch]*IFERROR(INDEX(PP_Grid[#Data],M_BOM[PPGridRow],94),0))/22.38</f>
        <v/>
      </c>
      <c r="CQ94">
        <f>SUMPRODUCT((M_BOM[Part Name]=$A94)*M_BOM[RM_Qty_Per_Batch]*IFERROR(INDEX(PP_Grid[#Data],M_BOM[PPGridRow],95),0))/22.38</f>
        <v/>
      </c>
      <c r="CR94">
        <f>SUMPRODUCT((M_BOM[Part Name]=$A94)*M_BOM[RM_Qty_Per_Batch]*IFERROR(INDEX(PP_Grid[#Data],M_BOM[PPGridRow],96),0))/22.38</f>
        <v/>
      </c>
      <c r="CS94">
        <f>SUMPRODUCT((M_BOM[Part Name]=$A94)*M_BOM[RM_Qty_Per_Batch]*IFERROR(INDEX(PP_Grid[#Data],M_BOM[PPGridRow],97),0))/22.38</f>
        <v/>
      </c>
      <c r="CT94">
        <f>SUMPRODUCT((M_BOM[Part Name]=$A94)*M_BOM[RM_Qty_Per_Batch]*IFERROR(INDEX(PP_Grid[#Data],M_BOM[PPGridRow],98),0))/22.38</f>
        <v/>
      </c>
      <c r="CU94">
        <f>SUMPRODUCT((M_BOM[Part Name]=$A94)*M_BOM[RM_Qty_Per_Batch]*IFERROR(INDEX(PP_Grid[#Data],M_BOM[PPGridRow],99),0))/22.38</f>
        <v/>
      </c>
      <c r="CV94">
        <f>SUMPRODUCT((M_BOM[Part Name]=$A94)*M_BOM[RM_Qty_Per_Batch]*IFERROR(INDEX(PP_Grid[#Data],M_BOM[PPGridRow],100),0))/22.38</f>
        <v/>
      </c>
      <c r="CW94">
        <f>SUMPRODUCT((M_BOM[Part Name]=$A94)*M_BOM[RM_Qty_Per_Batch]*IFERROR(INDEX(PP_Grid[#Data],M_BOM[PPGridRow],101),0))/22.38</f>
        <v/>
      </c>
      <c r="CX94">
        <f>SUMPRODUCT((M_BOM[Part Name]=$A94)*M_BOM[RM_Qty_Per_Batch]*IFERROR(INDEX(PP_Grid[#Data],M_BOM[PPGridRow],102),0))/22.38</f>
        <v/>
      </c>
      <c r="CY94">
        <f>SUMPRODUCT((M_BOM[Part Name]=$A94)*M_BOM[RM_Qty_Per_Batch]*IFERROR(INDEX(PP_Grid[#Data],M_BOM[PPGridRow],103),0))/22.38</f>
        <v/>
      </c>
      <c r="CZ94">
        <f>SUMPRODUCT((M_BOM[Part Name]=$A94)*M_BOM[RM_Qty_Per_Batch]*IFERROR(INDEX(PP_Grid[#Data],M_BOM[PPGridRow],104),0))/22.38</f>
        <v/>
      </c>
      <c r="DA94">
        <f>SUMPRODUCT((M_BOM[Part Name]=$A94)*M_BOM[RM_Qty_Per_Batch]*IFERROR(INDEX(PP_Grid[#Data],M_BOM[PPGridRow],105),0))/22.38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Name]=$A95)*M_BOM[RM_Qty_Per_Batch]*IFERROR(INDEX(PP_Grid[#Data],M_BOM[PPGridRow],2),0))/200.0</f>
        <v/>
      </c>
      <c r="C95">
        <f>SUMPRODUCT((M_BOM[Part Name]=$A95)*M_BOM[RM_Qty_Per_Batch]*IFERROR(INDEX(PP_Grid[#Data],M_BOM[PPGridRow],3),0))/200.0</f>
        <v/>
      </c>
      <c r="D95">
        <f>SUMPRODUCT((M_BOM[Part Name]=$A95)*M_BOM[RM_Qty_Per_Batch]*IFERROR(INDEX(PP_Grid[#Data],M_BOM[PPGridRow],4),0))/200.0</f>
        <v/>
      </c>
      <c r="E95">
        <f>SUMPRODUCT((M_BOM[Part Name]=$A95)*M_BOM[RM_Qty_Per_Batch]*IFERROR(INDEX(PP_Grid[#Data],M_BOM[PPGridRow],5),0))/200.0</f>
        <v/>
      </c>
      <c r="F95">
        <f>SUMPRODUCT((M_BOM[Part Name]=$A95)*M_BOM[RM_Qty_Per_Batch]*IFERROR(INDEX(PP_Grid[#Data],M_BOM[PPGridRow],6),0))/200.0</f>
        <v/>
      </c>
      <c r="G95">
        <f>SUMPRODUCT((M_BOM[Part Name]=$A95)*M_BOM[RM_Qty_Per_Batch]*IFERROR(INDEX(PP_Grid[#Data],M_BOM[PPGridRow],7),0))/200.0</f>
        <v/>
      </c>
      <c r="H95">
        <f>SUMPRODUCT((M_BOM[Part Name]=$A95)*M_BOM[RM_Qty_Per_Batch]*IFERROR(INDEX(PP_Grid[#Data],M_BOM[PPGridRow],8),0))/200.0</f>
        <v/>
      </c>
      <c r="I95">
        <f>SUMPRODUCT((M_BOM[Part Name]=$A95)*M_BOM[RM_Qty_Per_Batch]*IFERROR(INDEX(PP_Grid[#Data],M_BOM[PPGridRow],9),0))/200.0</f>
        <v/>
      </c>
      <c r="J95">
        <f>SUMPRODUCT((M_BOM[Part Name]=$A95)*M_BOM[RM_Qty_Per_Batch]*IFERROR(INDEX(PP_Grid[#Data],M_BOM[PPGridRow],10),0))/200.0</f>
        <v/>
      </c>
      <c r="K95">
        <f>SUMPRODUCT((M_BOM[Part Name]=$A95)*M_BOM[RM_Qty_Per_Batch]*IFERROR(INDEX(PP_Grid[#Data],M_BOM[PPGridRow],11),0))/200.0</f>
        <v/>
      </c>
      <c r="L95">
        <f>SUMPRODUCT((M_BOM[Part Name]=$A95)*M_BOM[RM_Qty_Per_Batch]*IFERROR(INDEX(PP_Grid[#Data],M_BOM[PPGridRow],12),0))/200.0</f>
        <v/>
      </c>
      <c r="M95">
        <f>SUMPRODUCT((M_BOM[Part Name]=$A95)*M_BOM[RM_Qty_Per_Batch]*IFERROR(INDEX(PP_Grid[#Data],M_BOM[PPGridRow],13),0))/200.0</f>
        <v/>
      </c>
      <c r="N95">
        <f>SUMPRODUCT((M_BOM[Part Name]=$A95)*M_BOM[RM_Qty_Per_Batch]*IFERROR(INDEX(PP_Grid[#Data],M_BOM[PPGridRow],14),0))/200.0</f>
        <v/>
      </c>
      <c r="O95">
        <f>SUMPRODUCT((M_BOM[Part Name]=$A95)*M_BOM[RM_Qty_Per_Batch]*IFERROR(INDEX(PP_Grid[#Data],M_BOM[PPGridRow],15),0))/200.0</f>
        <v/>
      </c>
      <c r="P95">
        <f>SUMPRODUCT((M_BOM[Part Name]=$A95)*M_BOM[RM_Qty_Per_Batch]*IFERROR(INDEX(PP_Grid[#Data],M_BOM[PPGridRow],16),0))/200.0</f>
        <v/>
      </c>
      <c r="Q95">
        <f>SUMPRODUCT((M_BOM[Part Name]=$A95)*M_BOM[RM_Qty_Per_Batch]*IFERROR(INDEX(PP_Grid[#Data],M_BOM[PPGridRow],17),0))/200.0</f>
        <v/>
      </c>
      <c r="R95">
        <f>SUMPRODUCT((M_BOM[Part Name]=$A95)*M_BOM[RM_Qty_Per_Batch]*IFERROR(INDEX(PP_Grid[#Data],M_BOM[PPGridRow],18),0))/200.0</f>
        <v/>
      </c>
      <c r="S95">
        <f>SUMPRODUCT((M_BOM[Part Name]=$A95)*M_BOM[RM_Qty_Per_Batch]*IFERROR(INDEX(PP_Grid[#Data],M_BOM[PPGridRow],19),0))/200.0</f>
        <v/>
      </c>
      <c r="T95">
        <f>SUMPRODUCT((M_BOM[Part Name]=$A95)*M_BOM[RM_Qty_Per_Batch]*IFERROR(INDEX(PP_Grid[#Data],M_BOM[PPGridRow],20),0))/200.0</f>
        <v/>
      </c>
      <c r="U95">
        <f>SUMPRODUCT((M_BOM[Part Name]=$A95)*M_BOM[RM_Qty_Per_Batch]*IFERROR(INDEX(PP_Grid[#Data],M_BOM[PPGridRow],21),0))/200.0</f>
        <v/>
      </c>
      <c r="V95">
        <f>SUMPRODUCT((M_BOM[Part Name]=$A95)*M_BOM[RM_Qty_Per_Batch]*IFERROR(INDEX(PP_Grid[#Data],M_BOM[PPGridRow],22),0))/200.0</f>
        <v/>
      </c>
      <c r="W95">
        <f>SUMPRODUCT((M_BOM[Part Name]=$A95)*M_BOM[RM_Qty_Per_Batch]*IFERROR(INDEX(PP_Grid[#Data],M_BOM[PPGridRow],23),0))/200.0</f>
        <v/>
      </c>
      <c r="X95">
        <f>SUMPRODUCT((M_BOM[Part Name]=$A95)*M_BOM[RM_Qty_Per_Batch]*IFERROR(INDEX(PP_Grid[#Data],M_BOM[PPGridRow],24),0))/200.0</f>
        <v/>
      </c>
      <c r="Y95">
        <f>SUMPRODUCT((M_BOM[Part Name]=$A95)*M_BOM[RM_Qty_Per_Batch]*IFERROR(INDEX(PP_Grid[#Data],M_BOM[PPGridRow],25),0))/200.0</f>
        <v/>
      </c>
      <c r="Z95">
        <f>SUMPRODUCT((M_BOM[Part Name]=$A95)*M_BOM[RM_Qty_Per_Batch]*IFERROR(INDEX(PP_Grid[#Data],M_BOM[PPGridRow],26),0))/200.0</f>
        <v/>
      </c>
      <c r="AA95">
        <f>SUMPRODUCT((M_BOM[Part Name]=$A95)*M_BOM[RM_Qty_Per_Batch]*IFERROR(INDEX(PP_Grid[#Data],M_BOM[PPGridRow],27),0))/200.0</f>
        <v/>
      </c>
      <c r="AB95">
        <f>SUMPRODUCT((M_BOM[Part Name]=$A95)*M_BOM[RM_Qty_Per_Batch]*IFERROR(INDEX(PP_Grid[#Data],M_BOM[PPGridRow],28),0))/200.0</f>
        <v/>
      </c>
      <c r="AC95">
        <f>SUMPRODUCT((M_BOM[Part Name]=$A95)*M_BOM[RM_Qty_Per_Batch]*IFERROR(INDEX(PP_Grid[#Data],M_BOM[PPGridRow],29),0))/200.0</f>
        <v/>
      </c>
      <c r="AD95">
        <f>SUMPRODUCT((M_BOM[Part Name]=$A95)*M_BOM[RM_Qty_Per_Batch]*IFERROR(INDEX(PP_Grid[#Data],M_BOM[PPGridRow],30),0))/200.0</f>
        <v/>
      </c>
      <c r="AE95">
        <f>SUMPRODUCT((M_BOM[Part Name]=$A95)*M_BOM[RM_Qty_Per_Batch]*IFERROR(INDEX(PP_Grid[#Data],M_BOM[PPGridRow],31),0))/200.0</f>
        <v/>
      </c>
      <c r="AF95">
        <f>SUMPRODUCT((M_BOM[Part Name]=$A95)*M_BOM[RM_Qty_Per_Batch]*IFERROR(INDEX(PP_Grid[#Data],M_BOM[PPGridRow],32),0))/200.0</f>
        <v/>
      </c>
      <c r="AG95">
        <f>SUMPRODUCT((M_BOM[Part Name]=$A95)*M_BOM[RM_Qty_Per_Batch]*IFERROR(INDEX(PP_Grid[#Data],M_BOM[PPGridRow],33),0))/200.0</f>
        <v/>
      </c>
      <c r="AH95">
        <f>SUMPRODUCT((M_BOM[Part Name]=$A95)*M_BOM[RM_Qty_Per_Batch]*IFERROR(INDEX(PP_Grid[#Data],M_BOM[PPGridRow],34),0))/200.0</f>
        <v/>
      </c>
      <c r="AI95">
        <f>SUMPRODUCT((M_BOM[Part Name]=$A95)*M_BOM[RM_Qty_Per_Batch]*IFERROR(INDEX(PP_Grid[#Data],M_BOM[PPGridRow],35),0))/200.0</f>
        <v/>
      </c>
      <c r="AJ95">
        <f>SUMPRODUCT((M_BOM[Part Name]=$A95)*M_BOM[RM_Qty_Per_Batch]*IFERROR(INDEX(PP_Grid[#Data],M_BOM[PPGridRow],36),0))/200.0</f>
        <v/>
      </c>
      <c r="AK95">
        <f>SUMPRODUCT((M_BOM[Part Name]=$A95)*M_BOM[RM_Qty_Per_Batch]*IFERROR(INDEX(PP_Grid[#Data],M_BOM[PPGridRow],37),0))/200.0</f>
        <v/>
      </c>
      <c r="AL95">
        <f>SUMPRODUCT((M_BOM[Part Name]=$A95)*M_BOM[RM_Qty_Per_Batch]*IFERROR(INDEX(PP_Grid[#Data],M_BOM[PPGridRow],38),0))/200.0</f>
        <v/>
      </c>
      <c r="AM95">
        <f>SUMPRODUCT((M_BOM[Part Name]=$A95)*M_BOM[RM_Qty_Per_Batch]*IFERROR(INDEX(PP_Grid[#Data],M_BOM[PPGridRow],39),0))/200.0</f>
        <v/>
      </c>
      <c r="AN95">
        <f>SUMPRODUCT((M_BOM[Part Name]=$A95)*M_BOM[RM_Qty_Per_Batch]*IFERROR(INDEX(PP_Grid[#Data],M_BOM[PPGridRow],40),0))/200.0</f>
        <v/>
      </c>
      <c r="AO95">
        <f>SUMPRODUCT((M_BOM[Part Name]=$A95)*M_BOM[RM_Qty_Per_Batch]*IFERROR(INDEX(PP_Grid[#Data],M_BOM[PPGridRow],41),0))/200.0</f>
        <v/>
      </c>
      <c r="AP95">
        <f>SUMPRODUCT((M_BOM[Part Name]=$A95)*M_BOM[RM_Qty_Per_Batch]*IFERROR(INDEX(PP_Grid[#Data],M_BOM[PPGridRow],42),0))/200.0</f>
        <v/>
      </c>
      <c r="AQ95">
        <f>SUMPRODUCT((M_BOM[Part Name]=$A95)*M_BOM[RM_Qty_Per_Batch]*IFERROR(INDEX(PP_Grid[#Data],M_BOM[PPGridRow],43),0))/200.0</f>
        <v/>
      </c>
      <c r="AR95">
        <f>SUMPRODUCT((M_BOM[Part Name]=$A95)*M_BOM[RM_Qty_Per_Batch]*IFERROR(INDEX(PP_Grid[#Data],M_BOM[PPGridRow],44),0))/200.0</f>
        <v/>
      </c>
      <c r="AS95">
        <f>SUMPRODUCT((M_BOM[Part Name]=$A95)*M_BOM[RM_Qty_Per_Batch]*IFERROR(INDEX(PP_Grid[#Data],M_BOM[PPGridRow],45),0))/200.0</f>
        <v/>
      </c>
      <c r="AT95">
        <f>SUMPRODUCT((M_BOM[Part Name]=$A95)*M_BOM[RM_Qty_Per_Batch]*IFERROR(INDEX(PP_Grid[#Data],M_BOM[PPGridRow],46),0))/200.0</f>
        <v/>
      </c>
      <c r="AU95">
        <f>SUMPRODUCT((M_BOM[Part Name]=$A95)*M_BOM[RM_Qty_Per_Batch]*IFERROR(INDEX(PP_Grid[#Data],M_BOM[PPGridRow],47),0))/200.0</f>
        <v/>
      </c>
      <c r="AV95">
        <f>SUMPRODUCT((M_BOM[Part Name]=$A95)*M_BOM[RM_Qty_Per_Batch]*IFERROR(INDEX(PP_Grid[#Data],M_BOM[PPGridRow],48),0))/200.0</f>
        <v/>
      </c>
      <c r="AW95">
        <f>SUMPRODUCT((M_BOM[Part Name]=$A95)*M_BOM[RM_Qty_Per_Batch]*IFERROR(INDEX(PP_Grid[#Data],M_BOM[PPGridRow],49),0))/200.0</f>
        <v/>
      </c>
      <c r="AX95">
        <f>SUMPRODUCT((M_BOM[Part Name]=$A95)*M_BOM[RM_Qty_Per_Batch]*IFERROR(INDEX(PP_Grid[#Data],M_BOM[PPGridRow],50),0))/200.0</f>
        <v/>
      </c>
      <c r="AY95">
        <f>SUMPRODUCT((M_BOM[Part Name]=$A95)*M_BOM[RM_Qty_Per_Batch]*IFERROR(INDEX(PP_Grid[#Data],M_BOM[PPGridRow],51),0))/200.0</f>
        <v/>
      </c>
      <c r="AZ95">
        <f>SUMPRODUCT((M_BOM[Part Name]=$A95)*M_BOM[RM_Qty_Per_Batch]*IFERROR(INDEX(PP_Grid[#Data],M_BOM[PPGridRow],52),0))/200.0</f>
        <v/>
      </c>
      <c r="BA95">
        <f>SUMPRODUCT((M_BOM[Part Name]=$A95)*M_BOM[RM_Qty_Per_Batch]*IFERROR(INDEX(PP_Grid[#Data],M_BOM[PPGridRow],53),0))/200.0</f>
        <v/>
      </c>
      <c r="BB95">
        <f>SUMPRODUCT((M_BOM[Part Name]=$A95)*M_BOM[RM_Qty_Per_Batch]*IFERROR(INDEX(PP_Grid[#Data],M_BOM[PPGridRow],54),0))/200.0</f>
        <v/>
      </c>
      <c r="BC95">
        <f>SUMPRODUCT((M_BOM[Part Name]=$A95)*M_BOM[RM_Qty_Per_Batch]*IFERROR(INDEX(PP_Grid[#Data],M_BOM[PPGridRow],55),0))/200.0</f>
        <v/>
      </c>
      <c r="BD95">
        <f>SUMPRODUCT((M_BOM[Part Name]=$A95)*M_BOM[RM_Qty_Per_Batch]*IFERROR(INDEX(PP_Grid[#Data],M_BOM[PPGridRow],56),0))/200.0</f>
        <v/>
      </c>
      <c r="BE95">
        <f>SUMPRODUCT((M_BOM[Part Name]=$A95)*M_BOM[RM_Qty_Per_Batch]*IFERROR(INDEX(PP_Grid[#Data],M_BOM[PPGridRow],57),0))/200.0</f>
        <v/>
      </c>
      <c r="BF95">
        <f>SUMPRODUCT((M_BOM[Part Name]=$A95)*M_BOM[RM_Qty_Per_Batch]*IFERROR(INDEX(PP_Grid[#Data],M_BOM[PPGridRow],58),0))/200.0</f>
        <v/>
      </c>
      <c r="BG95">
        <f>SUMPRODUCT((M_BOM[Part Name]=$A95)*M_BOM[RM_Qty_Per_Batch]*IFERROR(INDEX(PP_Grid[#Data],M_BOM[PPGridRow],59),0))/200.0</f>
        <v/>
      </c>
      <c r="BH95">
        <f>SUMPRODUCT((M_BOM[Part Name]=$A95)*M_BOM[RM_Qty_Per_Batch]*IFERROR(INDEX(PP_Grid[#Data],M_BOM[PPGridRow],60),0))/200.0</f>
        <v/>
      </c>
      <c r="BI95">
        <f>SUMPRODUCT((M_BOM[Part Name]=$A95)*M_BOM[RM_Qty_Per_Batch]*IFERROR(INDEX(PP_Grid[#Data],M_BOM[PPGridRow],61),0))/200.0</f>
        <v/>
      </c>
      <c r="BJ95">
        <f>SUMPRODUCT((M_BOM[Part Name]=$A95)*M_BOM[RM_Qty_Per_Batch]*IFERROR(INDEX(PP_Grid[#Data],M_BOM[PPGridRow],62),0))/200.0</f>
        <v/>
      </c>
      <c r="BK95">
        <f>SUMPRODUCT((M_BOM[Part Name]=$A95)*M_BOM[RM_Qty_Per_Batch]*IFERROR(INDEX(PP_Grid[#Data],M_BOM[PPGridRow],63),0))/200.0</f>
        <v/>
      </c>
      <c r="BL95">
        <f>SUMPRODUCT((M_BOM[Part Name]=$A95)*M_BOM[RM_Qty_Per_Batch]*IFERROR(INDEX(PP_Grid[#Data],M_BOM[PPGridRow],64),0))/200.0</f>
        <v/>
      </c>
      <c r="BM95">
        <f>SUMPRODUCT((M_BOM[Part Name]=$A95)*M_BOM[RM_Qty_Per_Batch]*IFERROR(INDEX(PP_Grid[#Data],M_BOM[PPGridRow],65),0))/200.0</f>
        <v/>
      </c>
      <c r="BN95">
        <f>SUMPRODUCT((M_BOM[Part Name]=$A95)*M_BOM[RM_Qty_Per_Batch]*IFERROR(INDEX(PP_Grid[#Data],M_BOM[PPGridRow],66),0))/200.0</f>
        <v/>
      </c>
      <c r="BO95">
        <f>SUMPRODUCT((M_BOM[Part Name]=$A95)*M_BOM[RM_Qty_Per_Batch]*IFERROR(INDEX(PP_Grid[#Data],M_BOM[PPGridRow],67),0))/200.0</f>
        <v/>
      </c>
      <c r="BP95">
        <f>SUMPRODUCT((M_BOM[Part Name]=$A95)*M_BOM[RM_Qty_Per_Batch]*IFERROR(INDEX(PP_Grid[#Data],M_BOM[PPGridRow],68),0))/200.0</f>
        <v/>
      </c>
      <c r="BQ95">
        <f>SUMPRODUCT((M_BOM[Part Name]=$A95)*M_BOM[RM_Qty_Per_Batch]*IFERROR(INDEX(PP_Grid[#Data],M_BOM[PPGridRow],69),0))/200.0</f>
        <v/>
      </c>
      <c r="BR95">
        <f>SUMPRODUCT((M_BOM[Part Name]=$A95)*M_BOM[RM_Qty_Per_Batch]*IFERROR(INDEX(PP_Grid[#Data],M_BOM[PPGridRow],70),0))/200.0</f>
        <v/>
      </c>
      <c r="BS95">
        <f>SUMPRODUCT((M_BOM[Part Name]=$A95)*M_BOM[RM_Qty_Per_Batch]*IFERROR(INDEX(PP_Grid[#Data],M_BOM[PPGridRow],71),0))/200.0</f>
        <v/>
      </c>
      <c r="BT95">
        <f>SUMPRODUCT((M_BOM[Part Name]=$A95)*M_BOM[RM_Qty_Per_Batch]*IFERROR(INDEX(PP_Grid[#Data],M_BOM[PPGridRow],72),0))/200.0</f>
        <v/>
      </c>
      <c r="BU95">
        <f>SUMPRODUCT((M_BOM[Part Name]=$A95)*M_BOM[RM_Qty_Per_Batch]*IFERROR(INDEX(PP_Grid[#Data],M_BOM[PPGridRow],73),0))/200.0</f>
        <v/>
      </c>
      <c r="BV95">
        <f>SUMPRODUCT((M_BOM[Part Name]=$A95)*M_BOM[RM_Qty_Per_Batch]*IFERROR(INDEX(PP_Grid[#Data],M_BOM[PPGridRow],74),0))/200.0</f>
        <v/>
      </c>
      <c r="BW95">
        <f>SUMPRODUCT((M_BOM[Part Name]=$A95)*M_BOM[RM_Qty_Per_Batch]*IFERROR(INDEX(PP_Grid[#Data],M_BOM[PPGridRow],75),0))/200.0</f>
        <v/>
      </c>
      <c r="BX95">
        <f>SUMPRODUCT((M_BOM[Part Name]=$A95)*M_BOM[RM_Qty_Per_Batch]*IFERROR(INDEX(PP_Grid[#Data],M_BOM[PPGridRow],76),0))/200.0</f>
        <v/>
      </c>
      <c r="BY95">
        <f>SUMPRODUCT((M_BOM[Part Name]=$A95)*M_BOM[RM_Qty_Per_Batch]*IFERROR(INDEX(PP_Grid[#Data],M_BOM[PPGridRow],77),0))/200.0</f>
        <v/>
      </c>
      <c r="BZ95">
        <f>SUMPRODUCT((M_BOM[Part Name]=$A95)*M_BOM[RM_Qty_Per_Batch]*IFERROR(INDEX(PP_Grid[#Data],M_BOM[PPGridRow],78),0))/200.0</f>
        <v/>
      </c>
      <c r="CA95">
        <f>SUMPRODUCT((M_BOM[Part Name]=$A95)*M_BOM[RM_Qty_Per_Batch]*IFERROR(INDEX(PP_Grid[#Data],M_BOM[PPGridRow],79),0))/200.0</f>
        <v/>
      </c>
      <c r="CB95">
        <f>SUMPRODUCT((M_BOM[Part Name]=$A95)*M_BOM[RM_Qty_Per_Batch]*IFERROR(INDEX(PP_Grid[#Data],M_BOM[PPGridRow],80),0))/200.0</f>
        <v/>
      </c>
      <c r="CC95">
        <f>SUMPRODUCT((M_BOM[Part Name]=$A95)*M_BOM[RM_Qty_Per_Batch]*IFERROR(INDEX(PP_Grid[#Data],M_BOM[PPGridRow],81),0))/200.0</f>
        <v/>
      </c>
      <c r="CD95">
        <f>SUMPRODUCT((M_BOM[Part Name]=$A95)*M_BOM[RM_Qty_Per_Batch]*IFERROR(INDEX(PP_Grid[#Data],M_BOM[PPGridRow],82),0))/200.0</f>
        <v/>
      </c>
      <c r="CE95">
        <f>SUMPRODUCT((M_BOM[Part Name]=$A95)*M_BOM[RM_Qty_Per_Batch]*IFERROR(INDEX(PP_Grid[#Data],M_BOM[PPGridRow],83),0))/200.0</f>
        <v/>
      </c>
      <c r="CF95">
        <f>SUMPRODUCT((M_BOM[Part Name]=$A95)*M_BOM[RM_Qty_Per_Batch]*IFERROR(INDEX(PP_Grid[#Data],M_BOM[PPGridRow],84),0))/200.0</f>
        <v/>
      </c>
      <c r="CG95">
        <f>SUMPRODUCT((M_BOM[Part Name]=$A95)*M_BOM[RM_Qty_Per_Batch]*IFERROR(INDEX(PP_Grid[#Data],M_BOM[PPGridRow],85),0))/200.0</f>
        <v/>
      </c>
      <c r="CH95">
        <f>SUMPRODUCT((M_BOM[Part Name]=$A95)*M_BOM[RM_Qty_Per_Batch]*IFERROR(INDEX(PP_Grid[#Data],M_BOM[PPGridRow],86),0))/200.0</f>
        <v/>
      </c>
      <c r="CI95">
        <f>SUMPRODUCT((M_BOM[Part Name]=$A95)*M_BOM[RM_Qty_Per_Batch]*IFERROR(INDEX(PP_Grid[#Data],M_BOM[PPGridRow],87),0))/200.0</f>
        <v/>
      </c>
      <c r="CJ95">
        <f>SUMPRODUCT((M_BOM[Part Name]=$A95)*M_BOM[RM_Qty_Per_Batch]*IFERROR(INDEX(PP_Grid[#Data],M_BOM[PPGridRow],88),0))/200.0</f>
        <v/>
      </c>
      <c r="CK95">
        <f>SUMPRODUCT((M_BOM[Part Name]=$A95)*M_BOM[RM_Qty_Per_Batch]*IFERROR(INDEX(PP_Grid[#Data],M_BOM[PPGridRow],89),0))/200.0</f>
        <v/>
      </c>
      <c r="CL95">
        <f>SUMPRODUCT((M_BOM[Part Name]=$A95)*M_BOM[RM_Qty_Per_Batch]*IFERROR(INDEX(PP_Grid[#Data],M_BOM[PPGridRow],90),0))/200.0</f>
        <v/>
      </c>
      <c r="CM95">
        <f>SUMPRODUCT((M_BOM[Part Name]=$A95)*M_BOM[RM_Qty_Per_Batch]*IFERROR(INDEX(PP_Grid[#Data],M_BOM[PPGridRow],91),0))/200.0</f>
        <v/>
      </c>
      <c r="CN95">
        <f>SUMPRODUCT((M_BOM[Part Name]=$A95)*M_BOM[RM_Qty_Per_Batch]*IFERROR(INDEX(PP_Grid[#Data],M_BOM[PPGridRow],92),0))/200.0</f>
        <v/>
      </c>
      <c r="CO95">
        <f>SUMPRODUCT((M_BOM[Part Name]=$A95)*M_BOM[RM_Qty_Per_Batch]*IFERROR(INDEX(PP_Grid[#Data],M_BOM[PPGridRow],93),0))/200.0</f>
        <v/>
      </c>
      <c r="CP95">
        <f>SUMPRODUCT((M_BOM[Part Name]=$A95)*M_BOM[RM_Qty_Per_Batch]*IFERROR(INDEX(PP_Grid[#Data],M_BOM[PPGridRow],94),0))/200.0</f>
        <v/>
      </c>
      <c r="CQ95">
        <f>SUMPRODUCT((M_BOM[Part Name]=$A95)*M_BOM[RM_Qty_Per_Batch]*IFERROR(INDEX(PP_Grid[#Data],M_BOM[PPGridRow],95),0))/200.0</f>
        <v/>
      </c>
      <c r="CR95">
        <f>SUMPRODUCT((M_BOM[Part Name]=$A95)*M_BOM[RM_Qty_Per_Batch]*IFERROR(INDEX(PP_Grid[#Data],M_BOM[PPGridRow],96),0))/200.0</f>
        <v/>
      </c>
      <c r="CS95">
        <f>SUMPRODUCT((M_BOM[Part Name]=$A95)*M_BOM[RM_Qty_Per_Batch]*IFERROR(INDEX(PP_Grid[#Data],M_BOM[PPGridRow],97),0))/200.0</f>
        <v/>
      </c>
      <c r="CT95">
        <f>SUMPRODUCT((M_BOM[Part Name]=$A95)*M_BOM[RM_Qty_Per_Batch]*IFERROR(INDEX(PP_Grid[#Data],M_BOM[PPGridRow],98),0))/200.0</f>
        <v/>
      </c>
      <c r="CU95">
        <f>SUMPRODUCT((M_BOM[Part Name]=$A95)*M_BOM[RM_Qty_Per_Batch]*IFERROR(INDEX(PP_Grid[#Data],M_BOM[PPGridRow],99),0))/200.0</f>
        <v/>
      </c>
      <c r="CV95">
        <f>SUMPRODUCT((M_BOM[Part Name]=$A95)*M_BOM[RM_Qty_Per_Batch]*IFERROR(INDEX(PP_Grid[#Data],M_BOM[PPGridRow],100),0))/200.0</f>
        <v/>
      </c>
      <c r="CW95">
        <f>SUMPRODUCT((M_BOM[Part Name]=$A95)*M_BOM[RM_Qty_Per_Batch]*IFERROR(INDEX(PP_Grid[#Data],M_BOM[PPGridRow],101),0))/200.0</f>
        <v/>
      </c>
      <c r="CX95">
        <f>SUMPRODUCT((M_BOM[Part Name]=$A95)*M_BOM[RM_Qty_Per_Batch]*IFERROR(INDEX(PP_Grid[#Data],M_BOM[PPGridRow],102),0))/200.0</f>
        <v/>
      </c>
      <c r="CY95">
        <f>SUMPRODUCT((M_BOM[Part Name]=$A95)*M_BOM[RM_Qty_Per_Batch]*IFERROR(INDEX(PP_Grid[#Data],M_BOM[PPGridRow],103),0))/200.0</f>
        <v/>
      </c>
      <c r="CZ95">
        <f>SUMPRODUCT((M_BOM[Part Name]=$A95)*M_BOM[RM_Qty_Per_Batch]*IFERROR(INDEX(PP_Grid[#Data],M_BOM[PPGridRow],104),0))/200.0</f>
        <v/>
      </c>
      <c r="DA95">
        <f>SUMPRODUCT((M_BOM[Part Name]=$A95)*M_BOM[RM_Qty_Per_Batch]*IFERROR(INDEX(PP_Grid[#Data],M_BOM[PPGridRow],105),0))/200.0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Ester Film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F2090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F2290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K0050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PP Film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0T150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0T160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0T410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0T420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0T470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0T480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0T490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0T500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0T690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0T720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0T740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0T750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0T860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0T870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0T880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0TA40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0W750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0W780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0Y460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F0220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F2100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F2180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F2210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F2350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F3060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K0030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TSP-1555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V14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  <row r="137">
      <c r="A137" t="inlineStr">
        <is>
          <t>V17</t>
        </is>
      </c>
      <c r="B137" s="23" t="n">
        <v>0</v>
      </c>
      <c r="C137" s="23" t="n">
        <v>0</v>
      </c>
      <c r="D137" s="23" t="n">
        <v>0</v>
      </c>
      <c r="E137" s="23" t="n">
        <v>0</v>
      </c>
      <c r="F137" s="23" t="n">
        <v>0</v>
      </c>
      <c r="G137" s="23" t="n">
        <v>0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 t="n">
        <v>0</v>
      </c>
      <c r="M137" s="23" t="n">
        <v>0</v>
      </c>
      <c r="N137" s="23" t="n">
        <v>0</v>
      </c>
      <c r="O137" s="23" t="n">
        <v>0</v>
      </c>
      <c r="P137" s="23" t="n">
        <v>0</v>
      </c>
      <c r="Q137" s="23" t="n">
        <v>0</v>
      </c>
      <c r="R137" s="23" t="n">
        <v>0</v>
      </c>
      <c r="S137" s="23" t="n">
        <v>0</v>
      </c>
      <c r="T137" s="23" t="n">
        <v>0</v>
      </c>
      <c r="U137" s="23" t="n">
        <v>0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  <c r="AD137" s="23" t="n">
        <v>0</v>
      </c>
      <c r="AE137" s="23" t="n">
        <v>0</v>
      </c>
      <c r="AF137" s="23" t="n">
        <v>0</v>
      </c>
      <c r="AG137" s="23" t="n">
        <v>0</v>
      </c>
      <c r="AH137" s="23" t="n">
        <v>0</v>
      </c>
      <c r="AI137" s="23" t="n">
        <v>0</v>
      </c>
      <c r="AJ137" s="23" t="n">
        <v>0</v>
      </c>
      <c r="AK137" s="23" t="n">
        <v>0</v>
      </c>
      <c r="AL137" s="23" t="n">
        <v>0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0</v>
      </c>
      <c r="AV137" s="23" t="n">
        <v>0</v>
      </c>
      <c r="AW137" s="23" t="n">
        <v>0</v>
      </c>
      <c r="AX137" s="23" t="n">
        <v>0</v>
      </c>
      <c r="AY137" s="23" t="n">
        <v>0</v>
      </c>
      <c r="AZ137" s="23" t="n">
        <v>0</v>
      </c>
      <c r="BA137" s="23" t="n">
        <v>0</v>
      </c>
      <c r="BB137" s="23" t="n">
        <v>0</v>
      </c>
      <c r="BC137" s="23" t="n">
        <v>0</v>
      </c>
      <c r="BD137" s="23" t="n">
        <v>0</v>
      </c>
      <c r="BE137" s="23" t="n">
        <v>0</v>
      </c>
      <c r="BF137" s="23" t="n">
        <v>0</v>
      </c>
      <c r="BG137" s="23" t="n">
        <v>0</v>
      </c>
      <c r="BH137" s="23" t="n">
        <v>0</v>
      </c>
      <c r="BI137" s="23" t="n">
        <v>0</v>
      </c>
      <c r="BJ137" s="23" t="n">
        <v>0</v>
      </c>
      <c r="BK137" s="23" t="n">
        <v>0</v>
      </c>
      <c r="BL137" s="23" t="n">
        <v>0</v>
      </c>
      <c r="BM137" s="23" t="n">
        <v>0</v>
      </c>
      <c r="BN137" s="23" t="n">
        <v>0</v>
      </c>
      <c r="BO137" s="23" t="n">
        <v>0</v>
      </c>
      <c r="BP137" s="23" t="n">
        <v>0</v>
      </c>
      <c r="BQ137" s="23" t="n">
        <v>0</v>
      </c>
      <c r="BR137" s="23" t="n">
        <v>0</v>
      </c>
      <c r="BS137" s="23" t="n">
        <v>0</v>
      </c>
      <c r="BT137" s="23" t="n">
        <v>0</v>
      </c>
      <c r="BU137" s="23" t="n">
        <v>0</v>
      </c>
      <c r="BV137" s="23" t="n">
        <v>0</v>
      </c>
      <c r="BW137" s="23" t="n">
        <v>0</v>
      </c>
      <c r="BX137" s="23" t="n">
        <v>0</v>
      </c>
      <c r="BY137" s="23" t="n">
        <v>0</v>
      </c>
      <c r="BZ137" s="23" t="n">
        <v>0</v>
      </c>
      <c r="CA137" s="23" t="n">
        <v>0</v>
      </c>
      <c r="CB137" s="23" t="n">
        <v>0</v>
      </c>
      <c r="CC137" s="23" t="n">
        <v>0</v>
      </c>
      <c r="CD137" s="23" t="n">
        <v>0</v>
      </c>
      <c r="CE137" s="23" t="n">
        <v>0</v>
      </c>
      <c r="CF137" s="23" t="n">
        <v>0</v>
      </c>
      <c r="CG137" s="23" t="n">
        <v>0</v>
      </c>
      <c r="CH137" s="23" t="n">
        <v>0</v>
      </c>
      <c r="CI137" s="23" t="n">
        <v>0</v>
      </c>
      <c r="CJ137" s="23" t="n">
        <v>0</v>
      </c>
      <c r="CK137" s="23" t="n">
        <v>0</v>
      </c>
      <c r="CL137" s="23" t="n">
        <v>0</v>
      </c>
      <c r="CM137" s="23" t="n">
        <v>0</v>
      </c>
      <c r="CN137" s="23" t="n">
        <v>0</v>
      </c>
      <c r="CO137" s="23" t="n">
        <v>0</v>
      </c>
      <c r="CP137" s="23" t="n">
        <v>0</v>
      </c>
      <c r="CQ137" s="23" t="n">
        <v>0</v>
      </c>
      <c r="CR137" s="23" t="n">
        <v>0</v>
      </c>
      <c r="CS137" s="23" t="n">
        <v>0</v>
      </c>
      <c r="CT137" s="23" t="n">
        <v>0</v>
      </c>
      <c r="CU137" s="23" t="n">
        <v>0</v>
      </c>
      <c r="CV137" s="23" t="n">
        <v>0</v>
      </c>
      <c r="CW137" s="23" t="n">
        <v>0</v>
      </c>
      <c r="CX137" s="23" t="n">
        <v>0</v>
      </c>
      <c r="CY137" s="23" t="n">
        <v>0</v>
      </c>
      <c r="CZ137" s="23" t="n">
        <v>0</v>
      </c>
      <c r="DA137" s="23" t="n">
        <v>0</v>
      </c>
    </row>
    <row r="138">
      <c r="A138" t="inlineStr">
        <is>
          <t>V18</t>
        </is>
      </c>
      <c r="B138" s="23" t="n">
        <v>0</v>
      </c>
      <c r="C138" s="23" t="n">
        <v>0</v>
      </c>
      <c r="D138" s="23" t="n">
        <v>0</v>
      </c>
      <c r="E138" s="23" t="n">
        <v>0</v>
      </c>
      <c r="F138" s="23" t="n">
        <v>0</v>
      </c>
      <c r="G138" s="23" t="n">
        <v>0</v>
      </c>
      <c r="H138" s="23" t="n">
        <v>0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0</v>
      </c>
      <c r="N138" s="23" t="n">
        <v>0</v>
      </c>
      <c r="O138" s="23" t="n">
        <v>0</v>
      </c>
      <c r="P138" s="23" t="n">
        <v>0</v>
      </c>
      <c r="Q138" s="23" t="n">
        <v>0</v>
      </c>
      <c r="R138" s="23" t="n">
        <v>0</v>
      </c>
      <c r="S138" s="23" t="n">
        <v>0</v>
      </c>
      <c r="T138" s="23" t="n">
        <v>0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  <c r="AD138" s="23" t="n">
        <v>0</v>
      </c>
      <c r="AE138" s="23" t="n">
        <v>0</v>
      </c>
      <c r="AF138" s="23" t="n">
        <v>0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 t="n">
        <v>0</v>
      </c>
      <c r="AW138" s="23" t="n">
        <v>0</v>
      </c>
      <c r="AX138" s="23" t="n">
        <v>0</v>
      </c>
      <c r="AY138" s="23" t="n">
        <v>0</v>
      </c>
      <c r="AZ138" s="23" t="n">
        <v>0</v>
      </c>
      <c r="BA138" s="23" t="n">
        <v>0</v>
      </c>
      <c r="BB138" s="23" t="n">
        <v>0</v>
      </c>
      <c r="BC138" s="23" t="n">
        <v>0</v>
      </c>
      <c r="BD138" s="23" t="n">
        <v>0</v>
      </c>
      <c r="BE138" s="23" t="n">
        <v>0</v>
      </c>
      <c r="BF138" s="23" t="n">
        <v>0</v>
      </c>
      <c r="BG138" s="23" t="n">
        <v>0</v>
      </c>
      <c r="BH138" s="23" t="n">
        <v>0</v>
      </c>
      <c r="BI138" s="23" t="n">
        <v>0</v>
      </c>
      <c r="BJ138" s="23" t="n">
        <v>0</v>
      </c>
      <c r="BK138" s="23" t="n">
        <v>0</v>
      </c>
      <c r="BL138" s="23" t="n">
        <v>0</v>
      </c>
      <c r="BM138" s="23" t="n">
        <v>0</v>
      </c>
      <c r="BN138" s="23" t="n">
        <v>0</v>
      </c>
      <c r="BO138" s="23" t="n">
        <v>0</v>
      </c>
      <c r="BP138" s="23" t="n">
        <v>0</v>
      </c>
      <c r="BQ138" s="23" t="n">
        <v>0</v>
      </c>
      <c r="BR138" s="23" t="n">
        <v>0</v>
      </c>
      <c r="BS138" s="23" t="n">
        <v>0</v>
      </c>
      <c r="BT138" s="23" t="n">
        <v>0</v>
      </c>
      <c r="BU138" s="23" t="n">
        <v>0</v>
      </c>
      <c r="BV138" s="23" t="n">
        <v>0</v>
      </c>
      <c r="BW138" s="23" t="n">
        <v>0</v>
      </c>
      <c r="BX138" s="23" t="n">
        <v>0</v>
      </c>
      <c r="BY138" s="23" t="n">
        <v>0</v>
      </c>
      <c r="BZ138" s="23" t="n">
        <v>0</v>
      </c>
      <c r="CA138" s="23" t="n">
        <v>0</v>
      </c>
      <c r="CB138" s="23" t="n">
        <v>0</v>
      </c>
      <c r="CC138" s="23" t="n">
        <v>0</v>
      </c>
      <c r="CD138" s="23" t="n">
        <v>0</v>
      </c>
      <c r="CE138" s="23" t="n">
        <v>0</v>
      </c>
      <c r="CF138" s="23" t="n">
        <v>0</v>
      </c>
      <c r="CG138" s="23" t="n">
        <v>0</v>
      </c>
      <c r="CH138" s="23" t="n">
        <v>0</v>
      </c>
      <c r="CI138" s="23" t="n">
        <v>0</v>
      </c>
      <c r="CJ138" s="23" t="n">
        <v>0</v>
      </c>
      <c r="CK138" s="23" t="n">
        <v>0</v>
      </c>
      <c r="CL138" s="23" t="n">
        <v>0</v>
      </c>
      <c r="CM138" s="23" t="n">
        <v>0</v>
      </c>
      <c r="CN138" s="23" t="n">
        <v>0</v>
      </c>
      <c r="CO138" s="23" t="n">
        <v>0</v>
      </c>
      <c r="CP138" s="23" t="n">
        <v>0</v>
      </c>
      <c r="CQ138" s="23" t="n">
        <v>0</v>
      </c>
      <c r="CR138" s="23" t="n">
        <v>0</v>
      </c>
      <c r="CS138" s="23" t="n">
        <v>0</v>
      </c>
      <c r="CT138" s="23" t="n">
        <v>0</v>
      </c>
      <c r="CU138" s="23" t="n">
        <v>0</v>
      </c>
      <c r="CV138" s="23" t="n">
        <v>0</v>
      </c>
      <c r="CW138" s="23" t="n">
        <v>0</v>
      </c>
      <c r="CX138" s="23" t="n">
        <v>0</v>
      </c>
      <c r="CY138" s="23" t="n">
        <v>0</v>
      </c>
      <c r="CZ138" s="23" t="n">
        <v>0</v>
      </c>
      <c r="DA138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2026-08-05T13:41:23Z</dcterms:created>
  <dcterms:modified xsi:type="dcterms:W3CDTF">2026-08-05T13:41:26Z</dcterms:modified>
</cp:coreProperties>
</file>